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620" tabRatio="599" firstSheet="4" activeTab="5"/>
  </bookViews>
  <sheets>
    <sheet name="Instructions" sheetId="4" state="hidden" r:id="rId1"/>
    <sheet name="Synthèse" sheetId="2" state="hidden" r:id="rId2"/>
    <sheet name="BG" sheetId="3" state="hidden" r:id="rId3"/>
    <sheet name="Evolution par mois" sheetId="5" state="hidden" r:id="rId4"/>
    <sheet name="Rémunérations" sheetId="1" r:id="rId5"/>
    <sheet name="Comparaison" sheetId="11" r:id="rId6"/>
  </sheets>
  <definedNames>
    <definedName name="_xlnm._FilterDatabase" localSheetId="2" hidden="1">BG!$B$4:$D$169</definedName>
    <definedName name="_xlnm._FilterDatabase" localSheetId="4" hidden="1">Rémunérations!$B$6:$BB$147</definedName>
  </definedNames>
  <calcPr calcId="125725"/>
  <pivotCaches>
    <pivotCache cacheId="0" r:id="rId7"/>
    <pivotCache cacheId="1" r:id="rId8"/>
    <pivotCache cacheId="2" r:id="rId9"/>
    <pivotCache cacheId="3" r:id="rId10"/>
    <pivotCache cacheId="4" r:id="rId11"/>
  </pivotCaches>
  <fileRecoveryPr autoRecover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1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5"/>
  <c r="AP13" i="1" l="1"/>
  <c r="AS14"/>
  <c r="AT20" l="1"/>
  <c r="AX28" l="1"/>
  <c r="AS32" l="1"/>
  <c r="AX15"/>
  <c r="AY15" s="1"/>
  <c r="AZ15" s="1"/>
  <c r="BA15" s="1"/>
  <c r="AU15"/>
  <c r="AP12"/>
  <c r="AQ12" s="1"/>
  <c r="AT23"/>
  <c r="AW23" l="1"/>
  <c r="AX23" s="1"/>
  <c r="AY23" s="1"/>
  <c r="AZ23" s="1"/>
  <c r="BA23" s="1"/>
  <c r="AV23"/>
  <c r="AV15"/>
  <c r="AU19"/>
  <c r="AW19" s="1"/>
  <c r="AS19"/>
  <c r="AV19" l="1"/>
  <c r="AX19" l="1"/>
  <c r="AY19" s="1"/>
  <c r="AZ19" s="1"/>
  <c r="BA19" s="1"/>
  <c r="AW15"/>
  <c r="AU24" l="1"/>
  <c r="AK24"/>
  <c r="AH24"/>
  <c r="AL24" s="1"/>
  <c r="AV24" l="1"/>
  <c r="AN24"/>
  <c r="AW24"/>
  <c r="AX24" s="1"/>
  <c r="AY24" s="1"/>
  <c r="AZ24" s="1"/>
  <c r="BA24" s="1"/>
  <c r="AP31" l="1"/>
  <c r="AR31"/>
  <c r="AS31" s="1"/>
  <c r="AT31" s="1"/>
  <c r="AU31" s="1"/>
  <c r="AV31" l="1"/>
  <c r="AE25" l="1"/>
  <c r="AF25" s="1"/>
  <c r="AG25" s="1"/>
  <c r="AP25" s="1"/>
  <c r="AQ25" s="1"/>
  <c r="AR25" s="1"/>
  <c r="AS25" s="1"/>
  <c r="AT25" s="1"/>
  <c r="AU25" s="1"/>
  <c r="AQ7"/>
  <c r="AK7"/>
  <c r="AH7"/>
  <c r="AL7" s="1"/>
  <c r="AB30"/>
  <c r="AB29"/>
  <c r="AB26"/>
  <c r="AB25"/>
  <c r="AB22"/>
  <c r="AH22" s="1"/>
  <c r="AL22" s="1"/>
  <c r="AB21"/>
  <c r="AB20"/>
  <c r="AL20" s="1"/>
  <c r="AB18"/>
  <c r="AH18" s="1"/>
  <c r="AL18" s="1"/>
  <c r="AB16"/>
  <c r="AB14"/>
  <c r="AB12"/>
  <c r="AL12" s="1"/>
  <c r="AB10"/>
  <c r="AE10"/>
  <c r="AF10" s="1"/>
  <c r="AG10" s="1"/>
  <c r="AP10" s="1"/>
  <c r="AQ10" s="1"/>
  <c r="AR10" s="1"/>
  <c r="AS10" s="1"/>
  <c r="AT10" s="1"/>
  <c r="AU10" s="1"/>
  <c r="AF21"/>
  <c r="AG21" s="1"/>
  <c r="AP21" s="1"/>
  <c r="AD21"/>
  <c r="AQ16"/>
  <c r="AG26"/>
  <c r="AP26" s="1"/>
  <c r="AE13"/>
  <c r="AF13" s="1"/>
  <c r="AQ8"/>
  <c r="AR8" s="1"/>
  <c r="AP8"/>
  <c r="AG14"/>
  <c r="AP14" s="1"/>
  <c r="AQ14" s="1"/>
  <c r="AF14"/>
  <c r="AE14"/>
  <c r="AD14"/>
  <c r="AA17"/>
  <c r="AB17" s="1"/>
  <c r="AC17"/>
  <c r="Z17"/>
  <c r="AU20"/>
  <c r="AA28"/>
  <c r="AB28" s="1"/>
  <c r="AC28" s="1"/>
  <c r="AD30"/>
  <c r="AK8"/>
  <c r="AJ8" s="1"/>
  <c r="AH8"/>
  <c r="AP30"/>
  <c r="AQ30" s="1"/>
  <c r="AR30" s="1"/>
  <c r="AS30" s="1"/>
  <c r="AT30" s="1"/>
  <c r="AU30" s="1"/>
  <c r="AP29"/>
  <c r="AP28"/>
  <c r="AQ28" s="1"/>
  <c r="AR28" s="1"/>
  <c r="AS28" s="1"/>
  <c r="AT28" s="1"/>
  <c r="AU28" s="1"/>
  <c r="AP27"/>
  <c r="AQ27" s="1"/>
  <c r="AR27" s="1"/>
  <c r="AS27" s="1"/>
  <c r="AT27" s="1"/>
  <c r="AU27" s="1"/>
  <c r="AV27" s="1"/>
  <c r="AP22"/>
  <c r="AQ22" s="1"/>
  <c r="AR22" s="1"/>
  <c r="AS22" s="1"/>
  <c r="AT22" s="1"/>
  <c r="AU22" s="1"/>
  <c r="AP20"/>
  <c r="AP18"/>
  <c r="AP17"/>
  <c r="AT14"/>
  <c r="AH27"/>
  <c r="AL27" s="1"/>
  <c r="AK27"/>
  <c r="AJ27" s="1"/>
  <c r="K18" i="2"/>
  <c r="C47"/>
  <c r="E47" s="1"/>
  <c r="C46"/>
  <c r="E46" s="1"/>
  <c r="C45"/>
  <c r="E45" s="1"/>
  <c r="C44"/>
  <c r="E44" s="1"/>
  <c r="C43"/>
  <c r="E43" s="1"/>
  <c r="D43" s="1"/>
  <c r="C41"/>
  <c r="E41" s="1"/>
  <c r="D41" s="1"/>
  <c r="C40"/>
  <c r="E40" s="1"/>
  <c r="C39"/>
  <c r="E39" s="1"/>
  <c r="C38"/>
  <c r="E38" s="1"/>
  <c r="D38" s="1"/>
  <c r="C37"/>
  <c r="E37" s="1"/>
  <c r="C34"/>
  <c r="E34"/>
  <c r="C32"/>
  <c r="E32" s="1"/>
  <c r="D32" s="1"/>
  <c r="C31"/>
  <c r="E31" s="1"/>
  <c r="C30"/>
  <c r="C28"/>
  <c r="E28" s="1"/>
  <c r="D28" s="1"/>
  <c r="C23"/>
  <c r="E23"/>
  <c r="C22"/>
  <c r="E22" s="1"/>
  <c r="D22" s="1"/>
  <c r="C21"/>
  <c r="E21" s="1"/>
  <c r="D21" s="1"/>
  <c r="C20"/>
  <c r="E20" s="1"/>
  <c r="D20" s="1"/>
  <c r="C19"/>
  <c r="E19"/>
  <c r="C17"/>
  <c r="E17" s="1"/>
  <c r="D17" s="1"/>
  <c r="AN109" i="3"/>
  <c r="AN110"/>
  <c r="AN112"/>
  <c r="AN113"/>
  <c r="AN114"/>
  <c r="AN115"/>
  <c r="AN116"/>
  <c r="AN117"/>
  <c r="AN118"/>
  <c r="AN119"/>
  <c r="AN120"/>
  <c r="AN122"/>
  <c r="AN123"/>
  <c r="AN126"/>
  <c r="AN128"/>
  <c r="AN131"/>
  <c r="AN132"/>
  <c r="AN133"/>
  <c r="AN134"/>
  <c r="AN135"/>
  <c r="AN136"/>
  <c r="AN137"/>
  <c r="AN138"/>
  <c r="AN140"/>
  <c r="AN141"/>
  <c r="AN142"/>
  <c r="AN143"/>
  <c r="AN144"/>
  <c r="AN145"/>
  <c r="AN146"/>
  <c r="AN147"/>
  <c r="AN148"/>
  <c r="AN149"/>
  <c r="AN151"/>
  <c r="AN152"/>
  <c r="AN153"/>
  <c r="AN154"/>
  <c r="AN155"/>
  <c r="AN156"/>
  <c r="AN157"/>
  <c r="AN159"/>
  <c r="AN160"/>
  <c r="AN161"/>
  <c r="AN162"/>
  <c r="AN165"/>
  <c r="AN166"/>
  <c r="AN167"/>
  <c r="AN168"/>
  <c r="AN169"/>
  <c r="AN170"/>
  <c r="AN171"/>
  <c r="AN172"/>
  <c r="AN173"/>
  <c r="AN174"/>
  <c r="AN176"/>
  <c r="AN177"/>
  <c r="AN178"/>
  <c r="AN179"/>
  <c r="AN180"/>
  <c r="AN181"/>
  <c r="AN182"/>
  <c r="AN184"/>
  <c r="AN186"/>
  <c r="AN187"/>
  <c r="AN188"/>
  <c r="AN189"/>
  <c r="AN190"/>
  <c r="AN191"/>
  <c r="AN193"/>
  <c r="AN194"/>
  <c r="AN195"/>
  <c r="AN196"/>
  <c r="AN197"/>
  <c r="AN198"/>
  <c r="AN199"/>
  <c r="AN201"/>
  <c r="AN202"/>
  <c r="AN204"/>
  <c r="AN205"/>
  <c r="AN206"/>
  <c r="AN207"/>
  <c r="AN208"/>
  <c r="AN210"/>
  <c r="AN211"/>
  <c r="AN212"/>
  <c r="AN213"/>
  <c r="AN214"/>
  <c r="AN215"/>
  <c r="AN216"/>
  <c r="AN219"/>
  <c r="AN220"/>
  <c r="AN222"/>
  <c r="AN223"/>
  <c r="AN224"/>
  <c r="AN225"/>
  <c r="AN226"/>
  <c r="AN227"/>
  <c r="AN228"/>
  <c r="AN229"/>
  <c r="AN230"/>
  <c r="AN231"/>
  <c r="AN232"/>
  <c r="AN233"/>
  <c r="AN234"/>
  <c r="AN236"/>
  <c r="AN237"/>
  <c r="AN239"/>
  <c r="AN241"/>
  <c r="AN108"/>
  <c r="AN108" i="2"/>
  <c r="AH120" i="3"/>
  <c r="AB109"/>
  <c r="AH107" s="1"/>
  <c r="AB124"/>
  <c r="AH122" s="1"/>
  <c r="AB126"/>
  <c r="AH124" s="1"/>
  <c r="AB127"/>
  <c r="AH125" s="1"/>
  <c r="AB136"/>
  <c r="AH134" s="1"/>
  <c r="AB153"/>
  <c r="AH152" s="1"/>
  <c r="AB158"/>
  <c r="AH157" s="1"/>
  <c r="AB170"/>
  <c r="AH168" s="1"/>
  <c r="AB180"/>
  <c r="AH177" s="1"/>
  <c r="AB187"/>
  <c r="AH184" s="1"/>
  <c r="AB195"/>
  <c r="AH192" s="1"/>
  <c r="AB198"/>
  <c r="AH195" s="1"/>
  <c r="AB203"/>
  <c r="AH200" s="1"/>
  <c r="AB211"/>
  <c r="AH209" s="1"/>
  <c r="AB214"/>
  <c r="AH212" s="1"/>
  <c r="AB226"/>
  <c r="AB229"/>
  <c r="AH227" s="1"/>
  <c r="AB231"/>
  <c r="V105"/>
  <c r="AB107" s="1"/>
  <c r="AH105" s="1"/>
  <c r="V106"/>
  <c r="AB108" s="1"/>
  <c r="AH106" s="1"/>
  <c r="V108"/>
  <c r="AB110" s="1"/>
  <c r="AH108" s="1"/>
  <c r="V109"/>
  <c r="AB111" s="1"/>
  <c r="AH109" s="1"/>
  <c r="V110"/>
  <c r="AB112" s="1"/>
  <c r="AH110" s="1"/>
  <c r="V111"/>
  <c r="AB113" s="1"/>
  <c r="AH111" s="1"/>
  <c r="V112"/>
  <c r="AB114" s="1"/>
  <c r="AH112" s="1"/>
  <c r="V113"/>
  <c r="AB115" s="1"/>
  <c r="AH113" s="1"/>
  <c r="V114"/>
  <c r="AB116" s="1"/>
  <c r="AH114" s="1"/>
  <c r="V115"/>
  <c r="AB117" s="1"/>
  <c r="AH115" s="1"/>
  <c r="V116"/>
  <c r="AB118" s="1"/>
  <c r="AH116" s="1"/>
  <c r="V118"/>
  <c r="AB119" s="1"/>
  <c r="AH117" s="1"/>
  <c r="V119"/>
  <c r="AB120" s="1"/>
  <c r="AH118" s="1"/>
  <c r="V120"/>
  <c r="AB121" s="1"/>
  <c r="AH119" s="1"/>
  <c r="V121"/>
  <c r="AB123" s="1"/>
  <c r="AH121" s="1"/>
  <c r="V123"/>
  <c r="AB125" s="1"/>
  <c r="AH123" s="1"/>
  <c r="V126"/>
  <c r="AB128"/>
  <c r="AH126" s="1"/>
  <c r="V127"/>
  <c r="AB129" s="1"/>
  <c r="AH127" s="1"/>
  <c r="V128"/>
  <c r="AB130" s="1"/>
  <c r="AH128" s="1"/>
  <c r="V129"/>
  <c r="AB131" s="1"/>
  <c r="AH129" s="1"/>
  <c r="V130"/>
  <c r="AB132" s="1"/>
  <c r="AH130" s="1"/>
  <c r="V131"/>
  <c r="AB133" s="1"/>
  <c r="AH131" s="1"/>
  <c r="V132"/>
  <c r="AB134" s="1"/>
  <c r="AH132" s="1"/>
  <c r="V133"/>
  <c r="AB135" s="1"/>
  <c r="AH133" s="1"/>
  <c r="V135"/>
  <c r="AB137" s="1"/>
  <c r="AH135" s="1"/>
  <c r="V136"/>
  <c r="AB138" s="1"/>
  <c r="AH136" s="1"/>
  <c r="V137"/>
  <c r="AB139" s="1"/>
  <c r="AH137" s="1"/>
  <c r="V138"/>
  <c r="AB140" s="1"/>
  <c r="AH138" s="1"/>
  <c r="V139"/>
  <c r="AB141" s="1"/>
  <c r="AH139" s="1"/>
  <c r="V140"/>
  <c r="AB142" s="1"/>
  <c r="AH140" s="1"/>
  <c r="V141"/>
  <c r="AB143" s="1"/>
  <c r="AH141" s="1"/>
  <c r="V142"/>
  <c r="AB144" s="1"/>
  <c r="AH142" s="1"/>
  <c r="V143"/>
  <c r="AB145" s="1"/>
  <c r="AH143" s="1"/>
  <c r="V144"/>
  <c r="AB146" s="1"/>
  <c r="AH144" s="1"/>
  <c r="V145"/>
  <c r="AB147" s="1"/>
  <c r="AH146" s="1"/>
  <c r="V146"/>
  <c r="AB148" s="1"/>
  <c r="AH147" s="1"/>
  <c r="V147"/>
  <c r="AB149" s="1"/>
  <c r="AH148" s="1"/>
  <c r="V148"/>
  <c r="AB150" s="1"/>
  <c r="AH149" s="1"/>
  <c r="V149"/>
  <c r="AB151" s="1"/>
  <c r="AH150" s="1"/>
  <c r="V150"/>
  <c r="AB152" s="1"/>
  <c r="AH151" s="1"/>
  <c r="V152"/>
  <c r="AB154" s="1"/>
  <c r="AH153" s="1"/>
  <c r="V153"/>
  <c r="AB155" s="1"/>
  <c r="AH154" s="1"/>
  <c r="V154"/>
  <c r="AB156" s="1"/>
  <c r="AH155" s="1"/>
  <c r="V155"/>
  <c r="AB157" s="1"/>
  <c r="AH156" s="1"/>
  <c r="V157"/>
  <c r="AB160" s="1"/>
  <c r="AH158" s="1"/>
  <c r="V158"/>
  <c r="AB161"/>
  <c r="AH159" s="1"/>
  <c r="V159"/>
  <c r="AB162" s="1"/>
  <c r="AH160" s="1"/>
  <c r="V160"/>
  <c r="AB163" s="1"/>
  <c r="AH161" s="1"/>
  <c r="V161"/>
  <c r="AB164" s="1"/>
  <c r="AH162" s="1"/>
  <c r="V162"/>
  <c r="AB165" s="1"/>
  <c r="AH163" s="1"/>
  <c r="V163"/>
  <c r="AB166" s="1"/>
  <c r="AH164" s="1"/>
  <c r="V164"/>
  <c r="AB167" s="1"/>
  <c r="AH165" s="1"/>
  <c r="V165"/>
  <c r="AB168" s="1"/>
  <c r="AH166" s="1"/>
  <c r="V166"/>
  <c r="AB169" s="1"/>
  <c r="AH167" s="1"/>
  <c r="V168"/>
  <c r="AB171" s="1"/>
  <c r="AH169" s="1"/>
  <c r="V169"/>
  <c r="AB172" s="1"/>
  <c r="AH170" s="1"/>
  <c r="V170"/>
  <c r="AB173" s="1"/>
  <c r="AH171" s="1"/>
  <c r="V171"/>
  <c r="AB174" s="1"/>
  <c r="AH172" s="1"/>
  <c r="V172"/>
  <c r="AB175" s="1"/>
  <c r="AH173" s="1"/>
  <c r="V173"/>
  <c r="AB176" s="1"/>
  <c r="AH174" s="1"/>
  <c r="V174"/>
  <c r="AB177"/>
  <c r="AH175" s="1"/>
  <c r="V175"/>
  <c r="AB179" s="1"/>
  <c r="AH176" s="1"/>
  <c r="V177"/>
  <c r="AB181" s="1"/>
  <c r="AH178" s="1"/>
  <c r="V178"/>
  <c r="AB182" s="1"/>
  <c r="AH179" s="1"/>
  <c r="V179"/>
  <c r="AB183" s="1"/>
  <c r="AH180" s="1"/>
  <c r="V180"/>
  <c r="AB184" s="1"/>
  <c r="AH181" s="1"/>
  <c r="V181"/>
  <c r="AB185" s="1"/>
  <c r="AH182" s="1"/>
  <c r="V182"/>
  <c r="AB186" s="1"/>
  <c r="AH183" s="1"/>
  <c r="V184"/>
  <c r="AB188" s="1"/>
  <c r="AH185" s="1"/>
  <c r="V185"/>
  <c r="AB189" s="1"/>
  <c r="AH186" s="1"/>
  <c r="V186"/>
  <c r="AB190" s="1"/>
  <c r="AH187" s="1"/>
  <c r="V187"/>
  <c r="AB191" s="1"/>
  <c r="AH188" s="1"/>
  <c r="V188"/>
  <c r="AB192" s="1"/>
  <c r="AH189" s="1"/>
  <c r="V189"/>
  <c r="AB193" s="1"/>
  <c r="AH190" s="1"/>
  <c r="V190"/>
  <c r="AB194" s="1"/>
  <c r="AH191" s="1"/>
  <c r="V192"/>
  <c r="AB196" s="1"/>
  <c r="AH193" s="1"/>
  <c r="V193"/>
  <c r="AB197" s="1"/>
  <c r="AH194" s="1"/>
  <c r="V195"/>
  <c r="AB199" s="1"/>
  <c r="AH196" s="1"/>
  <c r="V196"/>
  <c r="AB200" s="1"/>
  <c r="AH197" s="1"/>
  <c r="V197"/>
  <c r="AB201" s="1"/>
  <c r="AH198" s="1"/>
  <c r="V198"/>
  <c r="AB202" s="1"/>
  <c r="AH199" s="1"/>
  <c r="V200"/>
  <c r="AB204" s="1"/>
  <c r="AH201" s="1"/>
  <c r="V201"/>
  <c r="AB205" s="1"/>
  <c r="AH202" s="1"/>
  <c r="V202"/>
  <c r="AB206" s="1"/>
  <c r="AH203" s="1"/>
  <c r="V203"/>
  <c r="AB207" s="1"/>
  <c r="AH204" s="1"/>
  <c r="V204"/>
  <c r="AB208" s="1"/>
  <c r="AH205" s="1"/>
  <c r="V205"/>
  <c r="AB209" s="1"/>
  <c r="AH206" s="1"/>
  <c r="V206"/>
  <c r="AB210" s="1"/>
  <c r="AH207" s="1"/>
  <c r="V208"/>
  <c r="AB212" s="1"/>
  <c r="AH210" s="1"/>
  <c r="V209"/>
  <c r="AB213" s="1"/>
  <c r="AH211" s="1"/>
  <c r="V211"/>
  <c r="AB215" s="1"/>
  <c r="AH213" s="1"/>
  <c r="V212"/>
  <c r="AB216" s="1"/>
  <c r="AH214" s="1"/>
  <c r="V213"/>
  <c r="AB217" s="1"/>
  <c r="AH215" s="1"/>
  <c r="V214"/>
  <c r="AB218" s="1"/>
  <c r="AH216" s="1"/>
  <c r="V215"/>
  <c r="AB219" s="1"/>
  <c r="AH217" s="1"/>
  <c r="V216"/>
  <c r="AB220" s="1"/>
  <c r="AH218" s="1"/>
  <c r="V217"/>
  <c r="V218"/>
  <c r="AB221" s="1"/>
  <c r="AH219" s="1"/>
  <c r="V219"/>
  <c r="AB222" s="1"/>
  <c r="AH220" s="1"/>
  <c r="V220"/>
  <c r="AB223" s="1"/>
  <c r="AH221" s="1"/>
  <c r="V221"/>
  <c r="AB224" s="1"/>
  <c r="AH222" s="1"/>
  <c r="V222"/>
  <c r="AB225" s="1"/>
  <c r="AH223" s="1"/>
  <c r="V224"/>
  <c r="AB227" s="1"/>
  <c r="AH225" s="1"/>
  <c r="V225"/>
  <c r="AB228" s="1"/>
  <c r="AH226" s="1"/>
  <c r="V227"/>
  <c r="AB230" s="1"/>
  <c r="AH228" s="1"/>
  <c r="V229"/>
  <c r="AB232" s="1"/>
  <c r="V104"/>
  <c r="AB106" s="1"/>
  <c r="AH104" s="1"/>
  <c r="AW6" i="5"/>
  <c r="AS6"/>
  <c r="AO6"/>
  <c r="AK6"/>
  <c r="AG6"/>
  <c r="AC6"/>
  <c r="Y6"/>
  <c r="U6"/>
  <c r="Q6"/>
  <c r="M6"/>
  <c r="I6"/>
  <c r="E6"/>
  <c r="L238" i="3"/>
  <c r="L237"/>
  <c r="L236"/>
  <c r="L234"/>
  <c r="L233"/>
  <c r="L232"/>
  <c r="L231"/>
  <c r="L230"/>
  <c r="L229"/>
  <c r="L228"/>
  <c r="L227"/>
  <c r="L226"/>
  <c r="L225"/>
  <c r="L224"/>
  <c r="L223"/>
  <c r="L222"/>
  <c r="L221"/>
  <c r="L218"/>
  <c r="L217"/>
  <c r="L216"/>
  <c r="L214"/>
  <c r="L213"/>
  <c r="L212"/>
  <c r="L211"/>
  <c r="L210"/>
  <c r="L209"/>
  <c r="L208"/>
  <c r="L206"/>
  <c r="L205"/>
  <c r="L204"/>
  <c r="L203"/>
  <c r="L202"/>
  <c r="L201"/>
  <c r="L200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0"/>
  <c r="L179"/>
  <c r="L178"/>
  <c r="L176"/>
  <c r="L175"/>
  <c r="L174"/>
  <c r="L173"/>
  <c r="L172"/>
  <c r="L171"/>
  <c r="L170"/>
  <c r="L169"/>
  <c r="L168"/>
  <c r="L167"/>
  <c r="L165"/>
  <c r="L164"/>
  <c r="L163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6"/>
  <c r="L135"/>
  <c r="L134"/>
  <c r="L133"/>
  <c r="L132"/>
  <c r="L131"/>
  <c r="L130"/>
  <c r="L128"/>
  <c r="L127"/>
  <c r="L126"/>
  <c r="L125"/>
  <c r="L124"/>
  <c r="L123"/>
  <c r="L122"/>
  <c r="L121"/>
  <c r="L120"/>
  <c r="L119"/>
  <c r="L118"/>
  <c r="L117"/>
  <c r="L115"/>
  <c r="L114"/>
  <c r="L113"/>
  <c r="L111"/>
  <c r="L110"/>
  <c r="L109"/>
  <c r="L108"/>
  <c r="L107"/>
  <c r="L106"/>
  <c r="L105"/>
  <c r="L104"/>
  <c r="L103"/>
  <c r="E18" i="2" s="1"/>
  <c r="C18" s="1"/>
  <c r="L102" i="3"/>
  <c r="E22"/>
  <c r="O29" i="1"/>
  <c r="Q29" s="1"/>
  <c r="O26"/>
  <c r="Q26" s="1"/>
  <c r="O25"/>
  <c r="Q25" s="1"/>
  <c r="Q21"/>
  <c r="O17"/>
  <c r="Q17" s="1"/>
  <c r="O13"/>
  <c r="Q13" s="1"/>
  <c r="O10"/>
  <c r="AU3" i="5"/>
  <c r="AV3"/>
  <c r="AW3"/>
  <c r="AV19"/>
  <c r="AV43"/>
  <c r="AT45"/>
  <c r="AT47" s="1"/>
  <c r="AM3"/>
  <c r="AN3"/>
  <c r="AO3"/>
  <c r="AQ3"/>
  <c r="AR3"/>
  <c r="AS3"/>
  <c r="AN19"/>
  <c r="AR19"/>
  <c r="AN43"/>
  <c r="AN45" s="1"/>
  <c r="AR43"/>
  <c r="AR45" s="1"/>
  <c r="AL45"/>
  <c r="AL47" s="1"/>
  <c r="AP45"/>
  <c r="AP47" s="1"/>
  <c r="AI3"/>
  <c r="AJ3"/>
  <c r="AK3"/>
  <c r="AJ19"/>
  <c r="AJ43"/>
  <c r="AH45"/>
  <c r="AH47" s="1"/>
  <c r="AO1" i="1"/>
  <c r="AG3" i="5"/>
  <c r="AF3"/>
  <c r="AE3"/>
  <c r="AC3"/>
  <c r="AB3"/>
  <c r="AA3"/>
  <c r="Y3"/>
  <c r="X3"/>
  <c r="W3"/>
  <c r="U3"/>
  <c r="T3"/>
  <c r="S3"/>
  <c r="Q3"/>
  <c r="P3"/>
  <c r="O3"/>
  <c r="M3"/>
  <c r="L3"/>
  <c r="K3"/>
  <c r="I3"/>
  <c r="H3"/>
  <c r="G3"/>
  <c r="E3"/>
  <c r="D3"/>
  <c r="C3"/>
  <c r="AD45"/>
  <c r="AD47" s="1"/>
  <c r="Z45"/>
  <c r="Z47" s="1"/>
  <c r="V45"/>
  <c r="V47" s="1"/>
  <c r="R45"/>
  <c r="R47" s="1"/>
  <c r="N45"/>
  <c r="N47" s="1"/>
  <c r="J45"/>
  <c r="J47" s="1"/>
  <c r="F45"/>
  <c r="F47" s="1"/>
  <c r="AF43"/>
  <c r="AF19"/>
  <c r="AB43"/>
  <c r="AB19"/>
  <c r="F124" i="3"/>
  <c r="AI40" i="5"/>
  <c r="AK40" s="1"/>
  <c r="AM40"/>
  <c r="AO40" s="1"/>
  <c r="AQ40"/>
  <c r="AS40" s="1"/>
  <c r="AE40"/>
  <c r="AG40" s="1"/>
  <c r="O40"/>
  <c r="AA40"/>
  <c r="AC40" s="1"/>
  <c r="K40"/>
  <c r="S40"/>
  <c r="G40"/>
  <c r="AU41"/>
  <c r="AW41" s="1"/>
  <c r="AQ41"/>
  <c r="AS41" s="1"/>
  <c r="AI41"/>
  <c r="AK41" s="1"/>
  <c r="AM41"/>
  <c r="AO41" s="1"/>
  <c r="AA41"/>
  <c r="AC41" s="1"/>
  <c r="K41"/>
  <c r="G41"/>
  <c r="W41"/>
  <c r="AE41"/>
  <c r="AG41" s="1"/>
  <c r="O41"/>
  <c r="S41"/>
  <c r="C41"/>
  <c r="AU39"/>
  <c r="AW39" s="1"/>
  <c r="AQ39"/>
  <c r="AS39" s="1"/>
  <c r="AM39"/>
  <c r="AO39" s="1"/>
  <c r="AI39"/>
  <c r="AK39" s="1"/>
  <c r="S39"/>
  <c r="C39"/>
  <c r="G39"/>
  <c r="AE39"/>
  <c r="AG39" s="1"/>
  <c r="O39"/>
  <c r="W39"/>
  <c r="AA39"/>
  <c r="AC39" s="1"/>
  <c r="K39"/>
  <c r="K23" i="2"/>
  <c r="AQ18" i="5"/>
  <c r="AS18" s="1"/>
  <c r="AI18"/>
  <c r="AK18" s="1"/>
  <c r="AM18"/>
  <c r="AO18" s="1"/>
  <c r="AU18"/>
  <c r="AW18" s="1"/>
  <c r="AA18"/>
  <c r="AC18" s="1"/>
  <c r="K18"/>
  <c r="AE18"/>
  <c r="AG18" s="1"/>
  <c r="O18"/>
  <c r="W18"/>
  <c r="G18"/>
  <c r="S18"/>
  <c r="C18"/>
  <c r="AM27"/>
  <c r="AO27" s="1"/>
  <c r="AU27"/>
  <c r="AW27" s="1"/>
  <c r="AQ27"/>
  <c r="AS27" s="1"/>
  <c r="AI27"/>
  <c r="AK27" s="1"/>
  <c r="W27"/>
  <c r="G27"/>
  <c r="S27"/>
  <c r="C27"/>
  <c r="AA27"/>
  <c r="AC27" s="1"/>
  <c r="K27"/>
  <c r="AE27"/>
  <c r="AG27" s="1"/>
  <c r="O27"/>
  <c r="AU12"/>
  <c r="AW12" s="1"/>
  <c r="AQ12"/>
  <c r="AS12" s="1"/>
  <c r="AI12"/>
  <c r="AK12" s="1"/>
  <c r="AM12"/>
  <c r="AO12" s="1"/>
  <c r="S12"/>
  <c r="C12"/>
  <c r="AE12"/>
  <c r="AG12" s="1"/>
  <c r="O12"/>
  <c r="W12"/>
  <c r="AA12"/>
  <c r="AC12" s="1"/>
  <c r="K12"/>
  <c r="G12"/>
  <c r="D47" i="2"/>
  <c r="D40"/>
  <c r="D39"/>
  <c r="AM38" i="5"/>
  <c r="AO38" s="1"/>
  <c r="AU38"/>
  <c r="AW38" s="1"/>
  <c r="AQ38"/>
  <c r="AS38" s="1"/>
  <c r="AI38"/>
  <c r="AK38" s="1"/>
  <c r="W38"/>
  <c r="G38"/>
  <c r="S38"/>
  <c r="C38"/>
  <c r="AA38"/>
  <c r="AC38" s="1"/>
  <c r="K38"/>
  <c r="AE38"/>
  <c r="AG38" s="1"/>
  <c r="O38"/>
  <c r="AU34"/>
  <c r="AW34" s="1"/>
  <c r="AQ34"/>
  <c r="AS34" s="1"/>
  <c r="AM34"/>
  <c r="AO34" s="1"/>
  <c r="AI34"/>
  <c r="AK34" s="1"/>
  <c r="S34"/>
  <c r="C34"/>
  <c r="AE34"/>
  <c r="AG34" s="1"/>
  <c r="O34"/>
  <c r="W34"/>
  <c r="AA34"/>
  <c r="AC34" s="1"/>
  <c r="K34"/>
  <c r="G34"/>
  <c r="AM33"/>
  <c r="AO33" s="1"/>
  <c r="AU33"/>
  <c r="AW33" s="1"/>
  <c r="AQ33"/>
  <c r="AS33" s="1"/>
  <c r="W33"/>
  <c r="G33"/>
  <c r="S33"/>
  <c r="AE33"/>
  <c r="AG33" s="1"/>
  <c r="O33"/>
  <c r="AA33"/>
  <c r="AC33" s="1"/>
  <c r="AM42"/>
  <c r="AO42" s="1"/>
  <c r="AU42"/>
  <c r="AW42" s="1"/>
  <c r="AQ42"/>
  <c r="AS42" s="1"/>
  <c r="AI42"/>
  <c r="AK42" s="1"/>
  <c r="W42"/>
  <c r="G42"/>
  <c r="S42"/>
  <c r="C42"/>
  <c r="K42"/>
  <c r="AE42"/>
  <c r="AG42" s="1"/>
  <c r="O42"/>
  <c r="AA42"/>
  <c r="AC42" s="1"/>
  <c r="AI17"/>
  <c r="AK17" s="1"/>
  <c r="AU17"/>
  <c r="AW17" s="1"/>
  <c r="AM17"/>
  <c r="AO17" s="1"/>
  <c r="AQ17"/>
  <c r="AS17" s="1"/>
  <c r="AE17"/>
  <c r="AG17" s="1"/>
  <c r="O17"/>
  <c r="K17"/>
  <c r="AA17"/>
  <c r="AC17" s="1"/>
  <c r="C17"/>
  <c r="W17"/>
  <c r="G17"/>
  <c r="S17"/>
  <c r="AU16"/>
  <c r="AW16" s="1"/>
  <c r="AQ16"/>
  <c r="AS16" s="1"/>
  <c r="AI16"/>
  <c r="AK16" s="1"/>
  <c r="S16"/>
  <c r="C16"/>
  <c r="O16"/>
  <c r="AE16"/>
  <c r="AG16" s="1"/>
  <c r="AA16"/>
  <c r="AC16" s="1"/>
  <c r="K16"/>
  <c r="AU23"/>
  <c r="AW23" s="1"/>
  <c r="AQ23"/>
  <c r="AS23" s="1"/>
  <c r="AM23"/>
  <c r="AO23" s="1"/>
  <c r="S23"/>
  <c r="C23"/>
  <c r="W23"/>
  <c r="O23"/>
  <c r="AA23"/>
  <c r="AC23" s="1"/>
  <c r="K23"/>
  <c r="AI35"/>
  <c r="AK35" s="1"/>
  <c r="AM35"/>
  <c r="AO35" s="1"/>
  <c r="AU35"/>
  <c r="AW35" s="1"/>
  <c r="AQ35"/>
  <c r="AS35" s="1"/>
  <c r="AE35"/>
  <c r="AG35" s="1"/>
  <c r="O35"/>
  <c r="Q35" s="1"/>
  <c r="K35"/>
  <c r="S35"/>
  <c r="U35" s="1"/>
  <c r="AA35"/>
  <c r="AC35" s="1"/>
  <c r="W35"/>
  <c r="Y35" s="1"/>
  <c r="G35"/>
  <c r="C35"/>
  <c r="AU15"/>
  <c r="AW15" s="1"/>
  <c r="AM15"/>
  <c r="AO15" s="1"/>
  <c r="AQ15"/>
  <c r="AS15" s="1"/>
  <c r="AI15"/>
  <c r="AK15" s="1"/>
  <c r="W15"/>
  <c r="G15"/>
  <c r="C15"/>
  <c r="K15"/>
  <c r="S15"/>
  <c r="AE15"/>
  <c r="AG15" s="1"/>
  <c r="O15"/>
  <c r="AA15"/>
  <c r="AC15" s="1"/>
  <c r="AU29"/>
  <c r="AW29" s="1"/>
  <c r="AQ29"/>
  <c r="AS29" s="1"/>
  <c r="AI29"/>
  <c r="AK29" s="1"/>
  <c r="AM29"/>
  <c r="AO29" s="1"/>
  <c r="S29"/>
  <c r="C29"/>
  <c r="G29"/>
  <c r="AE29"/>
  <c r="AG29" s="1"/>
  <c r="O29"/>
  <c r="W29"/>
  <c r="AA29"/>
  <c r="AC29" s="1"/>
  <c r="K29"/>
  <c r="AU36"/>
  <c r="AW36" s="1"/>
  <c r="AQ36"/>
  <c r="AS36" s="1"/>
  <c r="AI36"/>
  <c r="AK36" s="1"/>
  <c r="AA36"/>
  <c r="AC36" s="1"/>
  <c r="K36"/>
  <c r="G36"/>
  <c r="S36"/>
  <c r="C36"/>
  <c r="AE36"/>
  <c r="AG36" s="1"/>
  <c r="D19" i="2"/>
  <c r="Q28" i="1"/>
  <c r="Q22"/>
  <c r="O20"/>
  <c r="Q20" s="1"/>
  <c r="O16"/>
  <c r="Q16" s="1"/>
  <c r="O14"/>
  <c r="Q14" s="1"/>
  <c r="AQ14" i="5"/>
  <c r="AS14" s="1"/>
  <c r="AI14"/>
  <c r="AK14" s="1"/>
  <c r="AM14"/>
  <c r="AO14" s="1"/>
  <c r="AU14"/>
  <c r="AW14" s="1"/>
  <c r="AA14"/>
  <c r="AC14" s="1"/>
  <c r="K14"/>
  <c r="W14"/>
  <c r="G14"/>
  <c r="AE14"/>
  <c r="AG14" s="1"/>
  <c r="S14"/>
  <c r="C14"/>
  <c r="O14"/>
  <c r="AU32"/>
  <c r="AW32" s="1"/>
  <c r="AQ32"/>
  <c r="AS32" s="1"/>
  <c r="AI32"/>
  <c r="AK32" s="1"/>
  <c r="AM32"/>
  <c r="AO32" s="1"/>
  <c r="AA32"/>
  <c r="AC32" s="1"/>
  <c r="K32"/>
  <c r="W32"/>
  <c r="AE32"/>
  <c r="AG32" s="1"/>
  <c r="O32"/>
  <c r="G32"/>
  <c r="S32"/>
  <c r="C32"/>
  <c r="C36" i="2"/>
  <c r="E36" s="1"/>
  <c r="AU26" i="5"/>
  <c r="AW26" s="1"/>
  <c r="AQ26"/>
  <c r="AS26" s="1"/>
  <c r="AI26"/>
  <c r="AK26" s="1"/>
  <c r="AM26"/>
  <c r="AO26" s="1"/>
  <c r="AA26"/>
  <c r="AC26" s="1"/>
  <c r="K26"/>
  <c r="G26"/>
  <c r="W26"/>
  <c r="O26"/>
  <c r="S26"/>
  <c r="C26"/>
  <c r="AE26"/>
  <c r="AG26" s="1"/>
  <c r="O31"/>
  <c r="S31"/>
  <c r="AI25"/>
  <c r="AK25" s="1"/>
  <c r="AM25"/>
  <c r="AO25" s="1"/>
  <c r="AU25"/>
  <c r="AW25" s="1"/>
  <c r="AQ25"/>
  <c r="AS25" s="1"/>
  <c r="AE25"/>
  <c r="AG25" s="1"/>
  <c r="O25"/>
  <c r="C25"/>
  <c r="AA25"/>
  <c r="AC25" s="1"/>
  <c r="K25"/>
  <c r="S25"/>
  <c r="W25"/>
  <c r="G25"/>
  <c r="T42"/>
  <c r="D42"/>
  <c r="H14"/>
  <c r="X36"/>
  <c r="L32"/>
  <c r="P15"/>
  <c r="H27"/>
  <c r="H18"/>
  <c r="T15"/>
  <c r="P18"/>
  <c r="P26"/>
  <c r="T13"/>
  <c r="D26"/>
  <c r="H35"/>
  <c r="T33"/>
  <c r="D32"/>
  <c r="P16"/>
  <c r="D18"/>
  <c r="H34"/>
  <c r="T9"/>
  <c r="H32"/>
  <c r="D36"/>
  <c r="X12"/>
  <c r="L9"/>
  <c r="L33"/>
  <c r="X33"/>
  <c r="P12"/>
  <c r="D41"/>
  <c r="H11"/>
  <c r="T39"/>
  <c r="D14"/>
  <c r="P38"/>
  <c r="X13"/>
  <c r="P42"/>
  <c r="H13"/>
  <c r="X23"/>
  <c r="D23"/>
  <c r="P33"/>
  <c r="D29"/>
  <c r="X11"/>
  <c r="L26"/>
  <c r="H39"/>
  <c r="X34"/>
  <c r="P39"/>
  <c r="D34"/>
  <c r="T10"/>
  <c r="H17"/>
  <c r="H33"/>
  <c r="L41"/>
  <c r="L11"/>
  <c r="D9"/>
  <c r="T40"/>
  <c r="H10"/>
  <c r="L39"/>
  <c r="D39"/>
  <c r="X39"/>
  <c r="T29"/>
  <c r="H40"/>
  <c r="X26"/>
  <c r="P32"/>
  <c r="D10"/>
  <c r="X40"/>
  <c r="H41"/>
  <c r="L35"/>
  <c r="D15"/>
  <c r="T16"/>
  <c r="T18"/>
  <c r="T26"/>
  <c r="T41"/>
  <c r="X14"/>
  <c r="P23"/>
  <c r="H23"/>
  <c r="H12"/>
  <c r="X17"/>
  <c r="X18"/>
  <c r="P11"/>
  <c r="D11"/>
  <c r="P27"/>
  <c r="L15"/>
  <c r="L36"/>
  <c r="L12"/>
  <c r="H26"/>
  <c r="H16"/>
  <c r="D17"/>
  <c r="D12"/>
  <c r="T17"/>
  <c r="H9"/>
  <c r="X32"/>
  <c r="L13"/>
  <c r="X15"/>
  <c r="L29"/>
  <c r="X27"/>
  <c r="H36"/>
  <c r="P17"/>
  <c r="H38"/>
  <c r="L27"/>
  <c r="D13"/>
  <c r="P14"/>
  <c r="P40"/>
  <c r="P9"/>
  <c r="D35"/>
  <c r="P29"/>
  <c r="T34"/>
  <c r="T12"/>
  <c r="T23"/>
  <c r="T38"/>
  <c r="L40"/>
  <c r="H42"/>
  <c r="X16"/>
  <c r="X10"/>
  <c r="D27"/>
  <c r="T27"/>
  <c r="L34"/>
  <c r="X29"/>
  <c r="L18"/>
  <c r="L10"/>
  <c r="T36"/>
  <c r="D38"/>
  <c r="T32"/>
  <c r="P10"/>
  <c r="P13"/>
  <c r="X9"/>
  <c r="P36"/>
  <c r="X38"/>
  <c r="X42"/>
  <c r="T11"/>
  <c r="L42"/>
  <c r="X41"/>
  <c r="P34"/>
  <c r="L23"/>
  <c r="H15"/>
  <c r="L16"/>
  <c r="D33"/>
  <c r="L38"/>
  <c r="D16"/>
  <c r="H29"/>
  <c r="L17"/>
  <c r="L14"/>
  <c r="D40"/>
  <c r="T14"/>
  <c r="P41"/>
  <c r="AU14" i="1" l="1"/>
  <c r="AW14" s="1"/>
  <c r="AX14" s="1"/>
  <c r="AI31" i="5"/>
  <c r="AK31" s="1"/>
  <c r="O36"/>
  <c r="W36"/>
  <c r="AM36"/>
  <c r="AO36" s="1"/>
  <c r="G23"/>
  <c r="AE23"/>
  <c r="AG23" s="1"/>
  <c r="AI23"/>
  <c r="AK23" s="1"/>
  <c r="W16"/>
  <c r="G16"/>
  <c r="AM16"/>
  <c r="AO16" s="1"/>
  <c r="K33"/>
  <c r="C33"/>
  <c r="AI33"/>
  <c r="AK33" s="1"/>
  <c r="W40"/>
  <c r="C40"/>
  <c r="AU40"/>
  <c r="AW40" s="1"/>
  <c r="AJ45"/>
  <c r="AJ5" s="1"/>
  <c r="AZ15"/>
  <c r="BD15" s="1"/>
  <c r="AF45"/>
  <c r="AZ35"/>
  <c r="BD35" s="1"/>
  <c r="AR12" i="1"/>
  <c r="AQ17"/>
  <c r="AR17" s="1"/>
  <c r="AS17" s="1"/>
  <c r="AT17" s="1"/>
  <c r="AU17" s="1"/>
  <c r="AW17" s="1"/>
  <c r="AX17" s="1"/>
  <c r="AY17" s="1"/>
  <c r="AR16"/>
  <c r="AQ20"/>
  <c r="AR20" s="1"/>
  <c r="AS8"/>
  <c r="AT8" s="1"/>
  <c r="AU8" s="1"/>
  <c r="AV8" s="1"/>
  <c r="AQ26"/>
  <c r="AR26" s="1"/>
  <c r="AS26" s="1"/>
  <c r="AT26" s="1"/>
  <c r="AU26" s="1"/>
  <c r="AW26" s="1"/>
  <c r="AX26" s="1"/>
  <c r="AY26" s="1"/>
  <c r="AZ26" s="1"/>
  <c r="BA26" s="1"/>
  <c r="AQ18"/>
  <c r="AR18" s="1"/>
  <c r="AS18" s="1"/>
  <c r="AT18" s="1"/>
  <c r="AU18" s="1"/>
  <c r="AV18" s="1"/>
  <c r="AQ21"/>
  <c r="AR21" s="1"/>
  <c r="AS21" s="1"/>
  <c r="AT21" s="1"/>
  <c r="AU21" s="1"/>
  <c r="AV21" s="1"/>
  <c r="AQ29"/>
  <c r="AR29" s="1"/>
  <c r="AS29" s="1"/>
  <c r="AT29" s="1"/>
  <c r="AU29" s="1"/>
  <c r="AW29" s="1"/>
  <c r="AX29" s="1"/>
  <c r="AY29" s="1"/>
  <c r="AZ29" s="1"/>
  <c r="BA29" s="1"/>
  <c r="AV25"/>
  <c r="AK43" i="5"/>
  <c r="AZ32"/>
  <c r="BD32" s="1"/>
  <c r="AA31"/>
  <c r="AC31" s="1"/>
  <c r="AU31"/>
  <c r="AW31" s="1"/>
  <c r="G31"/>
  <c r="AE31"/>
  <c r="AG31" s="1"/>
  <c r="AB45"/>
  <c r="S43"/>
  <c r="O43"/>
  <c r="W31"/>
  <c r="AQ31"/>
  <c r="AS31" s="1"/>
  <c r="C48" i="2"/>
  <c r="E48" s="1"/>
  <c r="AU13" i="5"/>
  <c r="AW13" s="1"/>
  <c r="O13"/>
  <c r="AM13"/>
  <c r="AO13" s="1"/>
  <c r="S13"/>
  <c r="K13"/>
  <c r="G13"/>
  <c r="AE13"/>
  <c r="AG13" s="1"/>
  <c r="AZ13"/>
  <c r="BD13" s="1"/>
  <c r="AZ14"/>
  <c r="BD14" s="1"/>
  <c r="AJ47"/>
  <c r="C51" i="2"/>
  <c r="E51" s="1"/>
  <c r="AC43" i="5"/>
  <c r="W13"/>
  <c r="AQ13"/>
  <c r="AS13" s="1"/>
  <c r="D31" i="2"/>
  <c r="D30" s="1"/>
  <c r="E30"/>
  <c r="C13" i="5"/>
  <c r="AS43"/>
  <c r="AA13"/>
  <c r="AC13" s="1"/>
  <c r="AI13"/>
  <c r="AK13" s="1"/>
  <c r="AA43"/>
  <c r="AZ12"/>
  <c r="BD12" s="1"/>
  <c r="AQ43"/>
  <c r="C31"/>
  <c r="K31"/>
  <c r="K43" s="1"/>
  <c r="AM31"/>
  <c r="AO31" s="1"/>
  <c r="AO43" s="1"/>
  <c r="AV22" i="1"/>
  <c r="AV10"/>
  <c r="AK25"/>
  <c r="AJ25" s="1"/>
  <c r="AI25" s="1"/>
  <c r="AV30"/>
  <c r="AL25"/>
  <c r="AV28"/>
  <c r="AK12"/>
  <c r="AJ12" s="1"/>
  <c r="AI12" s="1"/>
  <c r="AK20"/>
  <c r="AJ20" s="1"/>
  <c r="AI20" s="1"/>
  <c r="AK30"/>
  <c r="AJ30" s="1"/>
  <c r="AK22"/>
  <c r="AJ22" s="1"/>
  <c r="AI22" s="1"/>
  <c r="AK18"/>
  <c r="AJ18" s="1"/>
  <c r="AL26"/>
  <c r="AI27"/>
  <c r="AH30"/>
  <c r="AL30" s="1"/>
  <c r="AK26"/>
  <c r="AQ13"/>
  <c r="AR13" s="1"/>
  <c r="AS13" s="1"/>
  <c r="AT13" s="1"/>
  <c r="AU13" s="1"/>
  <c r="AW13" s="1"/>
  <c r="AX13" s="1"/>
  <c r="AY13" s="1"/>
  <c r="AZ13" s="1"/>
  <c r="BA13" s="1"/>
  <c r="AL10"/>
  <c r="AK17"/>
  <c r="AK10"/>
  <c r="AL17"/>
  <c r="AK28"/>
  <c r="AJ28" s="1"/>
  <c r="AI28" s="1"/>
  <c r="AL21"/>
  <c r="AK14"/>
  <c r="AL16"/>
  <c r="AK16"/>
  <c r="AL28"/>
  <c r="AN8"/>
  <c r="AL8"/>
  <c r="AK21"/>
  <c r="AK29"/>
  <c r="AL29"/>
  <c r="AL14"/>
  <c r="E16" i="5"/>
  <c r="H25"/>
  <c r="I26"/>
  <c r="Q12"/>
  <c r="I15"/>
  <c r="U15"/>
  <c r="Y39"/>
  <c r="E17"/>
  <c r="M14"/>
  <c r="D31"/>
  <c r="E31" s="1"/>
  <c r="E41"/>
  <c r="U36"/>
  <c r="Q34"/>
  <c r="E33"/>
  <c r="M42"/>
  <c r="U23"/>
  <c r="T19"/>
  <c r="P31"/>
  <c r="Q31" s="1"/>
  <c r="H19"/>
  <c r="D19"/>
  <c r="I12"/>
  <c r="E29"/>
  <c r="I36"/>
  <c r="E39"/>
  <c r="BA13"/>
  <c r="I13"/>
  <c r="E34"/>
  <c r="BA34"/>
  <c r="U29"/>
  <c r="Q29"/>
  <c r="P19"/>
  <c r="U27"/>
  <c r="U38"/>
  <c r="U14"/>
  <c r="E14"/>
  <c r="M18"/>
  <c r="E36"/>
  <c r="BA36"/>
  <c r="L31"/>
  <c r="M31" s="1"/>
  <c r="D25"/>
  <c r="E26"/>
  <c r="H31"/>
  <c r="I31" s="1"/>
  <c r="M38"/>
  <c r="U39"/>
  <c r="U17"/>
  <c r="Q17"/>
  <c r="Q42"/>
  <c r="Q36"/>
  <c r="U33"/>
  <c r="E27"/>
  <c r="M13"/>
  <c r="I34"/>
  <c r="I41"/>
  <c r="I33"/>
  <c r="L19"/>
  <c r="E42"/>
  <c r="I29"/>
  <c r="I14"/>
  <c r="L25"/>
  <c r="L43" s="1"/>
  <c r="L45" s="1"/>
  <c r="E35"/>
  <c r="T31"/>
  <c r="U32"/>
  <c r="P25"/>
  <c r="Q26"/>
  <c r="Q13"/>
  <c r="Q40"/>
  <c r="T25"/>
  <c r="Y13"/>
  <c r="Y40"/>
  <c r="Y17"/>
  <c r="X31"/>
  <c r="Y31" s="1"/>
  <c r="X25"/>
  <c r="Y38"/>
  <c r="X19"/>
  <c r="Y42"/>
  <c r="Y14"/>
  <c r="Q32"/>
  <c r="Q15"/>
  <c r="E15"/>
  <c r="Y34"/>
  <c r="BA16"/>
  <c r="U26"/>
  <c r="M26"/>
  <c r="E32"/>
  <c r="E23"/>
  <c r="Y33"/>
  <c r="M34"/>
  <c r="E38"/>
  <c r="Y26"/>
  <c r="U31"/>
  <c r="Y32"/>
  <c r="Q14"/>
  <c r="I23"/>
  <c r="M16"/>
  <c r="Q16"/>
  <c r="U41"/>
  <c r="M23"/>
  <c r="I16"/>
  <c r="Q33"/>
  <c r="M27"/>
  <c r="I18"/>
  <c r="AR47"/>
  <c r="AR5"/>
  <c r="AN5"/>
  <c r="AN47"/>
  <c r="AW20" i="1"/>
  <c r="AX20" s="1"/>
  <c r="AY20" s="1"/>
  <c r="AZ20" s="1"/>
  <c r="BA20" s="1"/>
  <c r="AZ25" i="5"/>
  <c r="BD25" s="1"/>
  <c r="M25"/>
  <c r="AI43"/>
  <c r="AZ34"/>
  <c r="BD34" s="1"/>
  <c r="AZ16"/>
  <c r="BD16" s="1"/>
  <c r="M36"/>
  <c r="Y29"/>
  <c r="I17"/>
  <c r="U42"/>
  <c r="Q27"/>
  <c r="Y18"/>
  <c r="E13"/>
  <c r="M40"/>
  <c r="BA39"/>
  <c r="BA35"/>
  <c r="BA10"/>
  <c r="Q10" i="1"/>
  <c r="M32" i="5"/>
  <c r="M35"/>
  <c r="U16"/>
  <c r="AF5"/>
  <c r="AB47"/>
  <c r="AB5"/>
  <c r="AM43"/>
  <c r="AZ26"/>
  <c r="BD26" s="1"/>
  <c r="G43"/>
  <c r="AZ29"/>
  <c r="BD29" s="1"/>
  <c r="I32"/>
  <c r="AZ33"/>
  <c r="BD33" s="1"/>
  <c r="Y36"/>
  <c r="M29"/>
  <c r="M15"/>
  <c r="Y15"/>
  <c r="I35"/>
  <c r="Y23"/>
  <c r="Y16"/>
  <c r="I42"/>
  <c r="M33"/>
  <c r="Q38"/>
  <c r="I38"/>
  <c r="Y12"/>
  <c r="E12"/>
  <c r="AZ27"/>
  <c r="BD27" s="1"/>
  <c r="E18"/>
  <c r="Q18"/>
  <c r="U13"/>
  <c r="AG43"/>
  <c r="AW43"/>
  <c r="AE43"/>
  <c r="AU43"/>
  <c r="W43"/>
  <c r="C43"/>
  <c r="Q23"/>
  <c r="M17"/>
  <c r="M12"/>
  <c r="Y27"/>
  <c r="Y41"/>
  <c r="AF47"/>
  <c r="AZ6"/>
  <c r="BD6" s="1"/>
  <c r="BA32"/>
  <c r="BA40"/>
  <c r="BA14"/>
  <c r="BA29"/>
  <c r="AZ39"/>
  <c r="BD39" s="1"/>
  <c r="AZ31"/>
  <c r="BD31" s="1"/>
  <c r="AZ23"/>
  <c r="BD23" s="1"/>
  <c r="AZ36"/>
  <c r="BD36" s="1"/>
  <c r="AZ17"/>
  <c r="BD17" s="1"/>
  <c r="AZ38"/>
  <c r="BD38" s="1"/>
  <c r="AZ42"/>
  <c r="BD42" s="1"/>
  <c r="U12"/>
  <c r="I27"/>
  <c r="U18"/>
  <c r="M39"/>
  <c r="Q39"/>
  <c r="Q41"/>
  <c r="U40"/>
  <c r="E40"/>
  <c r="BA11"/>
  <c r="BA9"/>
  <c r="BA27"/>
  <c r="BA17"/>
  <c r="U34"/>
  <c r="M41"/>
  <c r="I40"/>
  <c r="BA6"/>
  <c r="BA26"/>
  <c r="BA42"/>
  <c r="BA38"/>
  <c r="BA33"/>
  <c r="BA12"/>
  <c r="BA23"/>
  <c r="AZ41"/>
  <c r="BD41" s="1"/>
  <c r="AZ40"/>
  <c r="BD40" s="1"/>
  <c r="AZ18"/>
  <c r="BD18" s="1"/>
  <c r="BA41"/>
  <c r="BA18"/>
  <c r="BA15"/>
  <c r="AV45"/>
  <c r="I39"/>
  <c r="AW10" i="1"/>
  <c r="AW22"/>
  <c r="AW28"/>
  <c r="AW27"/>
  <c r="AX27" s="1"/>
  <c r="AY27" s="1"/>
  <c r="AZ27" s="1"/>
  <c r="BA27" s="1"/>
  <c r="AW30"/>
  <c r="AX30" s="1"/>
  <c r="AY30" s="1"/>
  <c r="AZ30" s="1"/>
  <c r="BA30" s="1"/>
  <c r="AW25"/>
  <c r="AX25" s="1"/>
  <c r="AY25" s="1"/>
  <c r="AZ25" s="1"/>
  <c r="BA25" s="1"/>
  <c r="AV14" l="1"/>
  <c r="AV17"/>
  <c r="BA19" i="5"/>
  <c r="BE19" s="1"/>
  <c r="AS12" i="1"/>
  <c r="AY14"/>
  <c r="AV20"/>
  <c r="AS16"/>
  <c r="AT16" s="1"/>
  <c r="AV26"/>
  <c r="AW21"/>
  <c r="AX21" s="1"/>
  <c r="AW18"/>
  <c r="AX18" s="1"/>
  <c r="AV29"/>
  <c r="P43" i="5"/>
  <c r="P45" s="1"/>
  <c r="BA31"/>
  <c r="BB31" s="1"/>
  <c r="Q25"/>
  <c r="AN25" i="1"/>
  <c r="AN12"/>
  <c r="AV13"/>
  <c r="AI30"/>
  <c r="AN18"/>
  <c r="AN20"/>
  <c r="AN30"/>
  <c r="AN22"/>
  <c r="AM9" i="5"/>
  <c r="AO9" s="1"/>
  <c r="AH13" i="1"/>
  <c r="AL13" s="1"/>
  <c r="AJ26"/>
  <c r="AI26" s="1"/>
  <c r="AN26"/>
  <c r="AJ10"/>
  <c r="AI10" s="1"/>
  <c r="AN10"/>
  <c r="AJ17"/>
  <c r="AI17" s="1"/>
  <c r="AN17"/>
  <c r="O9" i="5"/>
  <c r="Q9" s="1"/>
  <c r="AN28" i="1"/>
  <c r="AK13"/>
  <c r="AJ29"/>
  <c r="AI29" s="1"/>
  <c r="AN29"/>
  <c r="C9" i="5"/>
  <c r="C10" s="1"/>
  <c r="AJ21" i="1"/>
  <c r="AI21" s="1"/>
  <c r="AN21"/>
  <c r="AI9" i="5"/>
  <c r="AK9" s="1"/>
  <c r="W9"/>
  <c r="W10" s="1"/>
  <c r="Y10" s="1"/>
  <c r="AN16" i="1"/>
  <c r="AJ16"/>
  <c r="AI16" s="1"/>
  <c r="AJ14"/>
  <c r="AI14" s="1"/>
  <c r="AN14"/>
  <c r="S9" i="5"/>
  <c r="S10" s="1"/>
  <c r="U10" s="1"/>
  <c r="AA9"/>
  <c r="AA10" s="1"/>
  <c r="AC10" s="1"/>
  <c r="K9"/>
  <c r="K10" s="1"/>
  <c r="M10" s="1"/>
  <c r="BE23"/>
  <c r="BF23" s="1"/>
  <c r="BB23"/>
  <c r="BE38"/>
  <c r="BF38" s="1"/>
  <c r="BB38"/>
  <c r="BE11"/>
  <c r="M43"/>
  <c r="BE29"/>
  <c r="BF29" s="1"/>
  <c r="BB29"/>
  <c r="AZ43"/>
  <c r="BD43" s="1"/>
  <c r="X43"/>
  <c r="X45" s="1"/>
  <c r="Y25"/>
  <c r="Y43" s="1"/>
  <c r="E25"/>
  <c r="E43" s="1"/>
  <c r="D43"/>
  <c r="BE34"/>
  <c r="BF34" s="1"/>
  <c r="BB34"/>
  <c r="AX22" i="1"/>
  <c r="G9" i="5"/>
  <c r="BE31"/>
  <c r="BF31" s="1"/>
  <c r="BE12"/>
  <c r="BF12" s="1"/>
  <c r="BB12"/>
  <c r="BB42"/>
  <c r="BE42"/>
  <c r="BF42" s="1"/>
  <c r="BE17"/>
  <c r="BF17" s="1"/>
  <c r="BB17"/>
  <c r="BB14"/>
  <c r="BE14"/>
  <c r="BF14" s="1"/>
  <c r="BE10"/>
  <c r="BE16"/>
  <c r="BF16" s="1"/>
  <c r="BB16"/>
  <c r="T43"/>
  <c r="T45" s="1"/>
  <c r="U25"/>
  <c r="U43" s="1"/>
  <c r="P5"/>
  <c r="P47"/>
  <c r="L47"/>
  <c r="L5"/>
  <c r="BB18"/>
  <c r="BE18"/>
  <c r="BF18" s="1"/>
  <c r="BE41"/>
  <c r="BF41" s="1"/>
  <c r="BB41"/>
  <c r="BA25"/>
  <c r="BB26"/>
  <c r="BE26"/>
  <c r="BF26" s="1"/>
  <c r="BE27"/>
  <c r="BF27" s="1"/>
  <c r="BB27"/>
  <c r="BB40"/>
  <c r="BE40"/>
  <c r="BF40" s="1"/>
  <c r="Q43"/>
  <c r="BE35"/>
  <c r="BF35" s="1"/>
  <c r="BB35"/>
  <c r="BE36"/>
  <c r="BF36" s="1"/>
  <c r="BB36"/>
  <c r="H43"/>
  <c r="H45" s="1"/>
  <c r="I25"/>
  <c r="I43" s="1"/>
  <c r="AX10" i="1"/>
  <c r="AW8"/>
  <c r="AE9" i="5"/>
  <c r="AV5"/>
  <c r="AV47"/>
  <c r="BE15"/>
  <c r="BF15" s="1"/>
  <c r="BB15"/>
  <c r="BE33"/>
  <c r="BF33" s="1"/>
  <c r="BB33"/>
  <c r="BE6"/>
  <c r="BB6"/>
  <c r="BE9"/>
  <c r="BB32"/>
  <c r="BE32"/>
  <c r="BF32" s="1"/>
  <c r="BB39"/>
  <c r="BE39"/>
  <c r="BF39" s="1"/>
  <c r="BE13"/>
  <c r="BF13" s="1"/>
  <c r="BB13"/>
  <c r="AZ14" i="1" l="1"/>
  <c r="BA14" s="1"/>
  <c r="AT12"/>
  <c r="AM10" i="5"/>
  <c r="AO10" s="1"/>
  <c r="E9"/>
  <c r="AZ9"/>
  <c r="BD9" s="1"/>
  <c r="BF9" s="1"/>
  <c r="Y9"/>
  <c r="AC9"/>
  <c r="O10"/>
  <c r="Q10" s="1"/>
  <c r="AQ9"/>
  <c r="AJ13" i="1"/>
  <c r="AI13" s="1"/>
  <c r="AN13"/>
  <c r="AI10" i="5"/>
  <c r="AK10" s="1"/>
  <c r="M9"/>
  <c r="U9"/>
  <c r="AU9"/>
  <c r="AY22" i="1"/>
  <c r="AY28"/>
  <c r="AG9" i="5"/>
  <c r="AE10"/>
  <c r="AG10" s="1"/>
  <c r="E10"/>
  <c r="AX8" i="1"/>
  <c r="AY10"/>
  <c r="H47" i="5"/>
  <c r="H5"/>
  <c r="T47"/>
  <c r="T5"/>
  <c r="AY21" i="1"/>
  <c r="X5" i="5"/>
  <c r="X47"/>
  <c r="BE25"/>
  <c r="BF25" s="1"/>
  <c r="BB25"/>
  <c r="BF6"/>
  <c r="AY18" i="1"/>
  <c r="AU16"/>
  <c r="AV16" s="1"/>
  <c r="G10" i="5"/>
  <c r="I10" s="1"/>
  <c r="I9"/>
  <c r="D45"/>
  <c r="BA43"/>
  <c r="AU12" i="1" l="1"/>
  <c r="BB9" i="5"/>
  <c r="E14" i="2"/>
  <c r="E16" s="1"/>
  <c r="C16" s="1"/>
  <c r="AQ10" i="5"/>
  <c r="AS10" s="1"/>
  <c r="AS9"/>
  <c r="AW9"/>
  <c r="AU10"/>
  <c r="AW10" s="1"/>
  <c r="AZ28" i="1"/>
  <c r="AZ22"/>
  <c r="AW16"/>
  <c r="AZ18"/>
  <c r="AZ10"/>
  <c r="BB43" i="5"/>
  <c r="BE43"/>
  <c r="BF43" s="1"/>
  <c r="AZ17" i="1"/>
  <c r="AY8"/>
  <c r="AZ21"/>
  <c r="D5" i="5"/>
  <c r="D47"/>
  <c r="BA47" s="1"/>
  <c r="BA45"/>
  <c r="BE45" s="1"/>
  <c r="AZ10"/>
  <c r="AV12" i="1" l="1"/>
  <c r="AW12"/>
  <c r="C14" i="2"/>
  <c r="C15" s="1"/>
  <c r="E15" s="1"/>
  <c r="BA22" i="1"/>
  <c r="BA28"/>
  <c r="BA18"/>
  <c r="BD10" i="5"/>
  <c r="BF10" s="1"/>
  <c r="BB10"/>
  <c r="BA10" i="1"/>
  <c r="BA21"/>
  <c r="AZ8"/>
  <c r="AX16"/>
  <c r="AU11" i="5"/>
  <c r="W11"/>
  <c r="AE11"/>
  <c r="AQ11"/>
  <c r="G11"/>
  <c r="K11"/>
  <c r="AA11"/>
  <c r="AI11"/>
  <c r="S11"/>
  <c r="O11"/>
  <c r="AM11"/>
  <c r="C11"/>
  <c r="BA5"/>
  <c r="BA17" i="1"/>
  <c r="AX12" l="1"/>
  <c r="C24" i="2"/>
  <c r="E4" s="1"/>
  <c r="F4" s="1"/>
  <c r="U11" i="5"/>
  <c r="U19" s="1"/>
  <c r="S19"/>
  <c r="S45" s="1"/>
  <c r="I11"/>
  <c r="I19" s="1"/>
  <c r="G19"/>
  <c r="G45" s="1"/>
  <c r="AW11"/>
  <c r="AW19" s="1"/>
  <c r="AU19"/>
  <c r="AU45" s="1"/>
  <c r="BA8" i="1"/>
  <c r="BE5" i="5"/>
  <c r="E11"/>
  <c r="E19" s="1"/>
  <c r="AZ11"/>
  <c r="C19"/>
  <c r="AK11"/>
  <c r="AK19" s="1"/>
  <c r="AI19"/>
  <c r="AI45" s="1"/>
  <c r="AS11"/>
  <c r="AS19" s="1"/>
  <c r="AQ19"/>
  <c r="AQ45" s="1"/>
  <c r="AO11"/>
  <c r="AO19" s="1"/>
  <c r="AM19"/>
  <c r="AM45" s="1"/>
  <c r="AC11"/>
  <c r="AC19" s="1"/>
  <c r="AA19"/>
  <c r="AA45" s="1"/>
  <c r="AG11"/>
  <c r="AG19" s="1"/>
  <c r="AE19"/>
  <c r="AE45" s="1"/>
  <c r="Q11"/>
  <c r="Q19" s="1"/>
  <c r="O19"/>
  <c r="O45" s="1"/>
  <c r="M11"/>
  <c r="M19" s="1"/>
  <c r="K19"/>
  <c r="K45" s="1"/>
  <c r="Y11"/>
  <c r="Y19" s="1"/>
  <c r="W19"/>
  <c r="W45" s="1"/>
  <c r="AY16" i="1"/>
  <c r="AY12" l="1"/>
  <c r="E24" i="2"/>
  <c r="E50" s="1"/>
  <c r="C50"/>
  <c r="K22" s="1"/>
  <c r="AQ47" i="5"/>
  <c r="AQ5"/>
  <c r="AS5" s="1"/>
  <c r="AS45"/>
  <c r="AS47" s="1"/>
  <c r="AZ19"/>
  <c r="C45"/>
  <c r="AU47"/>
  <c r="AU5"/>
  <c r="AW5" s="1"/>
  <c r="AW45"/>
  <c r="AW47" s="1"/>
  <c r="S47"/>
  <c r="S5"/>
  <c r="U5" s="1"/>
  <c r="U45"/>
  <c r="U47" s="1"/>
  <c r="W5"/>
  <c r="Y5" s="1"/>
  <c r="W47"/>
  <c r="Y45"/>
  <c r="Y47" s="1"/>
  <c r="O5"/>
  <c r="Q5" s="1"/>
  <c r="O47"/>
  <c r="Q45"/>
  <c r="Q47" s="1"/>
  <c r="AE47"/>
  <c r="AE5"/>
  <c r="AG5" s="1"/>
  <c r="AG45"/>
  <c r="AG47" s="1"/>
  <c r="AM5"/>
  <c r="AO5" s="1"/>
  <c r="AM47"/>
  <c r="AO45"/>
  <c r="AO47" s="1"/>
  <c r="BD11"/>
  <c r="BF11" s="1"/>
  <c r="BB11"/>
  <c r="AI5"/>
  <c r="AK5" s="1"/>
  <c r="AK45"/>
  <c r="AK47" s="1"/>
  <c r="AI47"/>
  <c r="G47"/>
  <c r="G5"/>
  <c r="I5" s="1"/>
  <c r="I45"/>
  <c r="I47" s="1"/>
  <c r="AZ16" i="1"/>
  <c r="K5" i="5"/>
  <c r="M5" s="1"/>
  <c r="K47"/>
  <c r="M45"/>
  <c r="M47" s="1"/>
  <c r="AA47"/>
  <c r="AA5"/>
  <c r="AC5" s="1"/>
  <c r="AC45"/>
  <c r="AC47" s="1"/>
  <c r="BE47"/>
  <c r="AZ12" i="1" l="1"/>
  <c r="E5" i="2"/>
  <c r="K24" s="1"/>
  <c r="BD19" i="5"/>
  <c r="BF19" s="1"/>
  <c r="BB19"/>
  <c r="BA16" i="1"/>
  <c r="C5" i="5"/>
  <c r="AZ45"/>
  <c r="C47"/>
  <c r="AZ47" s="1"/>
  <c r="BB47" s="1"/>
  <c r="E45"/>
  <c r="E47" s="1"/>
  <c r="B33" i="4" l="1"/>
  <c r="BA12" i="1"/>
  <c r="F5" i="2"/>
  <c r="AZ5" i="5"/>
  <c r="E5"/>
  <c r="BD45"/>
  <c r="BF45" s="1"/>
  <c r="BB45"/>
  <c r="BD5" l="1"/>
  <c r="BB5"/>
  <c r="BD47" l="1"/>
  <c r="BF5"/>
  <c r="BF47" s="1"/>
</calcChain>
</file>

<file path=xl/comments1.xml><?xml version="1.0" encoding="utf-8"?>
<comments xmlns="http://schemas.openxmlformats.org/spreadsheetml/2006/main">
  <authors>
    <author>Laurine CAMPET BOISSEAU</author>
    <author>Daniel MOINEUSE</author>
    <author>Mathilde TESTOT-FERRY</author>
  </authors>
  <commentList>
    <comment ref="AT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2ème entrée le 27/05/2019</t>
        </r>
      </text>
    </comment>
    <comment ref="AD1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57500€ au 01/09</t>
        </r>
      </text>
    </comment>
    <comment ref="AD13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Retour congés mat le 10/09 
</t>
        </r>
      </text>
    </comment>
    <comment ref="AG13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37,8K€</t>
        </r>
      </text>
    </comment>
    <comment ref="AR14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60K€ 01/09
au retour congés mat</t>
        </r>
      </text>
    </comment>
    <comment ref="AP16" authorId="0">
      <text>
        <r>
          <rPr>
            <b/>
            <sz val="9"/>
            <color rgb="FF000000"/>
            <rFont val="Tahoma"/>
            <family val="2"/>
          </rPr>
          <t>Laurine CAMPET BOISSEAU:</t>
        </r>
        <r>
          <rPr>
            <sz val="9"/>
            <color rgb="FF000000"/>
            <rFont val="Tahoma"/>
            <family val="2"/>
          </rPr>
          <t xml:space="preserve">
41K € au 09/01</t>
        </r>
      </text>
    </comment>
    <comment ref="Z1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Congé maternité</t>
        </r>
      </text>
    </comment>
    <comment ref="AD1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Retour congés mat + 48,5K€ 01/09</t>
        </r>
      </text>
    </comment>
    <comment ref="AD1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Embauche CDI à 38K€</t>
        </r>
      </text>
    </comment>
    <comment ref="Y2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44K€ brut annuel</t>
        </r>
      </text>
    </comment>
    <comment ref="AS2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45000€ au 10/04</t>
        </r>
      </text>
    </comment>
    <comment ref="AE2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37,8K€ au 01/10.</t>
        </r>
      </text>
    </comment>
    <comment ref="AD22" authorId="0">
      <text>
        <r>
          <rPr>
            <b/>
            <sz val="9"/>
            <color indexed="81"/>
            <rFont val="Tahoma"/>
            <family val="2"/>
          </rPr>
          <t>Laurine CAMPET BOISSEAU:
50K€ 01/09/18</t>
        </r>
      </text>
    </comment>
    <comment ref="AD2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112K € 01/09</t>
        </r>
      </text>
    </comment>
    <comment ref="AF26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41K€ au 01/11/2018</t>
        </r>
      </text>
    </comment>
    <comment ref="AD2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60K€ au 01/09</t>
        </r>
      </text>
    </comment>
    <comment ref="AX28" authorId="1">
      <text>
        <r>
          <rPr>
            <b/>
            <sz val="9"/>
            <color indexed="81"/>
            <rFont val="Tahoma"/>
            <family val="2"/>
          </rPr>
          <t>Daniel MOINEUSE:</t>
        </r>
        <r>
          <rPr>
            <sz val="9"/>
            <color indexed="81"/>
            <rFont val="Tahoma"/>
            <family val="2"/>
          </rPr>
          <t xml:space="preserve">
Passage à 70 k€</t>
        </r>
      </text>
    </comment>
    <comment ref="AG29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38K€ 01/12</t>
        </r>
      </text>
    </comment>
    <comment ref="AE3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48K€ au 01/10</t>
        </r>
      </text>
    </comment>
    <comment ref="AX31" authorId="1">
      <text>
        <r>
          <rPr>
            <b/>
            <sz val="9"/>
            <color indexed="81"/>
            <rFont val="Tahoma"/>
            <family val="2"/>
          </rPr>
          <t>Daniel MOINEUSE:</t>
        </r>
        <r>
          <rPr>
            <sz val="9"/>
            <color indexed="81"/>
            <rFont val="Tahoma"/>
            <family val="2"/>
          </rPr>
          <t xml:space="preserve">
Prolongation ou remplacement</t>
        </r>
      </text>
    </comment>
    <comment ref="AR34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52,5K€ au 01/03</t>
        </r>
      </text>
    </comment>
    <comment ref="H35" authorId="1">
      <text>
        <r>
          <rPr>
            <b/>
            <sz val="9"/>
            <color indexed="81"/>
            <rFont val="Tahoma"/>
            <family val="2"/>
          </rPr>
          <t>Daniel MOINEUSE:</t>
        </r>
        <r>
          <rPr>
            <sz val="9"/>
            <color indexed="81"/>
            <rFont val="Tahoma"/>
            <family val="2"/>
          </rPr>
          <t xml:space="preserve">
Versé janvier 2017</t>
        </r>
      </text>
    </comment>
    <comment ref="AD3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93K€ au 01/09</t>
        </r>
      </text>
    </comment>
    <comment ref="AA3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36720€ au 01/06</t>
        </r>
      </text>
    </comment>
    <comment ref="AU3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39K€ au 1er/06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40150€ en février 2018</t>
        </r>
      </text>
    </comment>
    <comment ref="AP39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45K€ u 01/01/2019</t>
        </r>
      </text>
    </comment>
    <comment ref="AB4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53,5K€ au 01/07/2018</t>
        </r>
      </text>
    </comment>
    <comment ref="W4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43,2 K€ au 02/2018</t>
        </r>
      </text>
    </comment>
    <comment ref="AD4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44,5K€ 01/09</t>
        </r>
      </text>
    </comment>
    <comment ref="AE44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36K€</t>
        </r>
      </text>
    </comment>
    <comment ref="AF4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55K€ + 5 K€ de prime à partir du 05/11/18</t>
        </r>
      </text>
    </comment>
    <comment ref="Y46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Arrivée le 03/04/18</t>
        </r>
      </text>
    </comment>
    <comment ref="AS46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34,5K€ au 03/04</t>
        </r>
      </text>
    </comment>
    <comment ref="AD4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65 K€</t>
        </r>
      </text>
    </comment>
    <comment ref="AD4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58K€ 01/09</t>
        </r>
      </text>
    </comment>
    <comment ref="AP49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Départ le 06/01</t>
        </r>
      </text>
    </comment>
    <comment ref="K52" authorId="1">
      <text>
        <r>
          <rPr>
            <b/>
            <sz val="9"/>
            <color indexed="81"/>
            <rFont val="Tahoma"/>
            <family val="2"/>
          </rPr>
          <t>Daniel MOINEUSE:</t>
        </r>
        <r>
          <rPr>
            <sz val="9"/>
            <color indexed="81"/>
            <rFont val="Tahoma"/>
            <family val="2"/>
          </rPr>
          <t xml:space="preserve">
Stage jusqu'au 05/03 puis sans solde du 6 au 21 mars</t>
        </r>
      </text>
    </comment>
    <comment ref="AP52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CP au 01/01/2019 avec 39500€ </t>
        </r>
      </text>
    </comment>
    <comment ref="AD53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46,5K€ au 01/09</t>
        </r>
      </text>
    </comment>
    <comment ref="AG5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Début de CDI le 17/12/2018 à 40K€</t>
        </r>
      </text>
    </comment>
    <comment ref="AI5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2,4K€ de prime </t>
        </r>
      </text>
    </comment>
    <comment ref="AF5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35,7K€ au 01/11</t>
        </r>
      </text>
    </comment>
    <comment ref="AQ6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A modifier</t>
        </r>
      </text>
    </comment>
    <comment ref="W62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Congés maternité à partir du 04/02</t>
        </r>
      </text>
    </comment>
    <comment ref="Y63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de 28K à 30,5K</t>
        </r>
      </text>
    </comment>
    <comment ref="AS63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34K€ au 01/03</t>
        </r>
      </text>
    </comment>
    <comment ref="AD64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41K€ au 01/09</t>
        </r>
      </text>
    </comment>
    <comment ref="AS6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Augmentation pour apprenti +26 ans</t>
        </r>
      </text>
    </comment>
    <comment ref="AD69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32;8K€ au 01/09</t>
        </r>
      </text>
    </comment>
    <comment ref="X7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Mi-temps</t>
        </r>
      </text>
    </comment>
    <comment ref="Y7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Mi-temps jusqu'au 21 Avril</t>
        </r>
      </text>
    </comment>
    <comment ref="Z7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Congés sans solde en Mai</t>
        </r>
      </text>
    </comment>
    <comment ref="AA7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A partir du 04/06</t>
        </r>
      </text>
    </comment>
    <comment ref="AR7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47,7K€ au 01/03</t>
        </r>
      </text>
    </comment>
    <comment ref="AP7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39,5 K€ en 01/2019</t>
        </r>
      </text>
    </comment>
    <comment ref="AT72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35 700€</t>
        </r>
      </text>
    </comment>
    <comment ref="AE73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Embauche en CDI</t>
        </r>
      </text>
    </comment>
    <comment ref="AU74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34K€</t>
        </r>
      </text>
    </comment>
    <comment ref="AD7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45K€ au 01/09</t>
        </r>
      </text>
    </comment>
    <comment ref="AD76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50K€ 01/09</t>
        </r>
      </text>
    </comment>
    <comment ref="AD7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45000€ 01/09</t>
        </r>
      </text>
    </comment>
    <comment ref="AJ79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Le mandataire social n'a la participation que lros de la 1ère année</t>
        </r>
      </text>
    </comment>
    <comment ref="O80" authorId="1">
      <text>
        <r>
          <rPr>
            <b/>
            <sz val="9"/>
            <color indexed="81"/>
            <rFont val="Tahoma"/>
            <family val="2"/>
          </rPr>
          <t>Daniel MOINEUSE:</t>
        </r>
        <r>
          <rPr>
            <sz val="9"/>
            <color indexed="81"/>
            <rFont val="Tahoma"/>
            <family val="2"/>
          </rPr>
          <t xml:space="preserve">
Stage jusqu'au 03/07 puis CE à partir du 04/07</t>
        </r>
      </text>
    </comment>
    <comment ref="AD8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90K€ 01/09</t>
        </r>
      </text>
    </comment>
    <comment ref="N82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55K€ + 5 K€ de prime à partir du 05/11/18</t>
        </r>
      </text>
    </comment>
    <comment ref="AT83" authorId="2">
      <text>
        <r>
          <rPr>
            <b/>
            <sz val="9"/>
            <color indexed="81"/>
            <rFont val="Tahoma"/>
            <family val="2"/>
          </rPr>
          <t>Mathilde TESTOT-FERRY:</t>
        </r>
        <r>
          <rPr>
            <sz val="9"/>
            <color indexed="81"/>
            <rFont val="Tahoma"/>
            <family val="2"/>
          </rPr>
          <t xml:space="preserve">
48K le 15/05</t>
        </r>
      </text>
    </comment>
    <comment ref="AE8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39K€ au 01/10</t>
        </r>
      </text>
    </comment>
    <comment ref="Y86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Retour congés maternité le 04/04/2018</t>
        </r>
      </text>
    </comment>
    <comment ref="AG86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44720€ au 01/12</t>
        </r>
      </text>
    </comment>
    <comment ref="AD8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45K€ au 01/09</t>
        </r>
      </text>
    </comment>
    <comment ref="AF9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33K€ au 01/11</t>
        </r>
      </text>
    </comment>
    <comment ref="AF92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Départ congé mat le 08/11</t>
        </r>
      </text>
    </comment>
    <comment ref="AX92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Retour congés mat</t>
        </r>
      </text>
    </comment>
    <comment ref="AF93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42K€ au 01/11</t>
        </r>
      </text>
    </comment>
    <comment ref="U9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à partir du 04/12/2017</t>
        </r>
      </text>
    </comment>
    <comment ref="AG9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de 50K€ à 53K€</t>
        </r>
      </text>
    </comment>
    <comment ref="AD96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37K€ 11/09</t>
        </r>
      </text>
    </comment>
    <comment ref="Z9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Arrivée le 28/05/2018</t>
        </r>
      </text>
    </comment>
    <comment ref="AD99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34K€ annuel</t>
        </r>
      </text>
    </comment>
    <comment ref="V10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de 33400€ à 34000€ en Janvier 2018</t>
        </r>
      </text>
    </comment>
    <comment ref="AP10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Passage à 36,5K€ au 01/01</t>
        </r>
      </text>
    </comment>
    <comment ref="AD10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93K€ 01/09</t>
        </r>
      </text>
    </comment>
    <comment ref="Z10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Arrivée le 28/05/2018</t>
        </r>
      </text>
    </comment>
    <comment ref="U11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Départ le 18/12/2017</t>
        </r>
      </text>
    </comment>
    <comment ref="AD11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Ajout de 1,2K€ de prime de précarité</t>
        </r>
      </text>
    </comment>
    <comment ref="R119" authorId="1">
      <text>
        <r>
          <rPr>
            <b/>
            <sz val="9"/>
            <color indexed="81"/>
            <rFont val="Tahoma"/>
            <family val="2"/>
          </rPr>
          <t>Daniel MOINEUSE:</t>
        </r>
        <r>
          <rPr>
            <sz val="9"/>
            <color indexed="81"/>
            <rFont val="Tahoma"/>
            <family val="2"/>
          </rPr>
          <t xml:space="preserve">
SB+CP+PV</t>
        </r>
      </text>
    </comment>
    <comment ref="Z12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Démission effective le 11 Mai</t>
        </r>
      </text>
    </comment>
    <comment ref="AD124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Rupture conventionnelle au 30/09/2018</t>
        </r>
      </text>
    </comment>
    <comment ref="Y12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Retour temps plein</t>
        </r>
      </text>
    </comment>
    <comment ref="AC12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Démission en date du 31082018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Daniel MOINEUSE:</t>
        </r>
        <r>
          <rPr>
            <sz val="9"/>
            <color indexed="81"/>
            <rFont val="Tahoma"/>
            <family val="2"/>
          </rPr>
          <t xml:space="preserve">
Passage de 80 à 100%</t>
        </r>
      </text>
    </comment>
    <comment ref="Z131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Fin de contrat le 06/05/2017</t>
        </r>
      </text>
    </comment>
    <comment ref="Y13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Demission pour le 19 Avril</t>
        </r>
      </text>
    </comment>
    <comment ref="X138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Sortie le 02/03/2018</t>
        </r>
      </text>
    </comment>
    <comment ref="AD140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Démission en date du 30/09/2018</t>
        </r>
      </text>
    </comment>
    <comment ref="Z14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Début de 5 mois de CDD</t>
        </r>
      </text>
    </comment>
    <comment ref="AE145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Début de CDI</t>
        </r>
      </text>
    </comment>
    <comment ref="V147" authorId="0">
      <text>
        <r>
          <rPr>
            <b/>
            <sz val="9"/>
            <color indexed="81"/>
            <rFont val="Tahoma"/>
            <family val="2"/>
          </rPr>
          <t>Laurine CAMPET BOISSEAU:</t>
        </r>
        <r>
          <rPr>
            <sz val="9"/>
            <color indexed="81"/>
            <rFont val="Tahoma"/>
            <family val="2"/>
          </rPr>
          <t xml:space="preserve">
Arrivée le 16/01/2018</t>
        </r>
      </text>
    </comment>
  </commentList>
</comments>
</file>

<file path=xl/sharedStrings.xml><?xml version="1.0" encoding="utf-8"?>
<sst xmlns="http://schemas.openxmlformats.org/spreadsheetml/2006/main" count="4593" uniqueCount="780">
  <si>
    <t>Nom</t>
  </si>
  <si>
    <t>Sortie</t>
  </si>
  <si>
    <t>Primes</t>
  </si>
  <si>
    <t>TOTAL Août</t>
  </si>
  <si>
    <t>Rémunérations du personnel</t>
  </si>
  <si>
    <t>Charges sociales</t>
  </si>
  <si>
    <t>Assurances</t>
  </si>
  <si>
    <t>Montant mensuel</t>
  </si>
  <si>
    <t>Montant annuel</t>
  </si>
  <si>
    <t>Source</t>
  </si>
  <si>
    <t>Numéro</t>
  </si>
  <si>
    <t>Intitulé</t>
  </si>
  <si>
    <t>Solde</t>
  </si>
  <si>
    <t>10130000</t>
  </si>
  <si>
    <t>CAP.SOUSCR. APPELE VERSE</t>
  </si>
  <si>
    <t/>
  </si>
  <si>
    <t>10611000</t>
  </si>
  <si>
    <t>RESERVE LEGALE PROPR.DITE</t>
  </si>
  <si>
    <t>10688000</t>
  </si>
  <si>
    <t>AUTRES RESERVES</t>
  </si>
  <si>
    <t>12000000</t>
  </si>
  <si>
    <t>RESULT. EXERCICE BENEFICE</t>
  </si>
  <si>
    <t>15180000</t>
  </si>
  <si>
    <t>AUTR.PROVIS.POUR RISQUES</t>
  </si>
  <si>
    <t>16440000</t>
  </si>
  <si>
    <t>EMPRUNT BANQUE BAECQUE BE</t>
  </si>
  <si>
    <t>16470000</t>
  </si>
  <si>
    <t>PRET OSEO BPI 150 000 €</t>
  </si>
  <si>
    <t>16480000</t>
  </si>
  <si>
    <t>PRET SG</t>
  </si>
  <si>
    <t>16520000</t>
  </si>
  <si>
    <t>DEPOT CAUTION R.DURET</t>
  </si>
  <si>
    <t>20500000</t>
  </si>
  <si>
    <t>CONCESS. BREVETS LICENCE</t>
  </si>
  <si>
    <t>20710000</t>
  </si>
  <si>
    <t>FOND COMMERCIAL</t>
  </si>
  <si>
    <t>21810000</t>
  </si>
  <si>
    <t>AAI DIVERS</t>
  </si>
  <si>
    <t>21830000</t>
  </si>
  <si>
    <t>MATERIEL BUREAU ET INFO.</t>
  </si>
  <si>
    <t>21840000</t>
  </si>
  <si>
    <t>MOBILIER</t>
  </si>
  <si>
    <t>26200000</t>
  </si>
  <si>
    <t>ACTIONS GONDWANA</t>
  </si>
  <si>
    <t>26710000</t>
  </si>
  <si>
    <t>CREANCES RATTACHEES GONDWANA</t>
  </si>
  <si>
    <t>27500000</t>
  </si>
  <si>
    <t>DEPOTS CAUTIONNEM.VERSES</t>
  </si>
  <si>
    <t>28050000</t>
  </si>
  <si>
    <t>AMORT.CONCESSIONS BREVETS</t>
  </si>
  <si>
    <t>28181000</t>
  </si>
  <si>
    <t>AMORT.AAI DIVERS</t>
  </si>
  <si>
    <t>28183000</t>
  </si>
  <si>
    <t>AMORT.MAT.BUREAU ET INFO.</t>
  </si>
  <si>
    <t>28184000</t>
  </si>
  <si>
    <t>40100000</t>
  </si>
  <si>
    <t>FOURNISSEURS</t>
  </si>
  <si>
    <t>40810000</t>
  </si>
  <si>
    <t>FOURN. FACT.NON PARVENUES</t>
  </si>
  <si>
    <t>40980000</t>
  </si>
  <si>
    <t>AVOIRS A RECEVOIR</t>
  </si>
  <si>
    <t>41100000</t>
  </si>
  <si>
    <t>CLIENTS</t>
  </si>
  <si>
    <t>41600000</t>
  </si>
  <si>
    <t>CLIENTS DOUTEUX LITIGIEUX</t>
  </si>
  <si>
    <t>41810000</t>
  </si>
  <si>
    <t>CLIENTS PROD.NON ENC.FACT</t>
  </si>
  <si>
    <t>42100000</t>
  </si>
  <si>
    <t>REMUNER.DUES AU PERSONNEL</t>
  </si>
  <si>
    <t>42820000</t>
  </si>
  <si>
    <t>DETTES PROV./CONGES PAYES</t>
  </si>
  <si>
    <t>42861000</t>
  </si>
  <si>
    <t>PRIMES DE VACANCES</t>
  </si>
  <si>
    <t>42862000</t>
  </si>
  <si>
    <t>PRIMES VARIABLES</t>
  </si>
  <si>
    <t>43100000</t>
  </si>
  <si>
    <t>URSSAF</t>
  </si>
  <si>
    <t>43710000</t>
  </si>
  <si>
    <t>GAN</t>
  </si>
  <si>
    <t>43720000</t>
  </si>
  <si>
    <t>NOVALIS - CADRES TB &amp; TC</t>
  </si>
  <si>
    <t>43730000</t>
  </si>
  <si>
    <t>REUNICA - NC &amp; C (TA)</t>
  </si>
  <si>
    <t>43820000</t>
  </si>
  <si>
    <t>CHARGES SOCIALES SUR CP</t>
  </si>
  <si>
    <t>43861000</t>
  </si>
  <si>
    <t>CHARGES SOC/PRIMES VACANCES</t>
  </si>
  <si>
    <t>43861100</t>
  </si>
  <si>
    <t>CHARGES SOC/VARIABLES</t>
  </si>
  <si>
    <t>44420000</t>
  </si>
  <si>
    <t>IMPOTS SUR LES BENEFICES</t>
  </si>
  <si>
    <t>44440000</t>
  </si>
  <si>
    <t>ETAT AUTRES CREANCES</t>
  </si>
  <si>
    <t>44551000</t>
  </si>
  <si>
    <t>TVA A DECAISSER</t>
  </si>
  <si>
    <t>44562000</t>
  </si>
  <si>
    <t>TVA/IMMOBILIS.DEDUCTIBLE</t>
  </si>
  <si>
    <t>44566000</t>
  </si>
  <si>
    <t>TVA/AUTR.BIENS SERV. DED.</t>
  </si>
  <si>
    <t>44566100</t>
  </si>
  <si>
    <t>TVA SUR ENCT</t>
  </si>
  <si>
    <t>44566160</t>
  </si>
  <si>
    <t>TVA ABS 2.10%</t>
  </si>
  <si>
    <t>44566200</t>
  </si>
  <si>
    <t>TVA DED D'APRES DEBIT</t>
  </si>
  <si>
    <t>44571000</t>
  </si>
  <si>
    <t>TVA COLLECTEE</t>
  </si>
  <si>
    <t>44586000</t>
  </si>
  <si>
    <t>TVA S/FACTURES NON PARVEN</t>
  </si>
  <si>
    <t>44586100</t>
  </si>
  <si>
    <t>TVA S/ AVR A RECEVOIR</t>
  </si>
  <si>
    <t>44587000</t>
  </si>
  <si>
    <t>TVA S/FACTURES A ETABLIR</t>
  </si>
  <si>
    <t>44702000</t>
  </si>
  <si>
    <t>TAXE APPRENTISSAGE A PAYE</t>
  </si>
  <si>
    <t>44703000</t>
  </si>
  <si>
    <t>PART.FORM. CONTINUE A PAY</t>
  </si>
  <si>
    <t>44704000</t>
  </si>
  <si>
    <t>PARTICIPATION CONSTRUCTIO</t>
  </si>
  <si>
    <t>44706000</t>
  </si>
  <si>
    <t>ADESATT</t>
  </si>
  <si>
    <t>44860000</t>
  </si>
  <si>
    <t>CHARGES A PAYER</t>
  </si>
  <si>
    <t>44871000</t>
  </si>
  <si>
    <t>CIR</t>
  </si>
  <si>
    <t>44872000</t>
  </si>
  <si>
    <t>CICE</t>
  </si>
  <si>
    <t>44874000</t>
  </si>
  <si>
    <t>CII</t>
  </si>
  <si>
    <t>45510000</t>
  </si>
  <si>
    <t>COMPTE COURANT LOMA</t>
  </si>
  <si>
    <t>45511000</t>
  </si>
  <si>
    <t>COMPTE COURANT B. MOAL</t>
  </si>
  <si>
    <t>45511200</t>
  </si>
  <si>
    <t>C/C GONDWANA</t>
  </si>
  <si>
    <t>46704000</t>
  </si>
  <si>
    <t>FRAIS COLLABORATEURS</t>
  </si>
  <si>
    <t>46720000</t>
  </si>
  <si>
    <t>Client CEPME avance reçue</t>
  </si>
  <si>
    <t>46721000</t>
  </si>
  <si>
    <t>CEPME dépassement plafond</t>
  </si>
  <si>
    <t>46730000</t>
  </si>
  <si>
    <t>CICE-CEPME</t>
  </si>
  <si>
    <t>47200000</t>
  </si>
  <si>
    <t>COMPTE D ATTENTE</t>
  </si>
  <si>
    <t>48600000</t>
  </si>
  <si>
    <t>CHARGES CONSTAT. D'AVANCE</t>
  </si>
  <si>
    <t>48700000</t>
  </si>
  <si>
    <t>PRODUITS CONSTAT.D'AVANCE</t>
  </si>
  <si>
    <t>49100000</t>
  </si>
  <si>
    <t>PROV.DEPR.COMPTES CLIENTS</t>
  </si>
  <si>
    <t>51210000</t>
  </si>
  <si>
    <t>SOCIETE GENERALE</t>
  </si>
  <si>
    <t>51230000</t>
  </si>
  <si>
    <t>BANQUE HERVET</t>
  </si>
  <si>
    <t>51260000</t>
  </si>
  <si>
    <t>SOCIETE GENERALE ASTRANCE</t>
  </si>
  <si>
    <t>51710000</t>
  </si>
  <si>
    <t>CEPME avances reçues</t>
  </si>
  <si>
    <t>51720000</t>
  </si>
  <si>
    <t>HERVET avance reçue CEPME</t>
  </si>
  <si>
    <t>51721000</t>
  </si>
  <si>
    <t>BDPME FONDS GARANTIE</t>
  </si>
  <si>
    <t>51860000</t>
  </si>
  <si>
    <t>INTERETS COURUS A PAYER</t>
  </si>
  <si>
    <t>60410000</t>
  </si>
  <si>
    <t>TRAVAUX PHOTOCOPIES/TIRAG</t>
  </si>
  <si>
    <t>60430000</t>
  </si>
  <si>
    <t>HONORAIRES SS TRAITANTS</t>
  </si>
  <si>
    <t>60432000</t>
  </si>
  <si>
    <t>FRAIS CERTIFICATION</t>
  </si>
  <si>
    <t>60611000</t>
  </si>
  <si>
    <t>EDF</t>
  </si>
  <si>
    <t>60612000</t>
  </si>
  <si>
    <t>EAUX</t>
  </si>
  <si>
    <t>60614000</t>
  </si>
  <si>
    <t>FRAIS DE QUALIFICATION</t>
  </si>
  <si>
    <t>60630000</t>
  </si>
  <si>
    <t>ACH.NON STOCK.MAT.&amp; FOURN</t>
  </si>
  <si>
    <t>60640000</t>
  </si>
  <si>
    <t>FOURNITURES DE BUREAU</t>
  </si>
  <si>
    <t>61320000</t>
  </si>
  <si>
    <t>LOCATIONS IMMOBILIERES</t>
  </si>
  <si>
    <t>61320001</t>
  </si>
  <si>
    <t>LOYER PARKING</t>
  </si>
  <si>
    <t>61330050</t>
  </si>
  <si>
    <t>LOCATION VEHICULES</t>
  </si>
  <si>
    <t>61337200</t>
  </si>
  <si>
    <t>ARVAL</t>
  </si>
  <si>
    <t>61352001</t>
  </si>
  <si>
    <t>LOCATION PHOTOCOPIEUR</t>
  </si>
  <si>
    <t>61353811</t>
  </si>
  <si>
    <t>LOC. FR. FINANCE 0376066</t>
  </si>
  <si>
    <t>61353825</t>
  </si>
  <si>
    <t>KNS LEASE JPS GC MC</t>
  </si>
  <si>
    <t>61353826</t>
  </si>
  <si>
    <t>HP RB - RESPONSABLE MARKE</t>
  </si>
  <si>
    <t>61353827</t>
  </si>
  <si>
    <t>2 HP - 1 MAC AIR</t>
  </si>
  <si>
    <t>61353828</t>
  </si>
  <si>
    <t>HP BROOK-HP 7300</t>
  </si>
  <si>
    <t>61353830</t>
  </si>
  <si>
    <t>KNS LEASE CONTRAT 2794V12</t>
  </si>
  <si>
    <t>61353831</t>
  </si>
  <si>
    <t>SONICVALL GRENKE</t>
  </si>
  <si>
    <t>61355801</t>
  </si>
  <si>
    <t>LOCATION EUROSYS</t>
  </si>
  <si>
    <t>61360900</t>
  </si>
  <si>
    <t>AUTOCAD LT 2014 AS</t>
  </si>
  <si>
    <t>61400000</t>
  </si>
  <si>
    <t>CHARGES LOCAT.COPROPRIETE</t>
  </si>
  <si>
    <t>61553000</t>
  </si>
  <si>
    <t>CONSO/MAINTENANCE COPIEUR</t>
  </si>
  <si>
    <t>61554100</t>
  </si>
  <si>
    <t>ENT.MAT.INFO/HONO CSE</t>
  </si>
  <si>
    <t>61560000</t>
  </si>
  <si>
    <t>MANTENANCE</t>
  </si>
  <si>
    <t>61610000</t>
  </si>
  <si>
    <t>ASSURANCE VEHICULE</t>
  </si>
  <si>
    <t>61631000</t>
  </si>
  <si>
    <t>ASSURANCE MULTIRISQUE PRO</t>
  </si>
  <si>
    <t>61640000</t>
  </si>
  <si>
    <t>ASSURANCE MAITRISE OEUVRE</t>
  </si>
  <si>
    <t>61660000</t>
  </si>
  <si>
    <t>ASSURANCE SOGECAP</t>
  </si>
  <si>
    <t>61661000</t>
  </si>
  <si>
    <t>ASSURANCE SUR PRET</t>
  </si>
  <si>
    <t>61670000</t>
  </si>
  <si>
    <t>ASSURANCES DIVERSES.</t>
  </si>
  <si>
    <t>61810000</t>
  </si>
  <si>
    <t>DOCUMENTATION GENERALE</t>
  </si>
  <si>
    <t>61830000</t>
  </si>
  <si>
    <t>DOCUMENTATION TECHNIQUE</t>
  </si>
  <si>
    <t>61850000</t>
  </si>
  <si>
    <t>FORMATIONS &amp; SEMINAIRES</t>
  </si>
  <si>
    <t>62261100</t>
  </si>
  <si>
    <t>HONORAIRES EXPERT-COMPTA</t>
  </si>
  <si>
    <t>62261200</t>
  </si>
  <si>
    <t>HONORAIRES CAC</t>
  </si>
  <si>
    <t>62265000</t>
  </si>
  <si>
    <t>HONORAIRES CONSEIL HM</t>
  </si>
  <si>
    <t>62268000</t>
  </si>
  <si>
    <t>HONORAIRES DIVERS</t>
  </si>
  <si>
    <t>62270000</t>
  </si>
  <si>
    <t>FRAIS ACTES ET CONTENTIEU</t>
  </si>
  <si>
    <t>62320000</t>
  </si>
  <si>
    <t>ANNONCES ET INSERTIONS</t>
  </si>
  <si>
    <t>62321000</t>
  </si>
  <si>
    <t>PUBLICITE INTERNET</t>
  </si>
  <si>
    <t>62510001</t>
  </si>
  <si>
    <t>DEPLACEMENTS</t>
  </si>
  <si>
    <t>62510004</t>
  </si>
  <si>
    <t>DEPLACEMENT WAGRAM VOYAGES</t>
  </si>
  <si>
    <t>62570000</t>
  </si>
  <si>
    <t>RECEPTIONS</t>
  </si>
  <si>
    <t>62570100</t>
  </si>
  <si>
    <t>PETIT DEJEUNER-EVENEMENTS</t>
  </si>
  <si>
    <t>62600000</t>
  </si>
  <si>
    <t>AFFRANCHISSEMENTS</t>
  </si>
  <si>
    <t>62620000</t>
  </si>
  <si>
    <t>TELEPHONE</t>
  </si>
  <si>
    <t>62621000</t>
  </si>
  <si>
    <t>ACCES INTERNET</t>
  </si>
  <si>
    <t>62622000</t>
  </si>
  <si>
    <t>BOUYGUES</t>
  </si>
  <si>
    <t>62623000</t>
  </si>
  <si>
    <t>PORTABLE</t>
  </si>
  <si>
    <t>62781000</t>
  </si>
  <si>
    <t>FRAIS BANCAIRES CEPME</t>
  </si>
  <si>
    <t>62782000</t>
  </si>
  <si>
    <t>SERVICES BANCAIRES SG</t>
  </si>
  <si>
    <t>62784000</t>
  </si>
  <si>
    <t>SERVICES BANCAIRES RV</t>
  </si>
  <si>
    <t>63130000</t>
  </si>
  <si>
    <t>FORM PROF CONTINUE</t>
  </si>
  <si>
    <t>63330000</t>
  </si>
  <si>
    <t>FORMATION</t>
  </si>
  <si>
    <t>63341000</t>
  </si>
  <si>
    <t>PART CONSTRUCTION</t>
  </si>
  <si>
    <t>63350000</t>
  </si>
  <si>
    <t>TAXE D'APPRENTISSAGE</t>
  </si>
  <si>
    <t>63511100</t>
  </si>
  <si>
    <t>CFE (Contrib.fonc.entrep)</t>
  </si>
  <si>
    <t>63511200</t>
  </si>
  <si>
    <t>CVAE (Contrib.Val.Ajoutée</t>
  </si>
  <si>
    <t>63513000</t>
  </si>
  <si>
    <t>TAXE SUR LES BUREAUX IDF</t>
  </si>
  <si>
    <t>64100000</t>
  </si>
  <si>
    <t>REMUNERATIONS PERSONNEL</t>
  </si>
  <si>
    <t>64120000</t>
  </si>
  <si>
    <t>CONGES PAYES</t>
  </si>
  <si>
    <t>64130000</t>
  </si>
  <si>
    <t>PROV PRIME DE VACANCES</t>
  </si>
  <si>
    <t>64140000</t>
  </si>
  <si>
    <t>PRIME DE TRANSPORT</t>
  </si>
  <si>
    <t>64140100</t>
  </si>
  <si>
    <t>TICKETS RESTAURANT</t>
  </si>
  <si>
    <t>64150000</t>
  </si>
  <si>
    <t>RTT</t>
  </si>
  <si>
    <t>64510000</t>
  </si>
  <si>
    <t>CHARGES PATRONALES URSSAF</t>
  </si>
  <si>
    <t>64530000</t>
  </si>
  <si>
    <t>CHARGES PATRON. REUNICA</t>
  </si>
  <si>
    <t>64530100</t>
  </si>
  <si>
    <t>CHARGES PATRON. CIRCIA</t>
  </si>
  <si>
    <t>64530200</t>
  </si>
  <si>
    <t>CHARGES PATRONALES GAN</t>
  </si>
  <si>
    <t>64580000</t>
  </si>
  <si>
    <t>CHARGES SOCIALES S/CP</t>
  </si>
  <si>
    <t>64581000</t>
  </si>
  <si>
    <t>CHARGES SOCIALES S/PRIMES</t>
  </si>
  <si>
    <t>64584000</t>
  </si>
  <si>
    <t>CHARGES SOCIALES RTT</t>
  </si>
  <si>
    <t>64750000</t>
  </si>
  <si>
    <t>MEDECINE DU TRAVAIL</t>
  </si>
  <si>
    <t>66140000</t>
  </si>
  <si>
    <t>INTERET SUR PRET HSBC</t>
  </si>
  <si>
    <t>66150000</t>
  </si>
  <si>
    <t>INTERET SUR PRET SG</t>
  </si>
  <si>
    <t>66160000</t>
  </si>
  <si>
    <t>INTERETS CEPME</t>
  </si>
  <si>
    <t>66163000</t>
  </si>
  <si>
    <t>AGIOS BQ RV</t>
  </si>
  <si>
    <t>67120000</t>
  </si>
  <si>
    <t>TP :AMENDES</t>
  </si>
  <si>
    <t>70600000</t>
  </si>
  <si>
    <t>PRESTATIONS DE SERVICES</t>
  </si>
  <si>
    <t>70690020</t>
  </si>
  <si>
    <t>PRESTATIONS EXPORT</t>
  </si>
  <si>
    <t>70835000</t>
  </si>
  <si>
    <t>LOYER CTI</t>
  </si>
  <si>
    <t>70865000</t>
  </si>
  <si>
    <t>LOYER JIM CLEMES</t>
  </si>
  <si>
    <t>70867000</t>
  </si>
  <si>
    <t>LOYER ALLIANCE INTERNATIO</t>
  </si>
  <si>
    <t>70868000</t>
  </si>
  <si>
    <t>LOYER GONDWANA</t>
  </si>
  <si>
    <t>70878000</t>
  </si>
  <si>
    <t>RENAULT LOYER</t>
  </si>
  <si>
    <t>74020000</t>
  </si>
  <si>
    <t>SUBVENTION ADEME</t>
  </si>
  <si>
    <t>77500000</t>
  </si>
  <si>
    <t>PRODUITS DE CESSIONS</t>
  </si>
  <si>
    <t>15300000</t>
  </si>
  <si>
    <t>PROVISION POUR I.RETRAITE</t>
  </si>
  <si>
    <t>16440100</t>
  </si>
  <si>
    <t>PRET HSBC FINANCEMENT PERCIER</t>
  </si>
  <si>
    <t>16490000</t>
  </si>
  <si>
    <t>PRET DECAISSEMENT PERCIER</t>
  </si>
  <si>
    <t>29310000</t>
  </si>
  <si>
    <t>DEPRECIATION IMMO EN COURS</t>
  </si>
  <si>
    <t>42700000</t>
  </si>
  <si>
    <t>PERSONNEL SAISIE SUR SALAIRE</t>
  </si>
  <si>
    <t>42860000</t>
  </si>
  <si>
    <t>PERS.AUTR.CHARGES A PAYER</t>
  </si>
  <si>
    <t>43861200</t>
  </si>
  <si>
    <t>CHARGES SOC/AUGMENTATIONS</t>
  </si>
  <si>
    <t>43870000</t>
  </si>
  <si>
    <t>ORG.SOC. PROD. A RECEVOIR</t>
  </si>
  <si>
    <t>44400000</t>
  </si>
  <si>
    <t>ETAT-IMPOTS SUR SOCIETES</t>
  </si>
  <si>
    <t>44566150</t>
  </si>
  <si>
    <t>TVA DEDUCTIBLE ENS 5.5%</t>
  </si>
  <si>
    <t>44705000</t>
  </si>
  <si>
    <t>AGEFIPH</t>
  </si>
  <si>
    <t>51280000</t>
  </si>
  <si>
    <t>BNP PARIBAS</t>
  </si>
  <si>
    <t>58000000</t>
  </si>
  <si>
    <t>VIREMENTS INTERNES</t>
  </si>
  <si>
    <t>60440000</t>
  </si>
  <si>
    <t>REFACTURATION FRAIS</t>
  </si>
  <si>
    <t>60610000</t>
  </si>
  <si>
    <t>ESSENCE</t>
  </si>
  <si>
    <t>61321000</t>
  </si>
  <si>
    <t>LOCATION SALLES</t>
  </si>
  <si>
    <t>61353401</t>
  </si>
  <si>
    <t>LOCATION ADOBE</t>
  </si>
  <si>
    <t>61510000</t>
  </si>
  <si>
    <t>ENT. REPARATION LOCAUX</t>
  </si>
  <si>
    <t>61551000</t>
  </si>
  <si>
    <t>ENT.REPARAT.VEHICULE</t>
  </si>
  <si>
    <t>61662000</t>
  </si>
  <si>
    <t>ASSURANCE PRET HSBC</t>
  </si>
  <si>
    <t>62261000</t>
  </si>
  <si>
    <t>HONORAIRES SOUS-TRAITANTS</t>
  </si>
  <si>
    <t>62261300</t>
  </si>
  <si>
    <t>HONORAIRES AVOCAT SOCIETE</t>
  </si>
  <si>
    <t>62262000</t>
  </si>
  <si>
    <t>HONORAIRES RECRUTEMENT</t>
  </si>
  <si>
    <t>62310000</t>
  </si>
  <si>
    <t>PUBLICITE</t>
  </si>
  <si>
    <t>62331000</t>
  </si>
  <si>
    <t>SALONS EXPOSITIONS</t>
  </si>
  <si>
    <t>62380000</t>
  </si>
  <si>
    <t>CADEAU AU PERSONNEL</t>
  </si>
  <si>
    <t>62430000</t>
  </si>
  <si>
    <t>DEMENAGEMENT</t>
  </si>
  <si>
    <t>62440000</t>
  </si>
  <si>
    <t>CHRONOPOST/COURSIERS</t>
  </si>
  <si>
    <t>62480000</t>
  </si>
  <si>
    <t>TRANSPORT SUR ACHATS</t>
  </si>
  <si>
    <t>62510003</t>
  </si>
  <si>
    <t>DEPLACEMENT SEMINIARE-IWBI...</t>
  </si>
  <si>
    <t>62789000</t>
  </si>
  <si>
    <t>SERVICES BANCAIRES BNP</t>
  </si>
  <si>
    <t>62810000</t>
  </si>
  <si>
    <t>CONCOURS DIVERS</t>
  </si>
  <si>
    <t>63512000</t>
  </si>
  <si>
    <t>TAXES FONCIERES</t>
  </si>
  <si>
    <t>63516000</t>
  </si>
  <si>
    <t>AGEPHIP</t>
  </si>
  <si>
    <t>63540000</t>
  </si>
  <si>
    <t>DROITS ENREGISTREMT/TIMBR</t>
  </si>
  <si>
    <t>63580000</t>
  </si>
  <si>
    <t>VIGNETTE</t>
  </si>
  <si>
    <t>64134000</t>
  </si>
  <si>
    <t>64140300</t>
  </si>
  <si>
    <t>BONS KDOS PERSONNELS</t>
  </si>
  <si>
    <t>64141200</t>
  </si>
  <si>
    <t>IND RUPTURE CONVENTIONNEL</t>
  </si>
  <si>
    <t>64144000</t>
  </si>
  <si>
    <t>IND JOURN SS</t>
  </si>
  <si>
    <t>64582000</t>
  </si>
  <si>
    <t>CHARGES SUR PRIMES VARIABLES</t>
  </si>
  <si>
    <t>64900000</t>
  </si>
  <si>
    <t>65800000</t>
  </si>
  <si>
    <t>CHARGES DIV.GEST.COURANTE</t>
  </si>
  <si>
    <t>66141000</t>
  </si>
  <si>
    <t>INTRET PRET HSBC 120 KE</t>
  </si>
  <si>
    <t>66152000</t>
  </si>
  <si>
    <t>INTERET DECAISSEMENT PERCIER</t>
  </si>
  <si>
    <t>66161000</t>
  </si>
  <si>
    <t>AGIOS SG</t>
  </si>
  <si>
    <t>67190000</t>
  </si>
  <si>
    <t>REMBOURSEMENT C/C B.MOAL</t>
  </si>
  <si>
    <t>67200000</t>
  </si>
  <si>
    <t>CHARGES SUR EXERCICE ANTERIEUR</t>
  </si>
  <si>
    <t>67500000</t>
  </si>
  <si>
    <t>68111000</t>
  </si>
  <si>
    <t>DOT.AMORT.IMMO.INCORP.</t>
  </si>
  <si>
    <t>68112000</t>
  </si>
  <si>
    <t>DOT.AMORT.IMMO.CORP.</t>
  </si>
  <si>
    <t>68150000</t>
  </si>
  <si>
    <t>DOT PROV PR RISQUE ET CHG</t>
  </si>
  <si>
    <t>68160000</t>
  </si>
  <si>
    <t>DEPRECIATION IMMOBILISATION</t>
  </si>
  <si>
    <t>68600000</t>
  </si>
  <si>
    <t>DOTATIONS IMMO FINANCIERE</t>
  </si>
  <si>
    <t>69550000</t>
  </si>
  <si>
    <t>IS</t>
  </si>
  <si>
    <t>69950000</t>
  </si>
  <si>
    <t>CREDIT IMPOT RECHERCHE</t>
  </si>
  <si>
    <t>69990000</t>
  </si>
  <si>
    <t>CREDIT IMPOT INNOVATION</t>
  </si>
  <si>
    <t>70630000</t>
  </si>
  <si>
    <t>70813000</t>
  </si>
  <si>
    <t>LOYER ASSOCIATION FRANCO ALGER</t>
  </si>
  <si>
    <t>75800000</t>
  </si>
  <si>
    <t>PROD.DIVERS DE GEST.COUR.</t>
  </si>
  <si>
    <t>76300000</t>
  </si>
  <si>
    <t>INTERET MORATOIRE CEPME</t>
  </si>
  <si>
    <t>77110000</t>
  </si>
  <si>
    <t>PROD.EXCEPT./OPER.GESTION</t>
  </si>
  <si>
    <t>77200000</t>
  </si>
  <si>
    <t>PROD EXPLOT/EXCER.ANTER</t>
  </si>
  <si>
    <t>Documentation</t>
  </si>
  <si>
    <t>Honoraires</t>
  </si>
  <si>
    <t>dont HM</t>
  </si>
  <si>
    <t>dont avocats</t>
  </si>
  <si>
    <t>dont CAC, EC</t>
  </si>
  <si>
    <t>dont recrutement</t>
  </si>
  <si>
    <t>dont divers</t>
  </si>
  <si>
    <t>Publicité</t>
  </si>
  <si>
    <t>Salons et exposition</t>
  </si>
  <si>
    <t>Frais bancaires</t>
  </si>
  <si>
    <t>Petits déjeuners</t>
  </si>
  <si>
    <t>Evènements</t>
  </si>
  <si>
    <t>Déplacements</t>
  </si>
  <si>
    <t>dont Wagram</t>
  </si>
  <si>
    <t>dont autres</t>
  </si>
  <si>
    <t>Provision pour primes</t>
  </si>
  <si>
    <t>TOTAL</t>
  </si>
  <si>
    <t>Fichier rémunération</t>
  </si>
  <si>
    <t>Montant par unité</t>
  </si>
  <si>
    <t>CA N-1</t>
  </si>
  <si>
    <t>Effectif moyen N-1</t>
  </si>
  <si>
    <t>CA N</t>
  </si>
  <si>
    <t>Effectif moyen N</t>
  </si>
  <si>
    <t>Frais courants</t>
  </si>
  <si>
    <t>Locations</t>
  </si>
  <si>
    <t>Formation et séminaires</t>
  </si>
  <si>
    <t>NA</t>
  </si>
  <si>
    <t>Effectif</t>
  </si>
  <si>
    <t>Chiffre d'affaires</t>
  </si>
  <si>
    <t>Unité sélectionnée pour corrélation</t>
  </si>
  <si>
    <t>Données à piloter</t>
  </si>
  <si>
    <t>Ne pas changer</t>
  </si>
  <si>
    <t>Dotations</t>
  </si>
  <si>
    <t>CHARGES FIXES</t>
  </si>
  <si>
    <t>CHARGES VARIABLES</t>
  </si>
  <si>
    <t>TOTAL CHARGES FIXES</t>
  </si>
  <si>
    <t>TOTAL CHARGES VARIABLES</t>
  </si>
  <si>
    <t>Point mort uniquement charges fixes</t>
  </si>
  <si>
    <t>Effectif sans admnistratif</t>
  </si>
  <si>
    <t>Coûts point mort par personne hors administratif</t>
  </si>
  <si>
    <t>Instructions et aides</t>
  </si>
  <si>
    <t>Les cellules colorées d'orange peuvent être modifiées.</t>
  </si>
  <si>
    <t>Les autres cellules ne doivent pas être changées, au risque de modifier les formules</t>
  </si>
  <si>
    <t>Point mort charges fixes et variables</t>
  </si>
  <si>
    <t>Afin d'obtenir un point mort plus précis, nous avons modulé les charges en fonction de la croissance prévue.</t>
  </si>
  <si>
    <t>Ainsi, certaines charges sont modulées sur l'effectif (tel que l'électricité, le téléphone, etc.) et d'autres sur le chiffre d'affaires (tels que les déplacements et la publicité).</t>
  </si>
  <si>
    <t>D'autres charges ne sont pas modulables, tel que le loyer. Ce dernier ne changera pas en fonction d'un agrégat.</t>
  </si>
  <si>
    <t>Le point mort sur les charges fixes correspond aux charges qui ne peuvent pas (ou très peu) être pilotées par la direction.</t>
  </si>
  <si>
    <t>Charges à moduler</t>
  </si>
  <si>
    <t>Il est possible de moduler :</t>
  </si>
  <si>
    <t>-</t>
  </si>
  <si>
    <t>le CA (chiffre d'affaires) envisagé</t>
  </si>
  <si>
    <t>L'effectif moyen sur l'année</t>
  </si>
  <si>
    <t xml:space="preserve">L'augmentation générale des salaires </t>
  </si>
  <si>
    <t>Avec sous-location
 des locaux</t>
  </si>
  <si>
    <t>Sans 
sous-location</t>
  </si>
  <si>
    <t>La case "augmentation salaires envisagée" permet de faire une simulation d'augmentation sur l'ensemble des salaires.</t>
  </si>
  <si>
    <t>Pour cela, il faut remplacer le chiffre 1. Dans le cadre d'une augmentation de 2%, inscrire 1,02 (soit 102% des salaires actuels).</t>
  </si>
  <si>
    <t>€</t>
  </si>
  <si>
    <t>Objectif du fichier :</t>
  </si>
  <si>
    <t>Construction du fichier :</t>
  </si>
  <si>
    <t>Prendre connaissance du chiffre d'affaires mensuel à réaliser pour couvrir les charges.</t>
  </si>
  <si>
    <t>Le point mort sur les charges fixes et variables prend en compte toutes les charges connues de l'entreprise. Les charges variables peuvent être amenées à changer grâce à des efforts si nécessaire.</t>
  </si>
  <si>
    <t>Légende :</t>
  </si>
  <si>
    <t>NA : Non applicable</t>
  </si>
  <si>
    <t>N-1 : Exercice précédent</t>
  </si>
  <si>
    <t>N : Exercice en cours</t>
  </si>
  <si>
    <t>Effectif moyen : moyenne du nombre de salariés sur l'année</t>
  </si>
  <si>
    <t>Résultat comptable envisagé avant impôts</t>
  </si>
  <si>
    <t>Participation</t>
  </si>
  <si>
    <t>Calcul</t>
  </si>
  <si>
    <t>Il est également possible de modifier directement le salaire d'une personne en particulier en modifiant les colonnes oranges de l'onglet "Rémunérations"</t>
  </si>
  <si>
    <t>Charges</t>
  </si>
  <si>
    <t>Résultats</t>
  </si>
  <si>
    <t>Les salaires par salarié directement dans l'onglet "Rémunérations"</t>
  </si>
  <si>
    <t>IT</t>
  </si>
  <si>
    <t>Absent sur nouvel exercice</t>
  </si>
  <si>
    <t>Iso</t>
  </si>
  <si>
    <t>POINT MORT :</t>
  </si>
  <si>
    <t>Rémunérations</t>
  </si>
  <si>
    <t>Provisions sur primes</t>
  </si>
  <si>
    <t>Wagram</t>
  </si>
  <si>
    <t>Salons et expositions</t>
  </si>
  <si>
    <t>Petits-déjeuners</t>
  </si>
  <si>
    <t>Formation et séminaire</t>
  </si>
  <si>
    <t>Calcul Charges sociales</t>
  </si>
  <si>
    <t>Aucun impact puisque refacturation</t>
  </si>
  <si>
    <t>BG + Bail 9 avenue Percier</t>
  </si>
  <si>
    <t>Pas pris en compte pour le moment</t>
  </si>
  <si>
    <t>Immobilier</t>
  </si>
  <si>
    <t>NA - Budget</t>
  </si>
  <si>
    <t>CA</t>
  </si>
  <si>
    <t>Objectif</t>
  </si>
  <si>
    <t>Réel</t>
  </si>
  <si>
    <t>Différence</t>
  </si>
  <si>
    <t>Evolution par mois</t>
  </si>
  <si>
    <t>REX</t>
  </si>
  <si>
    <t>Point mort</t>
  </si>
  <si>
    <t>Honoraires EC</t>
  </si>
  <si>
    <t>Honoraires CAC</t>
  </si>
  <si>
    <t>Honoraires Avocat</t>
  </si>
  <si>
    <t>Honoraires Recrut</t>
  </si>
  <si>
    <t>Honoraires HM</t>
  </si>
  <si>
    <t>CUMULE</t>
  </si>
  <si>
    <t>PROJETE</t>
  </si>
  <si>
    <t>A changer pour le cumulé</t>
  </si>
  <si>
    <t>Salaire brut annuel chargé</t>
  </si>
  <si>
    <t>Pourcentage augmentation</t>
  </si>
  <si>
    <t>Prime / Participation</t>
  </si>
  <si>
    <t>Pourcentage charges</t>
  </si>
  <si>
    <t>Annuel
hors P &amp; P</t>
  </si>
  <si>
    <t>Annuel
avec P &amp; P</t>
  </si>
  <si>
    <t>Fichier point mort</t>
  </si>
  <si>
    <t>Prime et Participation</t>
  </si>
  <si>
    <t>Prime</t>
  </si>
  <si>
    <t>11000000</t>
  </si>
  <si>
    <t>REPORT A NOUVEAU</t>
  </si>
  <si>
    <t>11010000</t>
  </si>
  <si>
    <t>REPORT A NOUVEAU TUP</t>
  </si>
  <si>
    <t>16400500</t>
  </si>
  <si>
    <t>EMPRUNT 10.000 €</t>
  </si>
  <si>
    <t>DEPOT CAUTION PERCIER</t>
  </si>
  <si>
    <t>20510000</t>
  </si>
  <si>
    <t>LOGICIELS</t>
  </si>
  <si>
    <t>20800000</t>
  </si>
  <si>
    <t>SITE INTERNET</t>
  </si>
  <si>
    <t>28051000</t>
  </si>
  <si>
    <t>AMORTISSEMENTS DES LOGICIELS</t>
  </si>
  <si>
    <t>28080000</t>
  </si>
  <si>
    <t>AMORTISSEMENT SITE INTERNET</t>
  </si>
  <si>
    <t>41980000</t>
  </si>
  <si>
    <t>AVOIRS A ETABLIR</t>
  </si>
  <si>
    <t>43110000</t>
  </si>
  <si>
    <t>URSSAF BIS GONDWANA</t>
  </si>
  <si>
    <t>44586400</t>
  </si>
  <si>
    <t>TVA EN ATTENTE COLLECTEE 20%</t>
  </si>
  <si>
    <t>45500100</t>
  </si>
  <si>
    <t>CPTE COURANT VDHAM</t>
  </si>
  <si>
    <t>51290000</t>
  </si>
  <si>
    <t>BANQUE GONDWANA TUP</t>
  </si>
  <si>
    <t>61300100</t>
  </si>
  <si>
    <t>LOYER GONDWANA RUE DU SENTIER</t>
  </si>
  <si>
    <t>61321200</t>
  </si>
  <si>
    <t>LOCATION AQUARIUM</t>
  </si>
  <si>
    <t>61356000</t>
  </si>
  <si>
    <t>LOCATIONS MOBILIERS</t>
  </si>
  <si>
    <t>61600000</t>
  </si>
  <si>
    <t>ASSURANCES</t>
  </si>
  <si>
    <t>61600140</t>
  </si>
  <si>
    <t>ASSURANCE EMPRUNT 20.000 €</t>
  </si>
  <si>
    <t>61600150</t>
  </si>
  <si>
    <t>ASSURANCES 10.000 €</t>
  </si>
  <si>
    <t>62381000</t>
  </si>
  <si>
    <t>DONS COURANT POURBOIRES</t>
  </si>
  <si>
    <t>62510000</t>
  </si>
  <si>
    <t>VOYAGES GONDWANA</t>
  </si>
  <si>
    <t>62700000</t>
  </si>
  <si>
    <t>SERVICES BANCAIRES</t>
  </si>
  <si>
    <t>62785100</t>
  </si>
  <si>
    <t>FRAIS BANCAIRE AMUNDI</t>
  </si>
  <si>
    <t>64135000</t>
  </si>
  <si>
    <t>INDEMNITE TRANSACIONNELLE</t>
  </si>
  <si>
    <t>64512000</t>
  </si>
  <si>
    <t>AGESSA</t>
  </si>
  <si>
    <t>64585000</t>
  </si>
  <si>
    <t>PROVISION CHARGES SOCIALE</t>
  </si>
  <si>
    <t>66110400</t>
  </si>
  <si>
    <t>INTERET EMPRUNT 20.000 €</t>
  </si>
  <si>
    <t>66110500</t>
  </si>
  <si>
    <t>INTERET 10.000 €</t>
  </si>
  <si>
    <t>69100000</t>
  </si>
  <si>
    <t>PARTICIPATION</t>
  </si>
  <si>
    <t>70810002</t>
  </si>
  <si>
    <t>REFACTURATION LOYER LOMA</t>
  </si>
  <si>
    <t>70811000</t>
  </si>
  <si>
    <t>LOCATION CHAPEL</t>
  </si>
  <si>
    <t>70812000</t>
  </si>
  <si>
    <t>VENTE MATERIEL ACOUSTICS</t>
  </si>
  <si>
    <t>70814000</t>
  </si>
  <si>
    <t>LOYER EKODEV</t>
  </si>
  <si>
    <t>77180000</t>
  </si>
  <si>
    <t>78100000</t>
  </si>
  <si>
    <t>REPRISE DOTATION AMO IMMO</t>
  </si>
  <si>
    <t>78150000</t>
  </si>
  <si>
    <t>REPR/PROV.RISQ.CHARG.EXPL</t>
  </si>
  <si>
    <t>BG 31/08/2017</t>
  </si>
  <si>
    <t>BG 31/12/2017 16 mois</t>
  </si>
  <si>
    <t>Ce fichier est basé sur les charges de l'exercice 2016-2017 sur 16 mois et les rémunérations brutes actualisées dès connaissance des données.</t>
  </si>
  <si>
    <t>16491000</t>
  </si>
  <si>
    <t>PRET BNP</t>
  </si>
  <si>
    <t>16492000</t>
  </si>
  <si>
    <t>CREDIT DU NORD 100 KE</t>
  </si>
  <si>
    <t>43710100</t>
  </si>
  <si>
    <t>AXA MUTUELLE</t>
  </si>
  <si>
    <t>51291000</t>
  </si>
  <si>
    <t>CREDIT DU NORD</t>
  </si>
  <si>
    <t>62788800</t>
  </si>
  <si>
    <t>SERVICES BANCAIRES CDN</t>
  </si>
  <si>
    <t>64170000</t>
  </si>
  <si>
    <t>AVANTAGES EN NATURE</t>
  </si>
  <si>
    <t>66115320</t>
  </si>
  <si>
    <t>INERET EMPRUNT CDN</t>
  </si>
  <si>
    <t>66153000</t>
  </si>
  <si>
    <t>INTERERET BP</t>
  </si>
  <si>
    <t>66153100</t>
  </si>
  <si>
    <t>INTERET PRET 50 000 BP</t>
  </si>
  <si>
    <t>66800000</t>
  </si>
  <si>
    <t>AUTR CHARGES FINANCIERES</t>
  </si>
  <si>
    <t>70615000</t>
  </si>
  <si>
    <t>TRAVAUX EN COURS</t>
  </si>
  <si>
    <t>79100000</t>
  </si>
  <si>
    <t>TRANSFERTS CHARGES D'EXPL</t>
  </si>
  <si>
    <t>BG 31/03/2018 3 mois</t>
  </si>
  <si>
    <t>Étiquettes de lignes</t>
  </si>
  <si>
    <t>Total général</t>
  </si>
  <si>
    <t>Montant</t>
  </si>
  <si>
    <t>Somme de Montant</t>
  </si>
  <si>
    <t>43710200</t>
  </si>
  <si>
    <t>AXA PREVOYANCE</t>
  </si>
  <si>
    <t>46700000</t>
  </si>
  <si>
    <t>DEBITEURS ET CREDITEURS DIVERS</t>
  </si>
  <si>
    <t>46720100</t>
  </si>
  <si>
    <t>BPI</t>
  </si>
  <si>
    <t>50300000</t>
  </si>
  <si>
    <t>ACTIONS AMUNDI CDN</t>
  </si>
  <si>
    <t>51292000</t>
  </si>
  <si>
    <t>BRED</t>
  </si>
  <si>
    <t>51730000</t>
  </si>
  <si>
    <t>BPI AVANCES 100%</t>
  </si>
  <si>
    <t>62622200</t>
  </si>
  <si>
    <t>ORANGE</t>
  </si>
  <si>
    <t>62790000</t>
  </si>
  <si>
    <t>SERVICES BANCAIRES BRED</t>
  </si>
  <si>
    <t>CHARGES SOCIALES S/PRIMES VAC</t>
  </si>
  <si>
    <t>cession vnc</t>
  </si>
  <si>
    <t>REPRISE DOT AMO IMMO</t>
  </si>
  <si>
    <t>78600000</t>
  </si>
  <si>
    <t>REPRISE PROV FINANCIERE</t>
  </si>
  <si>
    <t>x</t>
  </si>
  <si>
    <t>(vide)</t>
  </si>
  <si>
    <t>Somme de 0,00</t>
  </si>
  <si>
    <t>51740000</t>
  </si>
  <si>
    <t>FINSY BNP PARIBAS</t>
  </si>
  <si>
    <t>61337300</t>
  </si>
  <si>
    <t>LEASE PLAN</t>
  </si>
  <si>
    <t>62788900</t>
  </si>
  <si>
    <t>FRAIS SUR CESSION FINSY</t>
  </si>
  <si>
    <t>70812100</t>
  </si>
  <si>
    <t>VENTE MATERIEL INFORMATIQUE</t>
  </si>
  <si>
    <t>76600000</t>
  </si>
  <si>
    <t>GAINS DE CHANGE</t>
  </si>
  <si>
    <t>76800000</t>
  </si>
  <si>
    <t>AUTR. PRODUITS FINANCIERS</t>
  </si>
  <si>
    <t>14500000</t>
  </si>
  <si>
    <t>62220000</t>
  </si>
  <si>
    <t>COMMISSIONS</t>
  </si>
  <si>
    <t>64586000</t>
  </si>
  <si>
    <t>CSG CRDS SUR FORFAIT SOCIAL</t>
  </si>
  <si>
    <t>78725000</t>
  </si>
  <si>
    <t>rep.derogatoire</t>
  </si>
  <si>
    <t>BG 30/04/2018 1 mois</t>
  </si>
  <si>
    <t>BG 31/05/2018 1 mois</t>
  </si>
  <si>
    <t>BG 30/06/2018 1 mois</t>
  </si>
  <si>
    <t xml:space="preserve">Solde </t>
  </si>
  <si>
    <t>Balance générale au 30062018</t>
  </si>
  <si>
    <t>SALARIE</t>
  </si>
  <si>
    <t>TAUX_JOURNALIER</t>
  </si>
  <si>
    <t>25,65</t>
  </si>
  <si>
    <t>0</t>
  </si>
  <si>
    <t>146,147</t>
  </si>
  <si>
    <t>50,63</t>
  </si>
  <si>
    <t>221,135</t>
  </si>
  <si>
    <t>326,87</t>
  </si>
  <si>
    <t>116,29</t>
  </si>
  <si>
    <t>184,59</t>
  </si>
  <si>
    <t>442,22</t>
  </si>
  <si>
    <t>153,81</t>
  </si>
  <si>
    <t>186,525</t>
  </si>
  <si>
    <t>130,75</t>
  </si>
  <si>
    <t>173,05</t>
  </si>
  <si>
    <t>145,36</t>
  </si>
  <si>
    <t>192,293</t>
  </si>
  <si>
    <t>161,51</t>
  </si>
  <si>
    <t>115,367</t>
  </si>
  <si>
    <t>430,688</t>
  </si>
  <si>
    <t>157,68</t>
  </si>
  <si>
    <t>230,73</t>
  </si>
  <si>
    <t>146,13</t>
  </si>
  <si>
    <t>107,68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</si>
  <si>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</si>
  <si>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</si>
  <si>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</si>
  <si>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</si>
  <si>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</si>
  <si>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</si>
  <si>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</si>
  <si>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</si>
  <si>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</si>
  <si>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</t>
  </si>
  <si>
    <t>kkk</t>
  </si>
  <si>
    <t>llll</t>
  </si>
  <si>
    <t>mmmm</t>
  </si>
  <si>
    <t>nnn</t>
  </si>
  <si>
    <t>ooo</t>
  </si>
  <si>
    <t>ppp</t>
  </si>
  <si>
    <t>qqq</t>
  </si>
  <si>
    <t>rrr</t>
  </si>
  <si>
    <t>sss</t>
  </si>
  <si>
    <t>tttt</t>
  </si>
  <si>
    <t>uuu</t>
  </si>
  <si>
    <t>vvv</t>
  </si>
  <si>
    <t>www</t>
  </si>
  <si>
    <t>xxxx</t>
  </si>
  <si>
    <t>yyy</t>
  </si>
  <si>
    <t>zzz</t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</si>
</sst>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i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2" fillId="2" borderId="0" xfId="0" applyFont="1" applyFill="1"/>
    <xf numFmtId="0" fontId="11" fillId="0" borderId="0" xfId="0" quotePrefix="1" applyFont="1"/>
    <xf numFmtId="0" fontId="11" fillId="0" borderId="0" xfId="0" applyFont="1"/>
    <xf numFmtId="0" fontId="12" fillId="0" borderId="1" xfId="0" quotePrefix="1" applyFont="1" applyBorder="1"/>
    <xf numFmtId="0" fontId="12" fillId="0" borderId="2" xfId="0" quotePrefix="1" applyFont="1" applyBorder="1"/>
    <xf numFmtId="0" fontId="12" fillId="0" borderId="3" xfId="0" quotePrefix="1" applyFont="1" applyBorder="1"/>
    <xf numFmtId="0" fontId="11" fillId="0" borderId="4" xfId="0" quotePrefix="1" applyFont="1" applyBorder="1"/>
    <xf numFmtId="0" fontId="11" fillId="0" borderId="5" xfId="0" quotePrefix="1" applyFont="1" applyBorder="1"/>
    <xf numFmtId="0" fontId="11" fillId="0" borderId="5" xfId="0" applyFont="1" applyBorder="1"/>
    <xf numFmtId="0" fontId="11" fillId="0" borderId="4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10" xfId="0" quotePrefix="1" applyFont="1" applyBorder="1"/>
    <xf numFmtId="0" fontId="11" fillId="0" borderId="11" xfId="0" quotePrefix="1" applyFont="1" applyBorder="1"/>
    <xf numFmtId="4" fontId="11" fillId="0" borderId="12" xfId="0" quotePrefix="1" applyNumberFormat="1" applyFont="1" applyBorder="1"/>
    <xf numFmtId="4" fontId="11" fillId="0" borderId="6" xfId="0" quotePrefix="1" applyNumberFormat="1" applyFont="1" applyBorder="1"/>
    <xf numFmtId="4" fontId="11" fillId="0" borderId="6" xfId="0" applyNumberFormat="1" applyFont="1" applyBorder="1"/>
    <xf numFmtId="4" fontId="11" fillId="0" borderId="9" xfId="0" applyNumberFormat="1" applyFont="1" applyBorder="1"/>
    <xf numFmtId="4" fontId="0" fillId="0" borderId="0" xfId="0" applyNumberFormat="1"/>
    <xf numFmtId="4" fontId="11" fillId="4" borderId="6" xfId="0" applyNumberFormat="1" applyFont="1" applyFill="1" applyBorder="1"/>
    <xf numFmtId="4" fontId="11" fillId="4" borderId="6" xfId="0" quotePrefix="1" applyNumberFormat="1" applyFont="1" applyFill="1" applyBorder="1"/>
    <xf numFmtId="0" fontId="13" fillId="0" borderId="0" xfId="0" applyFont="1"/>
    <xf numFmtId="0" fontId="0" fillId="0" borderId="0" xfId="0" applyAlignment="1">
      <alignment horizontal="right"/>
    </xf>
    <xf numFmtId="4" fontId="11" fillId="0" borderId="0" xfId="0" applyNumberFormat="1" applyFont="1"/>
    <xf numFmtId="0" fontId="0" fillId="0" borderId="0" xfId="0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4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0" xfId="0" applyBorder="1"/>
    <xf numFmtId="4" fontId="0" fillId="0" borderId="21" xfId="0" applyNumberFormat="1" applyBorder="1"/>
    <xf numFmtId="0" fontId="0" fillId="0" borderId="23" xfId="0" applyBorder="1"/>
    <xf numFmtId="4" fontId="0" fillId="0" borderId="24" xfId="0" applyNumberFormat="1" applyBorder="1"/>
    <xf numFmtId="0" fontId="14" fillId="0" borderId="19" xfId="0" applyFont="1" applyBorder="1"/>
    <xf numFmtId="0" fontId="14" fillId="0" borderId="22" xfId="0" applyFont="1" applyBorder="1"/>
    <xf numFmtId="4" fontId="0" fillId="0" borderId="20" xfId="0" applyNumberFormat="1" applyBorder="1"/>
    <xf numFmtId="4" fontId="0" fillId="0" borderId="23" xfId="0" applyNumberFormat="1" applyBorder="1"/>
    <xf numFmtId="0" fontId="0" fillId="0" borderId="0" xfId="0" applyAlignment="1">
      <alignment horizontal="center"/>
    </xf>
    <xf numFmtId="0" fontId="0" fillId="6" borderId="0" xfId="0" applyFill="1" applyAlignment="1">
      <alignment horizontal="right"/>
    </xf>
    <xf numFmtId="4" fontId="0" fillId="6" borderId="0" xfId="0" applyNumberFormat="1" applyFill="1"/>
    <xf numFmtId="0" fontId="13" fillId="6" borderId="0" xfId="0" applyFont="1" applyFill="1"/>
    <xf numFmtId="0" fontId="0" fillId="6" borderId="0" xfId="0" applyFill="1"/>
    <xf numFmtId="4" fontId="11" fillId="7" borderId="6" xfId="0" applyNumberFormat="1" applyFont="1" applyFill="1" applyBorder="1"/>
    <xf numFmtId="0" fontId="17" fillId="0" borderId="0" xfId="0" applyFont="1"/>
    <xf numFmtId="0" fontId="18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 wrapText="1"/>
    </xf>
    <xf numFmtId="4" fontId="14" fillId="0" borderId="32" xfId="0" applyNumberFormat="1" applyFont="1" applyBorder="1"/>
    <xf numFmtId="0" fontId="14" fillId="0" borderId="33" xfId="0" applyFont="1" applyBorder="1"/>
    <xf numFmtId="0" fontId="0" fillId="0" borderId="35" xfId="0" applyBorder="1" applyAlignment="1">
      <alignment horizontal="right"/>
    </xf>
    <xf numFmtId="0" fontId="13" fillId="0" borderId="36" xfId="0" applyFont="1" applyBorder="1"/>
    <xf numFmtId="0" fontId="0" fillId="0" borderId="32" xfId="0" applyBorder="1" applyAlignment="1">
      <alignment horizontal="right"/>
    </xf>
    <xf numFmtId="4" fontId="0" fillId="0" borderId="37" xfId="0" applyNumberFormat="1" applyBorder="1"/>
    <xf numFmtId="0" fontId="13" fillId="0" borderId="33" xfId="0" applyFont="1" applyBorder="1"/>
    <xf numFmtId="0" fontId="14" fillId="0" borderId="30" xfId="0" applyFont="1" applyBorder="1" applyAlignment="1">
      <alignment horizontal="right"/>
    </xf>
    <xf numFmtId="4" fontId="14" fillId="0" borderId="34" xfId="0" applyNumberFormat="1" applyFont="1" applyBorder="1"/>
    <xf numFmtId="0" fontId="20" fillId="0" borderId="31" xfId="0" applyFont="1" applyBorder="1"/>
    <xf numFmtId="0" fontId="14" fillId="0" borderId="16" xfId="0" applyFont="1" applyBorder="1"/>
    <xf numFmtId="4" fontId="14" fillId="0" borderId="17" xfId="0" applyNumberFormat="1" applyFont="1" applyBorder="1"/>
    <xf numFmtId="4" fontId="14" fillId="0" borderId="14" xfId="0" applyNumberFormat="1" applyFont="1" applyBorder="1"/>
    <xf numFmtId="0" fontId="14" fillId="0" borderId="14" xfId="0" applyFont="1" applyBorder="1"/>
    <xf numFmtId="0" fontId="21" fillId="0" borderId="0" xfId="0" applyFont="1"/>
    <xf numFmtId="17" fontId="0" fillId="0" borderId="0" xfId="0" applyNumberFormat="1"/>
    <xf numFmtId="3" fontId="0" fillId="0" borderId="0" xfId="0" applyNumberFormat="1"/>
    <xf numFmtId="3" fontId="14" fillId="0" borderId="14" xfId="0" applyNumberFormat="1" applyFont="1" applyBorder="1"/>
    <xf numFmtId="3" fontId="0" fillId="0" borderId="14" xfId="0" applyNumberFormat="1" applyBorder="1"/>
    <xf numFmtId="3" fontId="14" fillId="0" borderId="17" xfId="0" applyNumberFormat="1" applyFont="1" applyBorder="1"/>
    <xf numFmtId="0" fontId="0" fillId="0" borderId="16" xfId="0" applyBorder="1"/>
    <xf numFmtId="0" fontId="0" fillId="0" borderId="14" xfId="0" applyBorder="1" applyAlignment="1">
      <alignment horizontal="right"/>
    </xf>
    <xf numFmtId="3" fontId="14" fillId="0" borderId="0" xfId="0" applyNumberFormat="1" applyFont="1"/>
    <xf numFmtId="0" fontId="22" fillId="0" borderId="0" xfId="0" applyFont="1"/>
    <xf numFmtId="14" fontId="22" fillId="0" borderId="0" xfId="0" applyNumberFormat="1" applyFont="1"/>
    <xf numFmtId="3" fontId="0" fillId="0" borderId="17" xfId="0" applyNumberFormat="1" applyBorder="1"/>
    <xf numFmtId="17" fontId="0" fillId="0" borderId="0" xfId="0" applyNumberFormat="1" applyAlignment="1">
      <alignment horizontal="center"/>
    </xf>
    <xf numFmtId="0" fontId="23" fillId="0" borderId="0" xfId="0" applyFont="1"/>
    <xf numFmtId="3" fontId="13" fillId="0" borderId="0" xfId="0" applyNumberFormat="1" applyFont="1"/>
    <xf numFmtId="0" fontId="19" fillId="0" borderId="23" xfId="0" applyFont="1" applyBorder="1" applyAlignment="1">
      <alignment vertical="center"/>
    </xf>
    <xf numFmtId="3" fontId="2" fillId="0" borderId="0" xfId="0" applyNumberFormat="1" applyFont="1" applyAlignment="1">
      <alignment horizontal="center" vertical="center"/>
    </xf>
    <xf numFmtId="0" fontId="2" fillId="0" borderId="19" xfId="0" applyFont="1" applyBorder="1" applyAlignment="1">
      <alignment vertical="center"/>
    </xf>
    <xf numFmtId="9" fontId="0" fillId="0" borderId="21" xfId="0" applyNumberFormat="1" applyBorder="1"/>
    <xf numFmtId="0" fontId="2" fillId="0" borderId="28" xfId="0" applyFont="1" applyBorder="1" applyAlignment="1">
      <alignment vertical="center"/>
    </xf>
    <xf numFmtId="10" fontId="0" fillId="0" borderId="29" xfId="0" applyNumberFormat="1" applyBorder="1"/>
    <xf numFmtId="0" fontId="2" fillId="0" borderId="22" xfId="0" applyFont="1" applyBorder="1" applyAlignment="1">
      <alignment vertical="center"/>
    </xf>
    <xf numFmtId="10" fontId="0" fillId="0" borderId="24" xfId="0" applyNumberFormat="1" applyBorder="1"/>
    <xf numFmtId="4" fontId="2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5" xfId="0" quotePrefix="1" applyBorder="1"/>
    <xf numFmtId="0" fontId="0" fillId="0" borderId="4" xfId="0" quotePrefix="1" applyBorder="1"/>
    <xf numFmtId="0" fontId="0" fillId="0" borderId="7" xfId="0" quotePrefix="1" applyBorder="1"/>
    <xf numFmtId="0" fontId="0" fillId="0" borderId="8" xfId="0" quotePrefix="1" applyBorder="1"/>
    <xf numFmtId="0" fontId="0" fillId="0" borderId="10" xfId="0" quotePrefix="1" applyBorder="1"/>
    <xf numFmtId="0" fontId="0" fillId="0" borderId="11" xfId="0" quotePrefix="1" applyBorder="1"/>
    <xf numFmtId="0" fontId="14" fillId="0" borderId="1" xfId="0" quotePrefix="1" applyFont="1" applyBorder="1"/>
    <xf numFmtId="0" fontId="14" fillId="0" borderId="2" xfId="0" quotePrefix="1" applyFont="1" applyBorder="1"/>
    <xf numFmtId="0" fontId="14" fillId="0" borderId="3" xfId="0" quotePrefix="1" applyFont="1" applyBorder="1"/>
    <xf numFmtId="4" fontId="0" fillId="0" borderId="12" xfId="0" applyNumberFormat="1" applyBorder="1"/>
    <xf numFmtId="4" fontId="0" fillId="0" borderId="6" xfId="0" applyNumberFormat="1" applyBorder="1"/>
    <xf numFmtId="4" fontId="0" fillId="0" borderId="9" xfId="0" applyNumberFormat="1" applyBorder="1"/>
    <xf numFmtId="0" fontId="0" fillId="0" borderId="6" xfId="0" applyBorder="1"/>
    <xf numFmtId="0" fontId="0" fillId="0" borderId="9" xfId="0" applyBorder="1"/>
    <xf numFmtId="0" fontId="0" fillId="0" borderId="12" xfId="0" applyBorder="1"/>
    <xf numFmtId="0" fontId="0" fillId="0" borderId="0" xfId="0" pivotButton="1"/>
    <xf numFmtId="0" fontId="0" fillId="0" borderId="0" xfId="0" applyAlignment="1">
      <alignment horizontal="left"/>
    </xf>
    <xf numFmtId="3" fontId="2" fillId="0" borderId="0" xfId="0" applyNumberFormat="1" applyFont="1"/>
    <xf numFmtId="4" fontId="0" fillId="0" borderId="0" xfId="0" applyNumberFormat="1" applyAlignment="1">
      <alignment horizontal="left"/>
    </xf>
    <xf numFmtId="0" fontId="0" fillId="0" borderId="0" xfId="0" quotePrefix="1"/>
    <xf numFmtId="0" fontId="0" fillId="0" borderId="5" xfId="0" applyBorder="1"/>
    <xf numFmtId="0" fontId="0" fillId="0" borderId="38" xfId="0" quotePrefix="1" applyBorder="1"/>
    <xf numFmtId="0" fontId="0" fillId="0" borderId="39" xfId="0" quotePrefix="1" applyBorder="1"/>
    <xf numFmtId="0" fontId="11" fillId="0" borderId="6" xfId="0" applyFont="1" applyBorder="1"/>
    <xf numFmtId="0" fontId="11" fillId="0" borderId="9" xfId="0" applyFont="1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41" xfId="0" quotePrefix="1" applyFont="1" applyBorder="1"/>
    <xf numFmtId="0" fontId="14" fillId="0" borderId="42" xfId="0" quotePrefix="1" applyFont="1" applyBorder="1"/>
    <xf numFmtId="0" fontId="14" fillId="0" borderId="43" xfId="0" quotePrefix="1" applyFont="1" applyBorder="1"/>
    <xf numFmtId="4" fontId="0" fillId="0" borderId="40" xfId="0" applyNumberFormat="1" applyBorder="1"/>
    <xf numFmtId="0" fontId="19" fillId="0" borderId="0" xfId="0" applyFont="1" applyAlignment="1">
      <alignment vertical="center"/>
    </xf>
    <xf numFmtId="165" fontId="0" fillId="0" borderId="0" xfId="0" applyNumberFormat="1"/>
    <xf numFmtId="0" fontId="13" fillId="0" borderId="0" xfId="0" applyFont="1" applyAlignment="1">
      <alignment horizontal="center"/>
    </xf>
    <xf numFmtId="164" fontId="2" fillId="0" borderId="0" xfId="1" applyFont="1"/>
    <xf numFmtId="14" fontId="4" fillId="3" borderId="0" xfId="0" applyNumberFormat="1" applyFont="1" applyFill="1" applyAlignment="1">
      <alignment horizontal="center"/>
    </xf>
    <xf numFmtId="165" fontId="2" fillId="0" borderId="0" xfId="1" applyNumberFormat="1" applyFont="1"/>
    <xf numFmtId="165" fontId="5" fillId="4" borderId="0" xfId="1" applyNumberFormat="1" applyFont="1" applyFill="1"/>
    <xf numFmtId="165" fontId="2" fillId="2" borderId="0" xfId="1" applyNumberFormat="1" applyFont="1" applyFill="1"/>
    <xf numFmtId="3" fontId="2" fillId="0" borderId="26" xfId="1" applyNumberFormat="1" applyFont="1" applyBorder="1" applyAlignment="1">
      <alignment horizontal="center" vertical="center"/>
    </xf>
    <xf numFmtId="165" fontId="2" fillId="0" borderId="26" xfId="1" applyNumberFormat="1" applyFont="1" applyBorder="1"/>
    <xf numFmtId="165" fontId="2" fillId="6" borderId="26" xfId="1" applyNumberFormat="1" applyFont="1" applyFill="1" applyBorder="1" applyAlignment="1">
      <alignment horizontal="center"/>
    </xf>
    <xf numFmtId="165" fontId="2" fillId="0" borderId="28" xfId="1" applyNumberFormat="1" applyFont="1" applyBorder="1"/>
    <xf numFmtId="0" fontId="2" fillId="0" borderId="28" xfId="0" applyFont="1" applyBorder="1"/>
    <xf numFmtId="165" fontId="2" fillId="0" borderId="0" xfId="1" applyNumberFormat="1" applyFont="1" applyAlignment="1">
      <alignment horizontal="center"/>
    </xf>
    <xf numFmtId="3" fontId="2" fillId="0" borderId="0" xfId="1" applyNumberFormat="1" applyFont="1"/>
    <xf numFmtId="165" fontId="5" fillId="0" borderId="0" xfId="1" applyNumberFormat="1" applyFont="1"/>
    <xf numFmtId="165" fontId="5" fillId="0" borderId="26" xfId="1" applyNumberFormat="1" applyFont="1" applyBorder="1"/>
    <xf numFmtId="3" fontId="2" fillId="0" borderId="0" xfId="1" applyNumberFormat="1" applyFont="1" applyAlignment="1">
      <alignment horizontal="center"/>
    </xf>
    <xf numFmtId="165" fontId="5" fillId="0" borderId="0" xfId="1" applyNumberFormat="1" applyFont="1" applyAlignment="1">
      <alignment horizontal="center"/>
    </xf>
    <xf numFmtId="3" fontId="5" fillId="0" borderId="0" xfId="1" applyNumberFormat="1" applyFont="1"/>
    <xf numFmtId="165" fontId="5" fillId="5" borderId="0" xfId="1" applyNumberFormat="1" applyFont="1" applyFill="1"/>
    <xf numFmtId="3" fontId="5" fillId="0" borderId="0" xfId="1" applyNumberFormat="1" applyFont="1" applyAlignment="1">
      <alignment horizontal="center"/>
    </xf>
    <xf numFmtId="164" fontId="2" fillId="0" borderId="0" xfId="1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25" fillId="0" borderId="26" xfId="1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right"/>
    </xf>
    <xf numFmtId="165" fontId="2" fillId="5" borderId="0" xfId="1" applyNumberFormat="1" applyFont="1" applyFill="1"/>
    <xf numFmtId="3" fontId="2" fillId="0" borderId="0" xfId="1" applyNumberFormat="1" applyFont="1" applyAlignment="1">
      <alignment horizontal="center" vertical="center"/>
    </xf>
    <xf numFmtId="165" fontId="2" fillId="2" borderId="26" xfId="1" applyNumberFormat="1" applyFont="1" applyFill="1" applyBorder="1"/>
    <xf numFmtId="0" fontId="2" fillId="0" borderId="22" xfId="0" applyFont="1" applyBorder="1"/>
    <xf numFmtId="0" fontId="8" fillId="0" borderId="23" xfId="0" applyFont="1" applyBorder="1" applyAlignment="1">
      <alignment horizontal="center"/>
    </xf>
    <xf numFmtId="165" fontId="6" fillId="0" borderId="23" xfId="1" applyNumberFormat="1" applyFont="1" applyBorder="1"/>
    <xf numFmtId="165" fontId="6" fillId="4" borderId="23" xfId="1" applyNumberFormat="1" applyFont="1" applyFill="1" applyBorder="1"/>
    <xf numFmtId="165" fontId="2" fillId="2" borderId="23" xfId="1" applyNumberFormat="1" applyFont="1" applyFill="1" applyBorder="1"/>
    <xf numFmtId="3" fontId="6" fillId="0" borderId="27" xfId="1" applyNumberFormat="1" applyFont="1" applyBorder="1" applyAlignment="1">
      <alignment horizontal="center" vertical="center"/>
    </xf>
    <xf numFmtId="165" fontId="6" fillId="0" borderId="27" xfId="1" applyNumberFormat="1" applyFont="1" applyBorder="1"/>
    <xf numFmtId="165" fontId="2" fillId="6" borderId="27" xfId="1" applyNumberFormat="1" applyFont="1" applyFill="1" applyBorder="1" applyAlignment="1">
      <alignment horizontal="center"/>
    </xf>
    <xf numFmtId="165" fontId="5" fillId="0" borderId="22" xfId="1" applyNumberFormat="1" applyFont="1" applyBorder="1"/>
    <xf numFmtId="165" fontId="5" fillId="0" borderId="23" xfId="1" applyNumberFormat="1" applyFont="1" applyBorder="1"/>
    <xf numFmtId="0" fontId="8" fillId="0" borderId="0" xfId="0" applyFont="1" applyAlignment="1">
      <alignment horizontal="center"/>
    </xf>
    <xf numFmtId="165" fontId="6" fillId="0" borderId="0" xfId="1" applyNumberFormat="1" applyFont="1"/>
    <xf numFmtId="165" fontId="6" fillId="4" borderId="0" xfId="1" applyNumberFormat="1" applyFont="1" applyFill="1"/>
    <xf numFmtId="3" fontId="6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4" fontId="2" fillId="0" borderId="0" xfId="0" applyNumberFormat="1" applyFont="1"/>
    <xf numFmtId="0" fontId="7" fillId="3" borderId="20" xfId="0" applyFont="1" applyFill="1" applyBorder="1" applyAlignment="1" applyProtection="1">
      <alignment horizontal="center" vertical="top" wrapText="1"/>
      <protection locked="0"/>
    </xf>
    <xf numFmtId="17" fontId="6" fillId="0" borderId="20" xfId="0" applyNumberFormat="1" applyFont="1" applyBorder="1" applyAlignment="1" applyProtection="1">
      <alignment horizontal="left" vertical="top" wrapText="1"/>
      <protection locked="0"/>
    </xf>
    <xf numFmtId="17" fontId="7" fillId="4" borderId="20" xfId="0" applyNumberFormat="1" applyFont="1" applyFill="1" applyBorder="1" applyAlignment="1" applyProtection="1">
      <alignment horizontal="left" vertical="top" wrapText="1"/>
      <protection locked="0"/>
    </xf>
    <xf numFmtId="17" fontId="6" fillId="2" borderId="20" xfId="0" applyNumberFormat="1" applyFont="1" applyFill="1" applyBorder="1" applyAlignment="1" applyProtection="1">
      <alignment horizontal="left" vertical="top" wrapText="1"/>
      <protection locked="0"/>
    </xf>
    <xf numFmtId="17" fontId="2" fillId="0" borderId="20" xfId="0" applyNumberFormat="1" applyFont="1" applyBorder="1" applyAlignment="1" applyProtection="1">
      <alignment horizontal="left" vertical="top" wrapText="1"/>
      <protection locked="0"/>
    </xf>
    <xf numFmtId="17" fontId="5" fillId="0" borderId="20" xfId="0" applyNumberFormat="1" applyFont="1" applyBorder="1" applyAlignment="1" applyProtection="1">
      <alignment horizontal="left" vertical="top" wrapText="1"/>
      <protection locked="0"/>
    </xf>
    <xf numFmtId="3" fontId="5" fillId="0" borderId="25" xfId="0" applyNumberFormat="1" applyFont="1" applyBorder="1" applyAlignment="1" applyProtection="1">
      <alignment horizontal="center" vertical="center" wrapText="1"/>
      <protection locked="0"/>
    </xf>
    <xf numFmtId="17" fontId="5" fillId="0" borderId="25" xfId="0" applyNumberFormat="1" applyFont="1" applyBorder="1" applyAlignment="1" applyProtection="1">
      <alignment horizontal="center" vertical="top" wrapText="1"/>
      <protection locked="0"/>
    </xf>
    <xf numFmtId="4" fontId="0" fillId="0" borderId="0" xfId="0" applyNumberFormat="1" applyProtection="1">
      <protection locked="0"/>
    </xf>
    <xf numFmtId="0" fontId="6" fillId="6" borderId="25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6" fillId="0" borderId="19" xfId="0" applyFont="1" applyBorder="1" applyAlignment="1">
      <alignment horizontal="left" vertical="top" wrapText="1"/>
    </xf>
    <xf numFmtId="0" fontId="25" fillId="0" borderId="28" xfId="0" applyFont="1" applyBorder="1"/>
    <xf numFmtId="165" fontId="2" fillId="0" borderId="0" xfId="1" applyNumberFormat="1" applyFont="1" applyFill="1"/>
    <xf numFmtId="165" fontId="2" fillId="0" borderId="0" xfId="0" applyNumberFormat="1" applyFont="1" applyFill="1" applyAlignment="1"/>
    <xf numFmtId="14" fontId="4" fillId="5" borderId="0" xfId="0" applyNumberFormat="1" applyFont="1" applyFill="1" applyAlignment="1">
      <alignment horizontal="center"/>
    </xf>
    <xf numFmtId="165" fontId="2" fillId="0" borderId="0" xfId="1" applyNumberFormat="1" applyFont="1" applyAlignment="1">
      <alignment horizontal="right"/>
    </xf>
    <xf numFmtId="165" fontId="2" fillId="0" borderId="0" xfId="1" applyNumberFormat="1" applyFont="1" applyBorder="1"/>
    <xf numFmtId="165" fontId="2" fillId="2" borderId="0" xfId="1" applyNumberFormat="1" applyFont="1" applyFill="1" applyBorder="1"/>
    <xf numFmtId="165" fontId="2" fillId="6" borderId="0" xfId="1" applyNumberFormat="1" applyFont="1" applyFill="1" applyBorder="1" applyAlignment="1">
      <alignment horizontal="center"/>
    </xf>
    <xf numFmtId="3" fontId="2" fillId="0" borderId="0" xfId="0" applyNumberFormat="1" applyFont="1" applyFill="1"/>
    <xf numFmtId="0" fontId="2" fillId="5" borderId="28" xfId="0" applyFont="1" applyFill="1" applyBorder="1"/>
    <xf numFmtId="165" fontId="2" fillId="0" borderId="28" xfId="1" applyNumberFormat="1" applyFont="1" applyFill="1" applyBorder="1"/>
    <xf numFmtId="0" fontId="0" fillId="0" borderId="5" xfId="0" applyBorder="1" applyAlignment="1">
      <alignment horizontal="left"/>
    </xf>
    <xf numFmtId="0" fontId="14" fillId="8" borderId="30" xfId="0" applyFont="1" applyFill="1" applyBorder="1" applyAlignment="1">
      <alignment horizontal="center"/>
    </xf>
    <xf numFmtId="0" fontId="14" fillId="8" borderId="31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7" fontId="0" fillId="0" borderId="13" xfId="0" applyNumberFormat="1" applyBorder="1" applyAlignment="1">
      <alignment horizontal="center"/>
    </xf>
    <xf numFmtId="17" fontId="0" fillId="0" borderId="14" xfId="0" applyNumberFormat="1" applyBorder="1" applyAlignment="1">
      <alignment horizontal="center"/>
    </xf>
    <xf numFmtId="17" fontId="0" fillId="0" borderId="15" xfId="0" applyNumberFormat="1" applyBorder="1" applyAlignment="1">
      <alignment horizontal="center"/>
    </xf>
    <xf numFmtId="17" fontId="5" fillId="0" borderId="19" xfId="0" applyNumberFormat="1" applyFont="1" applyBorder="1" applyAlignment="1" applyProtection="1">
      <alignment horizontal="center" vertical="center" wrapText="1"/>
      <protection locked="0"/>
    </xf>
    <xf numFmtId="17" fontId="5" fillId="0" borderId="20" xfId="0" applyNumberFormat="1" applyFont="1" applyBorder="1" applyAlignment="1" applyProtection="1">
      <alignment horizontal="center" vertical="center" wrapText="1"/>
      <protection locked="0"/>
    </xf>
    <xf numFmtId="4" fontId="14" fillId="0" borderId="0" xfId="0" applyNumberFormat="1" applyFont="1" applyAlignment="1">
      <alignment horizontal="center"/>
    </xf>
    <xf numFmtId="17" fontId="28" fillId="5" borderId="0" xfId="0" applyNumberFormat="1" applyFont="1" applyFill="1" applyBorder="1" applyAlignment="1" applyProtection="1">
      <alignment horizontal="center" vertical="top" wrapText="1"/>
      <protection locked="0"/>
    </xf>
    <xf numFmtId="0" fontId="2" fillId="0" borderId="28" xfId="0" applyFont="1" applyFill="1" applyBorder="1"/>
    <xf numFmtId="0" fontId="0" fillId="5" borderId="0" xfId="0" applyFill="1"/>
  </cellXfs>
  <cellStyles count="2">
    <cellStyle name="Comma" xfId="1" builtinId="3"/>
    <cellStyle name="Normal" xfId="0" builtinId="0"/>
  </cellStyles>
  <dxfs count="9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ine CAMPET BOISSEAU" refreshedDate="43203.47828275463" createdVersion="6" refreshedVersion="6" minRefreshableVersion="3" recordCount="110">
  <cacheSource type="worksheet">
    <worksheetSource ref="P224:Q334" sheet="BG"/>
  </cacheSource>
  <cacheFields count="2">
    <cacheField name="Montant" numFmtId="4">
      <sharedItems containsSemiMixedTypes="0" containsString="0" containsNumber="1" minValue="-17000" maxValue="282221.79666666669"/>
    </cacheField>
    <cacheField name="Intitulé" numFmtId="0">
      <sharedItems count="28">
        <s v="Frais courants"/>
        <s v="Aucun impact puisque refacturation"/>
        <s v="Déplacements"/>
        <s v="Immobilier"/>
        <s v="Locations"/>
        <s v="Absent sur nouvel exercice"/>
        <s v="IT"/>
        <s v="Assurances"/>
        <s v="Documentation"/>
        <s v="Formation et séminaire"/>
        <s v="Honoraires EC"/>
        <s v="Honoraires CAC"/>
        <s v="Honoraires Avocat"/>
        <s v="Honoraires Recrut"/>
        <s v="Honoraires HM"/>
        <s v="Honoraires"/>
        <s v="Publicité"/>
        <s v="Salons et expositions"/>
        <s v="Wagram"/>
        <s v="Evènements"/>
        <s v="Petits-déjeuners"/>
        <s v="Frais bancaires"/>
        <s v="Calcul Charges sociales"/>
        <s v="Rémunérations"/>
        <s v="Provisions sur primes"/>
        <s v="Pas pris en compte pour le moment"/>
        <s v="Dotations"/>
        <s v="Participa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urine CAMPET BOISSEAU" refreshedDate="43312.463633101848" createdVersion="6" refreshedVersion="6" minRefreshableVersion="3" recordCount="124">
  <cacheSource type="worksheet">
    <worksheetSource ref="U103:V227" sheet="BG"/>
  </cacheSource>
  <cacheFields count="2">
    <cacheField name="0,00" numFmtId="4">
      <sharedItems containsSemiMixedTypes="0" containsString="0" containsNumber="1" minValue="-7698.72" maxValue="286037.28999999998"/>
    </cacheField>
    <cacheField name="x" numFmtId="0">
      <sharedItems containsBlank="1" count="28">
        <s v="Frais courants"/>
        <s v="Aucun impact puisque refacturation"/>
        <m/>
        <s v="Déplacements"/>
        <s v="Immobilier"/>
        <s v="Locations"/>
        <s v="Absent sur nouvel exercice"/>
        <s v="IT"/>
        <s v="Assurances"/>
        <s v="Documentation"/>
        <s v="Formation et séminaire"/>
        <s v="Honoraires EC"/>
        <s v="Honoraires CAC"/>
        <s v="Honoraires Avocat"/>
        <s v="Honoraires HM"/>
        <s v="Honoraires"/>
        <s v="Publicité"/>
        <s v="Salons et expositions"/>
        <s v="Wagram"/>
        <s v="Evènements"/>
        <s v="Petits-déjeuners"/>
        <s v="Frais bancaires"/>
        <s v="Calcul Charges sociales"/>
        <s v="Rémunérations"/>
        <s v="Provisions sur primes"/>
        <s v="Pas pris en compte pour le moment"/>
        <s v="Dotations"/>
        <s v="Participa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Laurine CAMPET BOISSEAU" refreshedDate="43312.472530671293" createdVersion="6" refreshedVersion="6" minRefreshableVersion="3" recordCount="127">
  <cacheSource type="worksheet">
    <worksheetSource ref="AA105:AB232" sheet="BG"/>
  </cacheSource>
  <cacheFields count="2">
    <cacheField name="0,00" numFmtId="4">
      <sharedItems containsSemiMixedTypes="0" containsString="0" containsNumber="1" minValue="-17000" maxValue="269706.52"/>
    </cacheField>
    <cacheField name="x" numFmtId="0">
      <sharedItems containsMixedTypes="1" containsNumber="1" containsInteger="1" minValue="0" maxValue="0" count="28">
        <s v="Frais courants"/>
        <s v="Aucun impact puisque refacturation"/>
        <n v="0"/>
        <s v="Déplacements"/>
        <s v="Immobilier"/>
        <s v="Locations"/>
        <s v="Absent sur nouvel exercice"/>
        <s v="IT"/>
        <s v="Assurances"/>
        <s v="Documentation"/>
        <s v="Formation et séminaire"/>
        <s v="Honoraires EC"/>
        <s v="Honoraires CAC"/>
        <s v="Honoraires Avocat"/>
        <s v="Honoraires HM"/>
        <s v="Honoraires"/>
        <s v="Publicité"/>
        <s v="Salons et expositions"/>
        <s v="Wagram"/>
        <s v="Evènements"/>
        <s v="Petits-déjeuners"/>
        <s v="Frais bancaires"/>
        <s v="Calcul Charges sociales"/>
        <s v="Rémunérations"/>
        <s v="Provisions sur primes"/>
        <s v="Pas pris en compte pour le moment"/>
        <s v="Dotations"/>
        <s v="Participa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Laurine CAMPET BOISSEAU" refreshedDate="43312.653801273147" createdVersion="6" refreshedVersion="6" minRefreshableVersion="3" recordCount="125">
  <cacheSource type="worksheet">
    <worksheetSource ref="AG103:AH228" sheet="BG"/>
  </cacheSource>
  <cacheFields count="2">
    <cacheField name="0,00" numFmtId="4">
      <sharedItems containsSemiMixedTypes="0" containsString="0" containsNumber="1" minValue="-8282.4599999999991" maxValue="261867.41"/>
    </cacheField>
    <cacheField name="x" numFmtId="0">
      <sharedItems containsMixedTypes="1" containsNumber="1" containsInteger="1" minValue="0" maxValue="0" count="28">
        <s v="Frais courants"/>
        <s v="Aucun impact puisque refacturation"/>
        <n v="0"/>
        <s v="Déplacements"/>
        <s v="Immobilier"/>
        <s v="Locations"/>
        <s v="Absent sur nouvel exercice"/>
        <s v="IT"/>
        <s v="Assurances"/>
        <s v="Documentation"/>
        <s v="Formation et séminaire"/>
        <s v="Honoraires"/>
        <s v="Honoraires EC"/>
        <s v="Honoraires CAC"/>
        <s v="Honoraires Avocat"/>
        <s v="Honoraires HM"/>
        <s v="Publicité"/>
        <s v="Salons et expositions"/>
        <s v="Wagram"/>
        <s v="Evènements"/>
        <s v="Petits-déjeuners"/>
        <s v="Frais bancaires"/>
        <s v="Calcul Charges sociales"/>
        <s v="Rémunérations"/>
        <s v="Provisions sur primes"/>
        <s v="Pas pris en compte pour le moment"/>
        <s v="Dotations"/>
        <s v="Participa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Laurine CAMPET BOISSEAU" refreshedDate="43314.599328935183" createdVersion="6" refreshedVersion="6" minRefreshableVersion="3" recordCount="135">
  <cacheSource type="worksheet">
    <worksheetSource ref="AM107:AN242" sheet="BG"/>
  </cacheSource>
  <cacheFields count="2">
    <cacheField name="0,00" numFmtId="4">
      <sharedItems containsSemiMixedTypes="0" containsString="0" containsNumber="1" minValue="-102000" maxValue="1664313.84"/>
    </cacheField>
    <cacheField name="x" numFmtId="0">
      <sharedItems containsMixedTypes="1" containsNumber="1" containsInteger="1" minValue="0" maxValue="0" count="29">
        <s v="Frais courants"/>
        <s v="Aucun impact puisque refacturation"/>
        <n v="0"/>
        <s v="Déplacements"/>
        <s v="Immobilier"/>
        <s v="Locations"/>
        <s v="Absent sur nouvel exercice"/>
        <s v="IT"/>
        <s v="Assurances"/>
        <s v="Documentation"/>
        <s v="Formation et séminaire"/>
        <s v="Frais bancaires"/>
        <s v="Honoraires EC"/>
        <s v="Honoraires CAC"/>
        <s v="Honoraires Avocat"/>
        <s v="Honoraires Recrut"/>
        <s v="Honoraires HM"/>
        <s v="Honoraires"/>
        <s v="Publicité"/>
        <s v="Salons et expositions"/>
        <s v="Wagram"/>
        <s v="Evènements"/>
        <s v="Petits-déjeuners"/>
        <s v="Calcul Charges sociales"/>
        <s v="Rémunérations"/>
        <s v="Provisions sur primes"/>
        <s v="Pas pris en compte pour le moment"/>
        <s v="Dotations"/>
        <s v="Participa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">
  <r>
    <n v="5.6933333333333325"/>
    <x v="0"/>
  </r>
  <r>
    <n v="33392.78"/>
    <x v="1"/>
  </r>
  <r>
    <n v="4280.0133333333333"/>
    <x v="1"/>
  </r>
  <r>
    <n v="185.23666666666668"/>
    <x v="2"/>
  </r>
  <r>
    <n v="-772.13666666666666"/>
    <x v="3"/>
  </r>
  <r>
    <n v="-709.71999999999991"/>
    <x v="3"/>
  </r>
  <r>
    <n v="2142.6633333333334"/>
    <x v="0"/>
  </r>
  <r>
    <n v="1033.3399999999999"/>
    <x v="0"/>
  </r>
  <r>
    <n v="716.80333333333328"/>
    <x v="0"/>
  </r>
  <r>
    <n v="1351.5"/>
    <x v="3"/>
  </r>
  <r>
    <n v="32993.700000000004"/>
    <x v="3"/>
  </r>
  <r>
    <n v="261.55666666666667"/>
    <x v="3"/>
  </r>
  <r>
    <n v="500"/>
    <x v="4"/>
  </r>
  <r>
    <n v="440.99"/>
    <x v="4"/>
  </r>
  <r>
    <n v="1359.3233333333333"/>
    <x v="5"/>
  </r>
  <r>
    <n v="989"/>
    <x v="4"/>
  </r>
  <r>
    <n v="60.82"/>
    <x v="5"/>
  </r>
  <r>
    <n v="607.87333333333333"/>
    <x v="4"/>
  </r>
  <r>
    <n v="3476.3066666666668"/>
    <x v="4"/>
  </r>
  <r>
    <n v="1982.57"/>
    <x v="0"/>
  </r>
  <r>
    <n v="542.57666666666671"/>
    <x v="0"/>
  </r>
  <r>
    <n v="1577.9333333333334"/>
    <x v="0"/>
  </r>
  <r>
    <n v="837.75"/>
    <x v="6"/>
  </r>
  <r>
    <n v="2071.5766666666664"/>
    <x v="0"/>
  </r>
  <r>
    <n v="274.20333333333332"/>
    <x v="7"/>
  </r>
  <r>
    <n v="0.83333333333333337"/>
    <x v="7"/>
  </r>
  <r>
    <n v="134.42333333333332"/>
    <x v="7"/>
  </r>
  <r>
    <n v="46.65"/>
    <x v="7"/>
  </r>
  <r>
    <n v="3411.0066666666667"/>
    <x v="7"/>
  </r>
  <r>
    <n v="55.933333333333337"/>
    <x v="7"/>
  </r>
  <r>
    <n v="139.33000000000001"/>
    <x v="7"/>
  </r>
  <r>
    <n v="217.30999999999997"/>
    <x v="7"/>
  </r>
  <r>
    <n v="2224.3366666666666"/>
    <x v="8"/>
  </r>
  <r>
    <n v="86.77"/>
    <x v="8"/>
  </r>
  <r>
    <n v="493.33333333333331"/>
    <x v="9"/>
  </r>
  <r>
    <n v="1380.49"/>
    <x v="10"/>
  </r>
  <r>
    <n v="-1681.1833333333334"/>
    <x v="11"/>
  </r>
  <r>
    <n v="6596.666666666667"/>
    <x v="12"/>
  </r>
  <r>
    <n v="3000"/>
    <x v="13"/>
  </r>
  <r>
    <n v="14833.333333333334"/>
    <x v="14"/>
  </r>
  <r>
    <n v="5823.09"/>
    <x v="15"/>
  </r>
  <r>
    <n v="4.4033333333333333"/>
    <x v="15"/>
  </r>
  <r>
    <n v="1068.68"/>
    <x v="16"/>
  </r>
  <r>
    <n v="5006.666666666667"/>
    <x v="17"/>
  </r>
  <r>
    <n v="-13.566666666666668"/>
    <x v="0"/>
  </r>
  <r>
    <n v="1000"/>
    <x v="0"/>
  </r>
  <r>
    <n v="94.066666666666663"/>
    <x v="2"/>
  </r>
  <r>
    <n v="10375.096666666666"/>
    <x v="2"/>
  </r>
  <r>
    <n v="905.5866666666667"/>
    <x v="2"/>
  </r>
  <r>
    <n v="7875.4333333333334"/>
    <x v="18"/>
  </r>
  <r>
    <n v="4030.3633333333332"/>
    <x v="19"/>
  </r>
  <r>
    <n v="4050.06"/>
    <x v="20"/>
  </r>
  <r>
    <n v="166.66666666666666"/>
    <x v="0"/>
  </r>
  <r>
    <n v="81.333333333333329"/>
    <x v="6"/>
  </r>
  <r>
    <n v="821.88"/>
    <x v="6"/>
  </r>
  <r>
    <n v="2747.646666666667"/>
    <x v="6"/>
  </r>
  <r>
    <n v="220"/>
    <x v="6"/>
  </r>
  <r>
    <n v="277.14"/>
    <x v="21"/>
  </r>
  <r>
    <n v="1800.8133333333333"/>
    <x v="21"/>
  </r>
  <r>
    <n v="887.27666666666664"/>
    <x v="21"/>
  </r>
  <r>
    <n v="303.43"/>
    <x v="21"/>
  </r>
  <r>
    <n v="66.320000000000007"/>
    <x v="21"/>
  </r>
  <r>
    <n v="263.89"/>
    <x v="21"/>
  </r>
  <r>
    <n v="214"/>
    <x v="21"/>
  </r>
  <r>
    <n v="7174.5033333333331"/>
    <x v="22"/>
  </r>
  <r>
    <n v="2819.22"/>
    <x v="22"/>
  </r>
  <r>
    <n v="1268.6600000000001"/>
    <x v="22"/>
  </r>
  <r>
    <n v="1917.0733333333335"/>
    <x v="22"/>
  </r>
  <r>
    <n v="278.08333333333331"/>
    <x v="22"/>
  </r>
  <r>
    <n v="7500"/>
    <x v="22"/>
  </r>
  <r>
    <n v="4358.25"/>
    <x v="22"/>
  </r>
  <r>
    <n v="3333.3333333333335"/>
    <x v="22"/>
  </r>
  <r>
    <n v="205.64666666666668"/>
    <x v="22"/>
  </r>
  <r>
    <n v="282221.79666666669"/>
    <x v="23"/>
  </r>
  <r>
    <n v="12020.470000000001"/>
    <x v="22"/>
  </r>
  <r>
    <n v="2092.11"/>
    <x v="24"/>
  </r>
  <r>
    <n v="6666.666666666667"/>
    <x v="24"/>
  </r>
  <r>
    <n v="2414.66"/>
    <x v="22"/>
  </r>
  <r>
    <n v="6199.5"/>
    <x v="22"/>
  </r>
  <r>
    <n v="458.33333333333331"/>
    <x v="22"/>
  </r>
  <r>
    <n v="226.60666666666668"/>
    <x v="22"/>
  </r>
  <r>
    <n v="3512.7133333333331"/>
    <x v="22"/>
  </r>
  <r>
    <n v="167.42"/>
    <x v="22"/>
  </r>
  <r>
    <n v="95151.146666666667"/>
    <x v="22"/>
  </r>
  <r>
    <n v="24140.146666666667"/>
    <x v="22"/>
  </r>
  <r>
    <n v="8536.4466666666667"/>
    <x v="22"/>
  </r>
  <r>
    <n v="6010.2333333333336"/>
    <x v="22"/>
  </r>
  <r>
    <n v="1046.0533333333333"/>
    <x v="22"/>
  </r>
  <r>
    <n v="3333.3333333333335"/>
    <x v="24"/>
  </r>
  <r>
    <n v="1756.3566666666666"/>
    <x v="22"/>
  </r>
  <r>
    <n v="1666.6666666666667"/>
    <x v="22"/>
  </r>
  <r>
    <n v="-9011.0133333333342"/>
    <x v="25"/>
  </r>
  <r>
    <n v="452.09333333333331"/>
    <x v="21"/>
  </r>
  <r>
    <n v="0.14666666666666667"/>
    <x v="21"/>
  </r>
  <r>
    <n v="35"/>
    <x v="21"/>
  </r>
  <r>
    <n v="733.72666666666657"/>
    <x v="21"/>
  </r>
  <r>
    <n v="110.44"/>
    <x v="21"/>
  </r>
  <r>
    <n v="59.146666666666668"/>
    <x v="21"/>
  </r>
  <r>
    <n v="177.28"/>
    <x v="21"/>
  </r>
  <r>
    <n v="109.32666666666667"/>
    <x v="21"/>
  </r>
  <r>
    <n v="50.66"/>
    <x v="21"/>
  </r>
  <r>
    <n v="513.0866666666667"/>
    <x v="21"/>
  </r>
  <r>
    <n v="86.766666666666666"/>
    <x v="21"/>
  </r>
  <r>
    <n v="103.00999999999999"/>
    <x v="21"/>
  </r>
  <r>
    <n v="500"/>
    <x v="21"/>
  </r>
  <r>
    <n v="19.166666666666668"/>
    <x v="0"/>
  </r>
  <r>
    <n v="1637.3833333333332"/>
    <x v="26"/>
  </r>
  <r>
    <n v="9408.5733333333337"/>
    <x v="26"/>
  </r>
  <r>
    <n v="10000"/>
    <x v="27"/>
  </r>
  <r>
    <n v="-17000"/>
    <x v="2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4">
  <r>
    <n v="0"/>
    <x v="0"/>
  </r>
  <r>
    <n v="74522.5"/>
    <x v="1"/>
  </r>
  <r>
    <n v="7218.64"/>
    <x v="1"/>
  </r>
  <r>
    <n v="0"/>
    <x v="2"/>
  </r>
  <r>
    <n v="302.13"/>
    <x v="3"/>
  </r>
  <r>
    <n v="0"/>
    <x v="4"/>
  </r>
  <r>
    <n v="0"/>
    <x v="4"/>
  </r>
  <r>
    <n v="37.06"/>
    <x v="0"/>
  </r>
  <r>
    <n v="200.5"/>
    <x v="0"/>
  </r>
  <r>
    <n v="191.62"/>
    <x v="0"/>
  </r>
  <r>
    <n v="4054.5"/>
    <x v="4"/>
  </r>
  <r>
    <n v="42993.7"/>
    <x v="4"/>
  </r>
  <r>
    <n v="401.97"/>
    <x v="4"/>
  </r>
  <r>
    <n v="1700"/>
    <x v="5"/>
  </r>
  <r>
    <n v="500"/>
    <x v="5"/>
  </r>
  <r>
    <n v="0"/>
    <x v="5"/>
  </r>
  <r>
    <n v="1364"/>
    <x v="6"/>
  </r>
  <r>
    <n v="978.13"/>
    <x v="5"/>
  </r>
  <r>
    <n v="3095.04"/>
    <x v="5"/>
  </r>
  <r>
    <n v="0"/>
    <x v="6"/>
  </r>
  <r>
    <n v="0"/>
    <x v="5"/>
  </r>
  <r>
    <n v="0"/>
    <x v="5"/>
  </r>
  <r>
    <n v="476.71"/>
    <x v="5"/>
  </r>
  <r>
    <n v="3732.28"/>
    <x v="5"/>
  </r>
  <r>
    <n v="2956.5"/>
    <x v="0"/>
  </r>
  <r>
    <n v="0"/>
    <x v="0"/>
  </r>
  <r>
    <n v="4852.1099999999997"/>
    <x v="0"/>
  </r>
  <r>
    <n v="1282.75"/>
    <x v="7"/>
  </r>
  <r>
    <n v="1778.06"/>
    <x v="0"/>
  </r>
  <r>
    <n v="164.16"/>
    <x v="8"/>
  </r>
  <r>
    <n v="0"/>
    <x v="8"/>
  </r>
  <r>
    <n v="0"/>
    <x v="8"/>
  </r>
  <r>
    <n v="134.41999999999999"/>
    <x v="8"/>
  </r>
  <r>
    <n v="0"/>
    <x v="8"/>
  </r>
  <r>
    <n v="13478.84"/>
    <x v="8"/>
  </r>
  <r>
    <n v="55.94"/>
    <x v="8"/>
  </r>
  <r>
    <n v="99.04"/>
    <x v="8"/>
  </r>
  <r>
    <n v="532.89"/>
    <x v="8"/>
  </r>
  <r>
    <n v="1253.69"/>
    <x v="9"/>
  </r>
  <r>
    <n v="321.67"/>
    <x v="9"/>
  </r>
  <r>
    <n v="300"/>
    <x v="10"/>
  </r>
  <r>
    <n v="3055.82"/>
    <x v="11"/>
  </r>
  <r>
    <n v="493.15"/>
    <x v="12"/>
  </r>
  <r>
    <n v="12977.9"/>
    <x v="13"/>
  </r>
  <r>
    <n v="14000"/>
    <x v="14"/>
  </r>
  <r>
    <n v="22299.87"/>
    <x v="15"/>
  </r>
  <r>
    <n v="0"/>
    <x v="15"/>
  </r>
  <r>
    <n v="3000"/>
    <x v="16"/>
  </r>
  <r>
    <n v="12656.62"/>
    <x v="16"/>
  </r>
  <r>
    <n v="15364.6"/>
    <x v="17"/>
  </r>
  <r>
    <n v="0"/>
    <x v="0"/>
  </r>
  <r>
    <n v="0"/>
    <x v="0"/>
  </r>
  <r>
    <n v="0"/>
    <x v="2"/>
  </r>
  <r>
    <n v="44.7"/>
    <x v="3"/>
  </r>
  <r>
    <n v="965.6"/>
    <x v="3"/>
  </r>
  <r>
    <n v="0"/>
    <x v="3"/>
  </r>
  <r>
    <n v="6576.93"/>
    <x v="18"/>
  </r>
  <r>
    <n v="2544.64"/>
    <x v="19"/>
  </r>
  <r>
    <n v="3367.54"/>
    <x v="20"/>
  </r>
  <r>
    <n v="233.15"/>
    <x v="0"/>
  </r>
  <r>
    <n v="0"/>
    <x v="7"/>
  </r>
  <r>
    <n v="924.56"/>
    <x v="7"/>
  </r>
  <r>
    <n v="2718.82"/>
    <x v="7"/>
  </r>
  <r>
    <n v="632.66999999999996"/>
    <x v="7"/>
  </r>
  <r>
    <n v="360"/>
    <x v="7"/>
  </r>
  <r>
    <n v="134.02000000000001"/>
    <x v="21"/>
  </r>
  <r>
    <n v="684.63"/>
    <x v="21"/>
  </r>
  <r>
    <n v="262.63"/>
    <x v="21"/>
  </r>
  <r>
    <n v="189.89"/>
    <x v="21"/>
  </r>
  <r>
    <n v="0"/>
    <x v="21"/>
  </r>
  <r>
    <n v="118.54"/>
    <x v="21"/>
  </r>
  <r>
    <n v="214.4"/>
    <x v="21"/>
  </r>
  <r>
    <n v="500"/>
    <x v="21"/>
  </r>
  <r>
    <n v="1812.44"/>
    <x v="22"/>
  </r>
  <r>
    <n v="2842.1"/>
    <x v="22"/>
  </r>
  <r>
    <n v="1278.97"/>
    <x v="22"/>
  </r>
  <r>
    <n v="1932.6"/>
    <x v="22"/>
  </r>
  <r>
    <n v="278.08"/>
    <x v="22"/>
  </r>
  <r>
    <n v="7500"/>
    <x v="22"/>
  </r>
  <r>
    <n v="0"/>
    <x v="22"/>
  </r>
  <r>
    <n v="-7635.45"/>
    <x v="22"/>
  </r>
  <r>
    <n v="3333.33"/>
    <x v="22"/>
  </r>
  <r>
    <n v="0"/>
    <x v="22"/>
  </r>
  <r>
    <n v="286037.28999999998"/>
    <x v="23"/>
  </r>
  <r>
    <n v="1498.39"/>
    <x v="22"/>
  </r>
  <r>
    <n v="1428.43"/>
    <x v="24"/>
  </r>
  <r>
    <n v="0"/>
    <x v="24"/>
  </r>
  <r>
    <n v="0"/>
    <x v="2"/>
  </r>
  <r>
    <n v="2618.1799999999998"/>
    <x v="22"/>
  </r>
  <r>
    <n v="6511.5"/>
    <x v="22"/>
  </r>
  <r>
    <n v="0"/>
    <x v="2"/>
  </r>
  <r>
    <n v="0"/>
    <x v="22"/>
  </r>
  <r>
    <n v="2062.4"/>
    <x v="22"/>
  </r>
  <r>
    <n v="167.42"/>
    <x v="22"/>
  </r>
  <r>
    <n v="95517.4"/>
    <x v="22"/>
  </r>
  <r>
    <n v="0"/>
    <x v="2"/>
  </r>
  <r>
    <n v="24387.58"/>
    <x v="22"/>
  </r>
  <r>
    <n v="8522.7800000000007"/>
    <x v="22"/>
  </r>
  <r>
    <n v="749.19"/>
    <x v="22"/>
  </r>
  <r>
    <n v="714.21"/>
    <x v="22"/>
  </r>
  <r>
    <n v="0"/>
    <x v="24"/>
  </r>
  <r>
    <n v="1031.2"/>
    <x v="22"/>
  </r>
  <r>
    <n v="1666.67"/>
    <x v="22"/>
  </r>
  <r>
    <n v="179.17"/>
    <x v="22"/>
  </r>
  <r>
    <n v="-7698.72"/>
    <x v="25"/>
  </r>
  <r>
    <n v="37.520000000000003"/>
    <x v="21"/>
  </r>
  <r>
    <n v="0"/>
    <x v="21"/>
  </r>
  <r>
    <n v="0"/>
    <x v="21"/>
  </r>
  <r>
    <n v="103.3"/>
    <x v="21"/>
  </r>
  <r>
    <n v="162.1"/>
    <x v="21"/>
  </r>
  <r>
    <n v="106.6"/>
    <x v="21"/>
  </r>
  <r>
    <n v="53.82"/>
    <x v="21"/>
  </r>
  <r>
    <n v="170.46"/>
    <x v="21"/>
  </r>
  <r>
    <n v="277.23"/>
    <x v="21"/>
  </r>
  <r>
    <n v="47.82"/>
    <x v="21"/>
  </r>
  <r>
    <n v="1705.34"/>
    <x v="21"/>
  </r>
  <r>
    <n v="102.76"/>
    <x v="21"/>
  </r>
  <r>
    <n v="228.86"/>
    <x v="21"/>
  </r>
  <r>
    <n v="96.1"/>
    <x v="0"/>
  </r>
  <r>
    <n v="0"/>
    <x v="2"/>
  </r>
  <r>
    <n v="0"/>
    <x v="26"/>
  </r>
  <r>
    <n v="0"/>
    <x v="26"/>
  </r>
  <r>
    <n v="0"/>
    <x v="26"/>
  </r>
  <r>
    <n v="10000"/>
    <x v="2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">
  <r>
    <n v="0"/>
    <x v="0"/>
  </r>
  <r>
    <n v="62568.35"/>
    <x v="1"/>
  </r>
  <r>
    <n v="64803.91"/>
    <x v="1"/>
  </r>
  <r>
    <n v="0"/>
    <x v="2"/>
  </r>
  <r>
    <n v="2242.75"/>
    <x v="3"/>
  </r>
  <r>
    <n v="0"/>
    <x v="4"/>
  </r>
  <r>
    <n v="0"/>
    <x v="4"/>
  </r>
  <r>
    <n v="9426.15"/>
    <x v="0"/>
  </r>
  <r>
    <n v="15380.2"/>
    <x v="0"/>
  </r>
  <r>
    <n v="424.1"/>
    <x v="0"/>
  </r>
  <r>
    <n v="0"/>
    <x v="4"/>
  </r>
  <r>
    <n v="-1145.95"/>
    <x v="4"/>
  </r>
  <r>
    <n v="415.38"/>
    <x v="4"/>
  </r>
  <r>
    <n v="500"/>
    <x v="5"/>
  </r>
  <r>
    <n v="2822.11"/>
    <x v="5"/>
  </r>
  <r>
    <n v="1356"/>
    <x v="6"/>
  </r>
  <r>
    <n v="317.56"/>
    <x v="5"/>
  </r>
  <r>
    <n v="1010.74"/>
    <x v="5"/>
  </r>
  <r>
    <n v="4318.92"/>
    <x v="5"/>
  </r>
  <r>
    <n v="0"/>
    <x v="6"/>
  </r>
  <r>
    <n v="0"/>
    <x v="5"/>
  </r>
  <r>
    <n v="0"/>
    <x v="5"/>
  </r>
  <r>
    <n v="492.61"/>
    <x v="5"/>
  </r>
  <r>
    <n v="3639.89"/>
    <x v="5"/>
  </r>
  <r>
    <n v="1482"/>
    <x v="0"/>
  </r>
  <r>
    <n v="-915.41"/>
    <x v="0"/>
  </r>
  <r>
    <n v="3088.19"/>
    <x v="0"/>
  </r>
  <r>
    <n v="1652.63"/>
    <x v="7"/>
  </r>
  <r>
    <n v="1108.18"/>
    <x v="0"/>
  </r>
  <r>
    <n v="0"/>
    <x v="8"/>
  </r>
  <r>
    <n v="0"/>
    <x v="8"/>
  </r>
  <r>
    <n v="0"/>
    <x v="8"/>
  </r>
  <r>
    <n v="1816.01"/>
    <x v="8"/>
  </r>
  <r>
    <n v="152.16999999999999"/>
    <x v="8"/>
  </r>
  <r>
    <n v="-7007.05"/>
    <x v="8"/>
  </r>
  <r>
    <n v="57.79"/>
    <x v="8"/>
  </r>
  <r>
    <n v="96.8"/>
    <x v="8"/>
  </r>
  <r>
    <n v="588.4"/>
    <x v="8"/>
  </r>
  <r>
    <n v="7638.62"/>
    <x v="9"/>
  </r>
  <r>
    <n v="-73.66"/>
    <x v="9"/>
  </r>
  <r>
    <n v="2685.6"/>
    <x v="10"/>
  </r>
  <r>
    <n v="2362.85"/>
    <x v="11"/>
  </r>
  <r>
    <n v="509.59"/>
    <x v="12"/>
  </r>
  <r>
    <n v="4800"/>
    <x v="13"/>
  </r>
  <r>
    <n v="14000"/>
    <x v="14"/>
  </r>
  <r>
    <n v="27686.21"/>
    <x v="15"/>
  </r>
  <r>
    <n v="29.88"/>
    <x v="15"/>
  </r>
  <r>
    <n v="0"/>
    <x v="16"/>
  </r>
  <r>
    <n v="3016.13"/>
    <x v="16"/>
  </r>
  <r>
    <n v="2115.81"/>
    <x v="17"/>
  </r>
  <r>
    <n v="196.66"/>
    <x v="0"/>
  </r>
  <r>
    <n v="0"/>
    <x v="0"/>
  </r>
  <r>
    <n v="0"/>
    <x v="2"/>
  </r>
  <r>
    <n v="15"/>
    <x v="0"/>
  </r>
  <r>
    <n v="59.7"/>
    <x v="3"/>
  </r>
  <r>
    <n v="-1823.67"/>
    <x v="3"/>
  </r>
  <r>
    <n v="0"/>
    <x v="3"/>
  </r>
  <r>
    <n v="5606.71"/>
    <x v="18"/>
  </r>
  <r>
    <n v="-1881.06"/>
    <x v="19"/>
  </r>
  <r>
    <n v="10685.37"/>
    <x v="20"/>
  </r>
  <r>
    <n v="1131.55"/>
    <x v="0"/>
  </r>
  <r>
    <n v="0"/>
    <x v="7"/>
  </r>
  <r>
    <n v="1102.75"/>
    <x v="7"/>
  </r>
  <r>
    <n v="2742.23"/>
    <x v="7"/>
  </r>
  <r>
    <n v="-1000"/>
    <x v="7"/>
  </r>
  <r>
    <n v="360"/>
    <x v="7"/>
  </r>
  <r>
    <n v="158.1"/>
    <x v="21"/>
  </r>
  <r>
    <n v="547.11"/>
    <x v="21"/>
  </r>
  <r>
    <n v="970.04"/>
    <x v="21"/>
  </r>
  <r>
    <n v="198.84"/>
    <x v="21"/>
  </r>
  <r>
    <n v="0"/>
    <x v="21"/>
  </r>
  <r>
    <n v="52.76"/>
    <x v="21"/>
  </r>
  <r>
    <n v="264.04000000000002"/>
    <x v="21"/>
  </r>
  <r>
    <n v="50"/>
    <x v="21"/>
  </r>
  <r>
    <n v="36"/>
    <x v="21"/>
  </r>
  <r>
    <n v="1120.48"/>
    <x v="22"/>
  </r>
  <r>
    <n v="2661.51"/>
    <x v="22"/>
  </r>
  <r>
    <n v="1197.6500000000001"/>
    <x v="22"/>
  </r>
  <r>
    <n v="1809.78"/>
    <x v="22"/>
  </r>
  <r>
    <n v="278.08999999999997"/>
    <x v="22"/>
  </r>
  <r>
    <n v="3335"/>
    <x v="22"/>
  </r>
  <r>
    <n v="0"/>
    <x v="22"/>
  </r>
  <r>
    <n v="441.64"/>
    <x v="22"/>
  </r>
  <r>
    <n v="3333.33"/>
    <x v="22"/>
  </r>
  <r>
    <n v="0"/>
    <x v="22"/>
  </r>
  <r>
    <n v="269706.52"/>
    <x v="23"/>
  </r>
  <r>
    <n v="7616.76"/>
    <x v="22"/>
  </r>
  <r>
    <n v="2084.7199999999998"/>
    <x v="24"/>
  </r>
  <r>
    <n v="5000"/>
    <x v="24"/>
  </r>
  <r>
    <n v="0"/>
    <x v="2"/>
  </r>
  <r>
    <n v="2599.69"/>
    <x v="22"/>
  </r>
  <r>
    <n v="7006.5"/>
    <x v="22"/>
  </r>
  <r>
    <n v="0"/>
    <x v="2"/>
  </r>
  <r>
    <n v="0"/>
    <x v="22"/>
  </r>
  <r>
    <n v="-2921.09"/>
    <x v="22"/>
  </r>
  <r>
    <n v="167.42"/>
    <x v="22"/>
  </r>
  <r>
    <n v="89709.2"/>
    <x v="22"/>
  </r>
  <r>
    <n v="0"/>
    <x v="2"/>
  </r>
  <r>
    <n v="22081.19"/>
    <x v="22"/>
  </r>
  <r>
    <n v="8059.75"/>
    <x v="22"/>
  </r>
  <r>
    <n v="3808.38"/>
    <x v="22"/>
  </r>
  <r>
    <n v="1042.3599999999999"/>
    <x v="22"/>
  </r>
  <r>
    <n v="2500"/>
    <x v="24"/>
  </r>
  <r>
    <n v="-1460.55"/>
    <x v="22"/>
  </r>
  <r>
    <n v="-6690.33"/>
    <x v="22"/>
  </r>
  <r>
    <n v="0"/>
    <x v="22"/>
  </r>
  <r>
    <n v="-10088.52"/>
    <x v="25"/>
  </r>
  <r>
    <n v="13.19"/>
    <x v="21"/>
  </r>
  <r>
    <n v="0"/>
    <x v="21"/>
  </r>
  <r>
    <n v="0"/>
    <x v="21"/>
  </r>
  <r>
    <n v="101.61"/>
    <x v="21"/>
  </r>
  <r>
    <n v="156.88999999999999"/>
    <x v="21"/>
  </r>
  <r>
    <n v="104.67"/>
    <x v="21"/>
  </r>
  <r>
    <n v="51.15"/>
    <x v="21"/>
  </r>
  <r>
    <n v="167.04"/>
    <x v="21"/>
  </r>
  <r>
    <n v="46.39"/>
    <x v="21"/>
  </r>
  <r>
    <n v="157.71"/>
    <x v="21"/>
  </r>
  <r>
    <n v="202.14"/>
    <x v="21"/>
  </r>
  <r>
    <n v="1108.31"/>
    <x v="21"/>
  </r>
  <r>
    <n v="246.39"/>
    <x v="0"/>
  </r>
  <r>
    <n v="0"/>
    <x v="2"/>
  </r>
  <r>
    <n v="0"/>
    <x v="26"/>
  </r>
  <r>
    <n v="0"/>
    <x v="26"/>
  </r>
  <r>
    <n v="0"/>
    <x v="26"/>
  </r>
  <r>
    <n v="-132.88999999999999"/>
    <x v="27"/>
  </r>
  <r>
    <n v="34200"/>
    <x v="2"/>
  </r>
  <r>
    <n v="-17000"/>
    <x v="2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5">
  <r>
    <n v="1372.4"/>
    <x v="0"/>
  </r>
  <r>
    <n v="15210"/>
    <x v="1"/>
  </r>
  <r>
    <n v="12029.63"/>
    <x v="1"/>
  </r>
  <r>
    <n v="0"/>
    <x v="2"/>
  </r>
  <r>
    <n v="290.99"/>
    <x v="3"/>
  </r>
  <r>
    <n v="1269.1199999999999"/>
    <x v="4"/>
  </r>
  <r>
    <n v="0"/>
    <x v="4"/>
  </r>
  <r>
    <n v="-4286.3999999999996"/>
    <x v="0"/>
  </r>
  <r>
    <n v="1445.11"/>
    <x v="0"/>
  </r>
  <r>
    <n v="782.68"/>
    <x v="0"/>
  </r>
  <r>
    <n v="0"/>
    <x v="4"/>
  </r>
  <r>
    <n v="41487.199999999997"/>
    <x v="4"/>
  </r>
  <r>
    <n v="251.88"/>
    <x v="4"/>
  </r>
  <r>
    <n v="500"/>
    <x v="5"/>
  </r>
  <r>
    <n v="0"/>
    <x v="5"/>
  </r>
  <r>
    <n v="1376"/>
    <x v="6"/>
  </r>
  <r>
    <n v="226.83"/>
    <x v="5"/>
  </r>
  <r>
    <n v="978.13"/>
    <x v="5"/>
  </r>
  <r>
    <n v="0"/>
    <x v="5"/>
  </r>
  <r>
    <n v="0"/>
    <x v="6"/>
  </r>
  <r>
    <n v="0"/>
    <x v="5"/>
  </r>
  <r>
    <n v="0"/>
    <x v="5"/>
  </r>
  <r>
    <n v="476.71"/>
    <x v="5"/>
  </r>
  <r>
    <n v="3360.89"/>
    <x v="5"/>
  </r>
  <r>
    <n v="2356.5"/>
    <x v="0"/>
  </r>
  <r>
    <n v="0"/>
    <x v="0"/>
  </r>
  <r>
    <n v="1413.43"/>
    <x v="0"/>
  </r>
  <r>
    <n v="596.95000000000005"/>
    <x v="7"/>
  </r>
  <r>
    <n v="4149.76"/>
    <x v="0"/>
  </r>
  <r>
    <n v="0"/>
    <x v="8"/>
  </r>
  <r>
    <n v="0"/>
    <x v="8"/>
  </r>
  <r>
    <n v="0"/>
    <x v="8"/>
  </r>
  <r>
    <n v="194.16"/>
    <x v="8"/>
  </r>
  <r>
    <n v="0"/>
    <x v="8"/>
  </r>
  <r>
    <n v="5907.16"/>
    <x v="8"/>
  </r>
  <r>
    <n v="55.94"/>
    <x v="8"/>
  </r>
  <r>
    <n v="94.54"/>
    <x v="8"/>
  </r>
  <r>
    <n v="124.38"/>
    <x v="8"/>
  </r>
  <r>
    <n v="588.77"/>
    <x v="9"/>
  </r>
  <r>
    <n v="121.97"/>
    <x v="9"/>
  </r>
  <r>
    <n v="13156.27"/>
    <x v="10"/>
  </r>
  <r>
    <n v="8636.52"/>
    <x v="11"/>
  </r>
  <r>
    <n v="-97.18"/>
    <x v="12"/>
  </r>
  <r>
    <n v="1293.1500000000001"/>
    <x v="13"/>
  </r>
  <r>
    <n v="1400"/>
    <x v="14"/>
  </r>
  <r>
    <n v="14000"/>
    <x v="15"/>
  </r>
  <r>
    <n v="15037.99"/>
    <x v="11"/>
  </r>
  <r>
    <n v="0"/>
    <x v="11"/>
  </r>
  <r>
    <n v="0"/>
    <x v="16"/>
  </r>
  <r>
    <n v="25.46"/>
    <x v="16"/>
  </r>
  <r>
    <n v="0"/>
    <x v="17"/>
  </r>
  <r>
    <n v="0"/>
    <x v="0"/>
  </r>
  <r>
    <n v="3000"/>
    <x v="0"/>
  </r>
  <r>
    <n v="499"/>
    <x v="2"/>
  </r>
  <r>
    <n v="100.5"/>
    <x v="3"/>
  </r>
  <r>
    <n v="9380.5499999999993"/>
    <x v="3"/>
  </r>
  <r>
    <n v="0"/>
    <x v="3"/>
  </r>
  <r>
    <n v="8076.5"/>
    <x v="18"/>
  </r>
  <r>
    <n v="3196.79"/>
    <x v="19"/>
  </r>
  <r>
    <n v="6929.3"/>
    <x v="20"/>
  </r>
  <r>
    <n v="350"/>
    <x v="0"/>
  </r>
  <r>
    <n v="13.31"/>
    <x v="7"/>
  </r>
  <r>
    <n v="924.57"/>
    <x v="7"/>
  </r>
  <r>
    <n v="2579.29"/>
    <x v="7"/>
  </r>
  <r>
    <n v="603.82000000000005"/>
    <x v="7"/>
  </r>
  <r>
    <n v="360"/>
    <x v="7"/>
  </r>
  <r>
    <n v="125.1"/>
    <x v="21"/>
  </r>
  <r>
    <n v="552.01"/>
    <x v="21"/>
  </r>
  <r>
    <n v="325.81"/>
    <x v="21"/>
  </r>
  <r>
    <n v="86.85"/>
    <x v="21"/>
  </r>
  <r>
    <n v="0"/>
    <x v="21"/>
  </r>
  <r>
    <n v="37.47"/>
    <x v="21"/>
  </r>
  <r>
    <n v="50"/>
    <x v="21"/>
  </r>
  <r>
    <n v="66"/>
    <x v="21"/>
  </r>
  <r>
    <n v="3072.05"/>
    <x v="22"/>
  </r>
  <r>
    <n v="2581.2600000000002"/>
    <x v="22"/>
  </r>
  <r>
    <n v="1161.56"/>
    <x v="22"/>
  </r>
  <r>
    <n v="1755.2"/>
    <x v="22"/>
  </r>
  <r>
    <n v="278.58"/>
    <x v="22"/>
  </r>
  <r>
    <n v="6667"/>
    <x v="22"/>
  </r>
  <r>
    <n v="0"/>
    <x v="22"/>
  </r>
  <r>
    <n v="1168.3900000000001"/>
    <x v="22"/>
  </r>
  <r>
    <n v="3333.33"/>
    <x v="22"/>
  </r>
  <r>
    <n v="0"/>
    <x v="22"/>
  </r>
  <r>
    <n v="261867.41"/>
    <x v="23"/>
  </r>
  <r>
    <n v="30407.35"/>
    <x v="22"/>
  </r>
  <r>
    <n v="2503.35"/>
    <x v="24"/>
  </r>
  <r>
    <n v="5000"/>
    <x v="24"/>
  </r>
  <r>
    <n v="0"/>
    <x v="2"/>
  </r>
  <r>
    <n v="2632"/>
    <x v="22"/>
  </r>
  <r>
    <n v="7560"/>
    <x v="22"/>
  </r>
  <r>
    <n v="0"/>
    <x v="2"/>
  </r>
  <r>
    <n v="12802.92"/>
    <x v="22"/>
  </r>
  <r>
    <n v="6896.35"/>
    <x v="22"/>
  </r>
  <r>
    <n v="167.42"/>
    <x v="22"/>
  </r>
  <r>
    <n v="87183.37"/>
    <x v="22"/>
  </r>
  <r>
    <n v="0"/>
    <x v="2"/>
  </r>
  <r>
    <n v="21886.79"/>
    <x v="22"/>
  </r>
  <r>
    <n v="7926.62"/>
    <x v="22"/>
  </r>
  <r>
    <n v="15203.68"/>
    <x v="22"/>
  </r>
  <r>
    <n v="1251.67"/>
    <x v="22"/>
  </r>
  <r>
    <n v="2500"/>
    <x v="24"/>
  </r>
  <r>
    <n v="3448.18"/>
    <x v="22"/>
  </r>
  <r>
    <n v="9212.67"/>
    <x v="22"/>
  </r>
  <r>
    <n v="13987.09"/>
    <x v="22"/>
  </r>
  <r>
    <n v="0"/>
    <x v="22"/>
  </r>
  <r>
    <n v="-8282.4599999999991"/>
    <x v="25"/>
  </r>
  <r>
    <n v="0"/>
    <x v="21"/>
  </r>
  <r>
    <n v="0"/>
    <x v="21"/>
  </r>
  <r>
    <n v="0"/>
    <x v="21"/>
  </r>
  <r>
    <n v="99.91"/>
    <x v="21"/>
  </r>
  <r>
    <n v="151.66999999999999"/>
    <x v="21"/>
  </r>
  <r>
    <n v="102.74"/>
    <x v="21"/>
  </r>
  <r>
    <n v="48.48"/>
    <x v="21"/>
  </r>
  <r>
    <n v="163.62"/>
    <x v="21"/>
  </r>
  <r>
    <n v="44.97"/>
    <x v="21"/>
  </r>
  <r>
    <n v="-185.81"/>
    <x v="21"/>
  </r>
  <r>
    <n v="954.86"/>
    <x v="21"/>
  </r>
  <r>
    <n v="1217.45"/>
    <x v="21"/>
  </r>
  <r>
    <n v="0"/>
    <x v="0"/>
  </r>
  <r>
    <n v="603.61"/>
    <x v="0"/>
  </r>
  <r>
    <n v="10160.799999999999"/>
    <x v="26"/>
  </r>
  <r>
    <n v="57559.199999999997"/>
    <x v="26"/>
  </r>
  <r>
    <n v="0"/>
    <x v="26"/>
  </r>
  <r>
    <n v="10000"/>
    <x v="27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">
  <r>
    <n v="1389.48"/>
    <x v="0"/>
  </r>
  <r>
    <n v="252479.19"/>
    <x v="1"/>
  </r>
  <r>
    <n v="96892.22"/>
    <x v="1"/>
  </r>
  <r>
    <n v="0"/>
    <x v="2"/>
  </r>
  <r>
    <n v="3391.58"/>
    <x v="3"/>
  </r>
  <r>
    <n v="-1047.29"/>
    <x v="4"/>
  </r>
  <r>
    <n v="-2129.16"/>
    <x v="4"/>
  </r>
  <r>
    <n v="22054.799999999999"/>
    <x v="0"/>
  </r>
  <r>
    <n v="20125.830000000002"/>
    <x v="0"/>
  </r>
  <r>
    <n v="3548.81"/>
    <x v="0"/>
  </r>
  <r>
    <n v="8109"/>
    <x v="4"/>
  </r>
  <r>
    <n v="182316.05"/>
    <x v="4"/>
  </r>
  <r>
    <n v="1853.9"/>
    <x v="4"/>
  </r>
  <r>
    <n v="1700"/>
    <x v="5"/>
  </r>
  <r>
    <n v="3000"/>
    <x v="5"/>
  </r>
  <r>
    <n v="4145.08"/>
    <x v="5"/>
  </r>
  <r>
    <n v="8173.97"/>
    <x v="5"/>
  </r>
  <r>
    <n v="544.39"/>
    <x v="5"/>
  </r>
  <r>
    <n v="5934"/>
    <x v="5"/>
  </r>
  <r>
    <n v="7413.96"/>
    <x v="5"/>
  </r>
  <r>
    <n v="182.46"/>
    <x v="6"/>
  </r>
  <r>
    <n v="0"/>
    <x v="5"/>
  </r>
  <r>
    <n v="0"/>
    <x v="5"/>
  </r>
  <r>
    <n v="3269.65"/>
    <x v="5"/>
  </r>
  <r>
    <n v="21161.98"/>
    <x v="5"/>
  </r>
  <r>
    <n v="12742.71"/>
    <x v="0"/>
  </r>
  <r>
    <n v="712.32"/>
    <x v="0"/>
  </r>
  <r>
    <n v="14087.53"/>
    <x v="0"/>
  </r>
  <r>
    <n v="7296.08"/>
    <x v="7"/>
  </r>
  <r>
    <n v="12000.23"/>
    <x v="0"/>
  </r>
  <r>
    <n v="986.77"/>
    <x v="8"/>
  </r>
  <r>
    <n v="0"/>
    <x v="8"/>
  </r>
  <r>
    <n v="2.5"/>
    <x v="8"/>
  </r>
  <r>
    <n v="2547.86"/>
    <x v="8"/>
  </r>
  <r>
    <n v="292.12"/>
    <x v="8"/>
  </r>
  <r>
    <n v="22611.97"/>
    <x v="8"/>
  </r>
  <r>
    <n v="337.47"/>
    <x v="8"/>
  </r>
  <r>
    <n v="708.37"/>
    <x v="8"/>
  </r>
  <r>
    <n v="1897.6"/>
    <x v="8"/>
  </r>
  <r>
    <n v="16154.09"/>
    <x v="9"/>
  </r>
  <r>
    <n v="630.29"/>
    <x v="9"/>
  </r>
  <r>
    <n v="17621.87"/>
    <x v="10"/>
  </r>
  <r>
    <n v="8636.52"/>
    <x v="11"/>
  </r>
  <r>
    <n v="9462.9599999999991"/>
    <x v="12"/>
  </r>
  <r>
    <n v="-2747.66"/>
    <x v="13"/>
  </r>
  <r>
    <n v="38967.9"/>
    <x v="14"/>
  </r>
  <r>
    <n v="5000"/>
    <x v="15"/>
  </r>
  <r>
    <n v="86500"/>
    <x v="16"/>
  </r>
  <r>
    <n v="72043.34"/>
    <x v="17"/>
  </r>
  <r>
    <n v="43.09"/>
    <x v="17"/>
  </r>
  <r>
    <n v="3000"/>
    <x v="18"/>
  </r>
  <r>
    <n v="18904.25"/>
    <x v="18"/>
  </r>
  <r>
    <n v="17500.41"/>
    <x v="19"/>
  </r>
  <r>
    <n v="155.96"/>
    <x v="0"/>
  </r>
  <r>
    <n v="3000"/>
    <x v="0"/>
  </r>
  <r>
    <n v="499"/>
    <x v="0"/>
  </r>
  <r>
    <n v="15"/>
    <x v="0"/>
  </r>
  <r>
    <n v="487.1"/>
    <x v="3"/>
  </r>
  <r>
    <n v="39647.769999999997"/>
    <x v="3"/>
  </r>
  <r>
    <n v="2716.76"/>
    <x v="3"/>
  </r>
  <r>
    <n v="43886.44"/>
    <x v="20"/>
  </r>
  <r>
    <n v="15961.36"/>
    <x v="21"/>
  </r>
  <r>
    <n v="33132.39"/>
    <x v="22"/>
  </r>
  <r>
    <n v="1914.7"/>
    <x v="0"/>
  </r>
  <r>
    <n v="257.31"/>
    <x v="7"/>
  </r>
  <r>
    <n v="5417.52"/>
    <x v="7"/>
  </r>
  <r>
    <n v="16283.28"/>
    <x v="7"/>
  </r>
  <r>
    <n v="236.49"/>
    <x v="7"/>
  </r>
  <r>
    <n v="2040"/>
    <x v="7"/>
  </r>
  <r>
    <n v="1198.6400000000001"/>
    <x v="11"/>
  </r>
  <r>
    <n v="7186.19"/>
    <x v="11"/>
  </r>
  <r>
    <n v="4220.3100000000004"/>
    <x v="11"/>
  </r>
  <r>
    <n v="1385.87"/>
    <x v="11"/>
  </r>
  <r>
    <n v="198.96"/>
    <x v="11"/>
  </r>
  <r>
    <n v="1000.44"/>
    <x v="11"/>
  </r>
  <r>
    <n v="264.04000000000002"/>
    <x v="11"/>
  </r>
  <r>
    <n v="1006.4"/>
    <x v="11"/>
  </r>
  <r>
    <n v="602"/>
    <x v="11"/>
  </r>
  <r>
    <n v="27528.48"/>
    <x v="23"/>
  </r>
  <r>
    <n v="16542.53"/>
    <x v="23"/>
  </r>
  <r>
    <n v="7444.16"/>
    <x v="23"/>
  </r>
  <r>
    <n v="11248.8"/>
    <x v="23"/>
  </r>
  <r>
    <n v="1669"/>
    <x v="23"/>
  </r>
  <r>
    <n v="40002"/>
    <x v="23"/>
  </r>
  <r>
    <n v="0"/>
    <x v="23"/>
  </r>
  <r>
    <n v="7049.33"/>
    <x v="23"/>
  </r>
  <r>
    <n v="19999.990000000002"/>
    <x v="23"/>
  </r>
  <r>
    <n v="616.94000000000005"/>
    <x v="23"/>
  </r>
  <r>
    <n v="1664313.84"/>
    <x v="24"/>
  </r>
  <r>
    <n v="75583.91"/>
    <x v="23"/>
  </r>
  <r>
    <n v="12292.83"/>
    <x v="25"/>
  </r>
  <r>
    <n v="30000"/>
    <x v="25"/>
  </r>
  <r>
    <n v="0"/>
    <x v="2"/>
  </r>
  <r>
    <n v="15093.85"/>
    <x v="23"/>
  </r>
  <r>
    <n v="39676.5"/>
    <x v="23"/>
  </r>
  <r>
    <n v="0"/>
    <x v="2"/>
  </r>
  <r>
    <n v="1375"/>
    <x v="23"/>
  </r>
  <r>
    <n v="13482.74"/>
    <x v="23"/>
  </r>
  <r>
    <n v="16575.8"/>
    <x v="23"/>
  </r>
  <r>
    <n v="1004.52"/>
    <x v="23"/>
  </r>
  <r>
    <n v="557863.41"/>
    <x v="23"/>
  </r>
  <r>
    <n v="0"/>
    <x v="23"/>
  </r>
  <r>
    <n v="140776"/>
    <x v="23"/>
  </r>
  <r>
    <n v="50118.49"/>
    <x v="23"/>
  </r>
  <r>
    <n v="37791.949999999997"/>
    <x v="23"/>
  </r>
  <r>
    <n v="6146.4"/>
    <x v="23"/>
  </r>
  <r>
    <n v="15000"/>
    <x v="25"/>
  </r>
  <r>
    <n v="8287.9"/>
    <x v="23"/>
  </r>
  <r>
    <n v="9189.01"/>
    <x v="23"/>
  </r>
  <r>
    <n v="13987.09"/>
    <x v="23"/>
  </r>
  <r>
    <n v="179.17"/>
    <x v="23"/>
  </r>
  <r>
    <n v="-53102.74"/>
    <x v="26"/>
  </r>
  <r>
    <n v="1406.99"/>
    <x v="11"/>
  </r>
  <r>
    <n v="0"/>
    <x v="11"/>
  </r>
  <r>
    <n v="0.44"/>
    <x v="11"/>
  </r>
  <r>
    <n v="409.82"/>
    <x v="11"/>
  </r>
  <r>
    <n v="988.09"/>
    <x v="11"/>
  </r>
  <r>
    <n v="645.33000000000004"/>
    <x v="11"/>
  </r>
  <r>
    <n v="330.89"/>
    <x v="11"/>
  </r>
  <r>
    <n v="1032.96"/>
    <x v="11"/>
  </r>
  <r>
    <n v="605.21"/>
    <x v="11"/>
  </r>
  <r>
    <n v="291.16000000000003"/>
    <x v="11"/>
  </r>
  <r>
    <n v="4900.25"/>
    <x v="11"/>
  </r>
  <r>
    <n v="1520.06"/>
    <x v="11"/>
  </r>
  <r>
    <n v="2863.65"/>
    <x v="11"/>
  </r>
  <r>
    <n v="1500"/>
    <x v="11"/>
  </r>
  <r>
    <n v="399.99"/>
    <x v="0"/>
  </r>
  <r>
    <n v="603.61"/>
    <x v="0"/>
  </r>
  <r>
    <n v="10160.799999999999"/>
    <x v="27"/>
  </r>
  <r>
    <n v="57559.199999999997"/>
    <x v="27"/>
  </r>
  <r>
    <n v="0"/>
    <x v="27"/>
  </r>
  <r>
    <n v="49867.11"/>
    <x v="28"/>
  </r>
  <r>
    <n v="56275.92"/>
    <x v="26"/>
  </r>
  <r>
    <n v="-102000"/>
    <x v="26"/>
  </r>
  <r>
    <n v="0"/>
    <x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name="Tableau croisé dynamique6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Z260:AA289" firstHeaderRow="1" firstDataRow="1" firstDataCol="1"/>
  <pivotFields count="2">
    <pivotField dataField="1" numFmtId="4" showAll="0"/>
    <pivotField axis="axisRow" showAll="0">
      <items count="29">
        <item x="2"/>
        <item x="6"/>
        <item x="8"/>
        <item x="1"/>
        <item x="22"/>
        <item x="3"/>
        <item x="9"/>
        <item x="26"/>
        <item x="19"/>
        <item x="10"/>
        <item x="21"/>
        <item x="0"/>
        <item x="15"/>
        <item x="13"/>
        <item x="12"/>
        <item x="11"/>
        <item x="14"/>
        <item x="4"/>
        <item x="7"/>
        <item x="5"/>
        <item x="27"/>
        <item x="25"/>
        <item x="20"/>
        <item x="24"/>
        <item x="16"/>
        <item x="23"/>
        <item x="17"/>
        <item x="18"/>
        <item t="default"/>
      </items>
    </pivotField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Somme de 0,00" fld="0" baseField="0" baseItem="0" numFmtId="4"/>
  </dataFields>
  <formats count="3">
    <format dxfId="2">
      <pivotArea outline="0" collapsedLevelsAreSubtotals="1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T255:U284" firstHeaderRow="1" firstDataRow="1" firstDataCol="1"/>
  <pivotFields count="2">
    <pivotField dataField="1" numFmtId="4" showAll="0"/>
    <pivotField axis="axisRow" showAll="0">
      <items count="29">
        <item x="6"/>
        <item x="8"/>
        <item x="1"/>
        <item x="22"/>
        <item x="3"/>
        <item x="9"/>
        <item x="26"/>
        <item x="19"/>
        <item x="10"/>
        <item x="21"/>
        <item x="0"/>
        <item x="15"/>
        <item x="13"/>
        <item x="12"/>
        <item x="11"/>
        <item x="14"/>
        <item x="4"/>
        <item x="7"/>
        <item x="5"/>
        <item x="27"/>
        <item x="25"/>
        <item x="20"/>
        <item x="24"/>
        <item x="16"/>
        <item x="23"/>
        <item x="17"/>
        <item x="18"/>
        <item x="2"/>
        <item t="default"/>
      </items>
    </pivotField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Somme de 0,00" fld="0" baseField="0" baseItem="0" numFmtId="4"/>
  </dataFields>
  <formats count="3">
    <format dxfId="5">
      <pivotArea outline="0" collapsedLevelsAreSubtotals="1" fieldPosition="0"/>
    </format>
    <format dxfId="4">
      <pivotArea dataOnly="0" labelOnly="1" fieldPosition="0">
        <references count="1">
          <reference field="1" count="0"/>
        </references>
      </pivotArea>
    </format>
    <format dxfId="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337:P366" firstHeaderRow="1" firstDataRow="1" firstDataCol="1"/>
  <pivotFields count="2">
    <pivotField dataField="1" showAll="0"/>
    <pivotField axis="axisRow" showAll="0">
      <items count="29">
        <item x="5"/>
        <item x="7"/>
        <item x="1"/>
        <item x="22"/>
        <item x="2"/>
        <item x="8"/>
        <item x="26"/>
        <item x="19"/>
        <item x="9"/>
        <item x="21"/>
        <item x="0"/>
        <item x="15"/>
        <item x="12"/>
        <item x="11"/>
        <item x="10"/>
        <item x="14"/>
        <item x="13"/>
        <item x="3"/>
        <item x="6"/>
        <item x="4"/>
        <item x="27"/>
        <item x="25"/>
        <item x="20"/>
        <item x="24"/>
        <item x="16"/>
        <item x="23"/>
        <item x="17"/>
        <item x="18"/>
        <item t="default"/>
      </items>
    </pivotField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Somme de Montant" fld="0" baseField="0" baseItem="0" numFmtId="4"/>
  </dataFields>
  <formats count="1">
    <format dxfId="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7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F255:AG284" firstHeaderRow="1" firstDataRow="1" firstDataCol="1"/>
  <pivotFields count="2">
    <pivotField dataField="1" numFmtId="4" showAll="0"/>
    <pivotField axis="axisRow" showAll="0">
      <items count="29">
        <item x="2"/>
        <item x="6"/>
        <item x="8"/>
        <item x="1"/>
        <item x="22"/>
        <item x="3"/>
        <item x="9"/>
        <item x="26"/>
        <item x="19"/>
        <item x="10"/>
        <item x="21"/>
        <item x="0"/>
        <item x="11"/>
        <item x="14"/>
        <item x="13"/>
        <item x="12"/>
        <item x="15"/>
        <item x="4"/>
        <item x="7"/>
        <item x="5"/>
        <item x="27"/>
        <item x="25"/>
        <item x="20"/>
        <item x="24"/>
        <item x="16"/>
        <item x="23"/>
        <item x="17"/>
        <item x="18"/>
        <item t="default"/>
      </items>
    </pivotField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Somme de 0,00" fld="0" baseField="0" baseItem="0" numFmtId="4"/>
  </dataFields>
  <formats count="1">
    <format dxfId="7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9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L269:AM299" firstHeaderRow="1" firstDataRow="1" firstDataCol="1"/>
  <pivotFields count="2">
    <pivotField dataField="1" numFmtId="4" showAll="0"/>
    <pivotField axis="axisRow" showAll="0">
      <items count="30">
        <item x="2"/>
        <item x="6"/>
        <item x="8"/>
        <item x="1"/>
        <item x="23"/>
        <item x="3"/>
        <item x="9"/>
        <item x="27"/>
        <item x="21"/>
        <item x="10"/>
        <item x="11"/>
        <item x="0"/>
        <item x="17"/>
        <item x="14"/>
        <item x="13"/>
        <item x="12"/>
        <item x="16"/>
        <item x="15"/>
        <item x="4"/>
        <item x="7"/>
        <item x="5"/>
        <item x="28"/>
        <item x="26"/>
        <item x="22"/>
        <item x="25"/>
        <item x="18"/>
        <item x="24"/>
        <item x="19"/>
        <item x="20"/>
        <item t="default"/>
      </items>
    </pivotField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dataFields count="1">
    <dataField name="Somme de 0,00" fld="0" baseField="0" baseItem="0" numFmtId="4"/>
  </dataFields>
  <formats count="1">
    <format dxfId="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3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39"/>
  <sheetViews>
    <sheetView showGridLines="0" workbookViewId="0">
      <selection activeCell="F132" activeCellId="1" sqref="AF109 F132"/>
    </sheetView>
  </sheetViews>
  <sheetFormatPr defaultColWidth="11.42578125" defaultRowHeight="15"/>
  <cols>
    <col min="1" max="1" width="5.42578125" customWidth="1"/>
    <col min="2" max="2" width="16.42578125" customWidth="1"/>
  </cols>
  <sheetData>
    <row r="2" spans="2:2" ht="18.75">
      <c r="B2" s="55" t="s">
        <v>505</v>
      </c>
    </row>
    <row r="4" spans="2:2">
      <c r="B4" s="56" t="s">
        <v>524</v>
      </c>
    </row>
    <row r="5" spans="2:2">
      <c r="B5" t="s">
        <v>526</v>
      </c>
    </row>
    <row r="7" spans="2:2">
      <c r="B7" s="56" t="s">
        <v>525</v>
      </c>
    </row>
    <row r="8" spans="2:2">
      <c r="B8" t="s">
        <v>652</v>
      </c>
    </row>
    <row r="9" spans="2:2">
      <c r="B9" t="s">
        <v>509</v>
      </c>
    </row>
    <row r="10" spans="2:2">
      <c r="B10" t="s">
        <v>510</v>
      </c>
    </row>
    <row r="11" spans="2:2">
      <c r="B11" t="s">
        <v>511</v>
      </c>
    </row>
    <row r="13" spans="2:2">
      <c r="B13" t="s">
        <v>512</v>
      </c>
    </row>
    <row r="14" spans="2:2">
      <c r="B14" t="s">
        <v>527</v>
      </c>
    </row>
    <row r="16" spans="2:2">
      <c r="B16" s="56" t="s">
        <v>513</v>
      </c>
    </row>
    <row r="18" spans="1:3">
      <c r="B18" s="53"/>
      <c r="C18" t="s">
        <v>506</v>
      </c>
    </row>
    <row r="19" spans="1:3">
      <c r="B19" t="s">
        <v>507</v>
      </c>
    </row>
    <row r="21" spans="1:3">
      <c r="B21" t="s">
        <v>514</v>
      </c>
    </row>
    <row r="22" spans="1:3">
      <c r="A22" s="57" t="s">
        <v>515</v>
      </c>
      <c r="B22" t="s">
        <v>516</v>
      </c>
    </row>
    <row r="23" spans="1:3">
      <c r="A23" s="57" t="s">
        <v>515</v>
      </c>
      <c r="B23" t="s">
        <v>517</v>
      </c>
    </row>
    <row r="24" spans="1:3">
      <c r="A24" s="57" t="s">
        <v>515</v>
      </c>
      <c r="B24" t="s">
        <v>518</v>
      </c>
    </row>
    <row r="25" spans="1:3">
      <c r="A25" s="57" t="s">
        <v>515</v>
      </c>
      <c r="B25" t="s">
        <v>539</v>
      </c>
    </row>
    <row r="27" spans="1:3">
      <c r="B27" t="s">
        <v>521</v>
      </c>
    </row>
    <row r="28" spans="1:3">
      <c r="B28" t="s">
        <v>522</v>
      </c>
    </row>
    <row r="30" spans="1:3">
      <c r="B30" t="s">
        <v>536</v>
      </c>
    </row>
    <row r="32" spans="1:3">
      <c r="B32" s="204" t="s">
        <v>543</v>
      </c>
      <c r="C32" s="205"/>
    </row>
    <row r="33" spans="2:3">
      <c r="B33" s="59">
        <f>Synthèse!E5</f>
        <v>167481.51270833335</v>
      </c>
      <c r="C33" s="60" t="s">
        <v>523</v>
      </c>
    </row>
    <row r="35" spans="2:3">
      <c r="B35" s="56" t="s">
        <v>528</v>
      </c>
    </row>
    <row r="36" spans="2:3">
      <c r="B36" t="s">
        <v>529</v>
      </c>
    </row>
    <row r="37" spans="2:3">
      <c r="B37" t="s">
        <v>530</v>
      </c>
    </row>
    <row r="38" spans="2:3">
      <c r="B38" t="s">
        <v>531</v>
      </c>
    </row>
    <row r="39" spans="2:3">
      <c r="B39" t="s">
        <v>532</v>
      </c>
    </row>
  </sheetData>
  <mergeCells count="1">
    <mergeCell ref="B32:C3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AN266"/>
  <sheetViews>
    <sheetView showGridLines="0" topLeftCell="B10" zoomScaleNormal="100" workbookViewId="0">
      <selection activeCell="F132" activeCellId="1" sqref="AF109 F132"/>
    </sheetView>
  </sheetViews>
  <sheetFormatPr defaultColWidth="11.42578125" defaultRowHeight="15"/>
  <cols>
    <col min="2" max="2" width="47.42578125" bestFit="1" customWidth="1"/>
    <col min="3" max="3" width="14.42578125" customWidth="1"/>
    <col min="4" max="4" width="13" hidden="1" customWidth="1"/>
    <col min="5" max="5" width="17" customWidth="1"/>
    <col min="6" max="6" width="27.42578125" bestFit="1" customWidth="1"/>
    <col min="7" max="7" width="15.5703125" bestFit="1" customWidth="1"/>
    <col min="9" max="9" width="12.42578125" bestFit="1" customWidth="1"/>
    <col min="10" max="10" width="45.42578125" customWidth="1"/>
    <col min="11" max="11" width="15.42578125" customWidth="1"/>
    <col min="12" max="12" width="18.42578125" customWidth="1"/>
  </cols>
  <sheetData>
    <row r="2" spans="2:39" ht="21">
      <c r="B2" s="32" t="s">
        <v>577</v>
      </c>
    </row>
    <row r="3" spans="2:39" ht="30.75" thickBot="1">
      <c r="E3" s="58" t="s">
        <v>520</v>
      </c>
      <c r="F3" s="58" t="s">
        <v>519</v>
      </c>
    </row>
    <row r="4" spans="2:39" ht="15.75" thickBot="1">
      <c r="B4" s="45" t="s">
        <v>502</v>
      </c>
      <c r="C4" s="41"/>
      <c r="D4" s="41"/>
      <c r="E4" s="47">
        <f>C24</f>
        <v>87548.717708333337</v>
      </c>
      <c r="F4" s="42">
        <f>E4-(1250+5980+3300+500+3282.5)</f>
        <v>73236.217708333337</v>
      </c>
      <c r="AK4" s="128" t="s">
        <v>10</v>
      </c>
      <c r="AL4" s="129" t="s">
        <v>11</v>
      </c>
      <c r="AM4" s="130" t="s">
        <v>728</v>
      </c>
    </row>
    <row r="5" spans="2:39" ht="15.75" thickBot="1">
      <c r="B5" s="46" t="s">
        <v>508</v>
      </c>
      <c r="C5" s="43"/>
      <c r="D5" s="43"/>
      <c r="E5" s="48">
        <f>C50</f>
        <v>167481.51270833335</v>
      </c>
      <c r="F5" s="44">
        <f>E5-(1250+5980+3300+500+3282.5)</f>
        <v>153169.01270833335</v>
      </c>
      <c r="AK5" s="126">
        <v>10130000</v>
      </c>
      <c r="AL5" s="127" t="s">
        <v>14</v>
      </c>
      <c r="AM5" s="107">
        <v>-83148</v>
      </c>
    </row>
    <row r="6" spans="2:39">
      <c r="AK6" s="123">
        <v>10611000</v>
      </c>
      <c r="AL6" s="118" t="s">
        <v>17</v>
      </c>
      <c r="AM6" s="108">
        <v>-8314.7999999999993</v>
      </c>
    </row>
    <row r="7" spans="2:39">
      <c r="AK7" s="123">
        <v>10688000</v>
      </c>
      <c r="AL7" s="118" t="s">
        <v>19</v>
      </c>
      <c r="AM7" s="108">
        <v>-419881.59</v>
      </c>
    </row>
    <row r="8" spans="2:39">
      <c r="AK8" s="123">
        <v>11000000</v>
      </c>
      <c r="AL8" s="118" t="s">
        <v>581</v>
      </c>
      <c r="AM8" s="108">
        <v>-63976.67</v>
      </c>
    </row>
    <row r="9" spans="2:39">
      <c r="AK9" s="123">
        <v>11010000</v>
      </c>
      <c r="AL9" s="118" t="s">
        <v>583</v>
      </c>
      <c r="AM9" s="108">
        <v>130132.36</v>
      </c>
    </row>
    <row r="10" spans="2:39">
      <c r="AK10" s="123">
        <v>12000000</v>
      </c>
      <c r="AL10" s="118" t="s">
        <v>21</v>
      </c>
      <c r="AM10" s="108">
        <v>-603268.56000000006</v>
      </c>
    </row>
    <row r="11" spans="2:39" ht="45">
      <c r="B11" s="32" t="s">
        <v>537</v>
      </c>
      <c r="C11" s="38" t="s">
        <v>7</v>
      </c>
      <c r="D11" s="39" t="s">
        <v>483</v>
      </c>
      <c r="E11" s="40" t="s">
        <v>8</v>
      </c>
      <c r="F11" s="30" t="s">
        <v>9</v>
      </c>
      <c r="G11" s="30" t="s">
        <v>494</v>
      </c>
      <c r="H11" s="29"/>
      <c r="J11" s="32" t="s">
        <v>538</v>
      </c>
      <c r="AK11" s="123">
        <v>14500000</v>
      </c>
      <c r="AL11" s="118"/>
      <c r="AM11" s="110">
        <v>49.4</v>
      </c>
    </row>
    <row r="12" spans="2:39">
      <c r="AK12" s="123">
        <v>15180000</v>
      </c>
      <c r="AL12" s="118" t="s">
        <v>23</v>
      </c>
      <c r="AM12" s="108">
        <v>-8000</v>
      </c>
    </row>
    <row r="13" spans="2:39">
      <c r="B13" s="33" t="s">
        <v>498</v>
      </c>
      <c r="C13" s="34"/>
      <c r="D13" s="34"/>
      <c r="E13" s="34"/>
      <c r="F13" s="34"/>
      <c r="G13" s="35"/>
      <c r="J13" s="206"/>
      <c r="K13" s="207"/>
      <c r="L13" s="208"/>
      <c r="AK13" s="123">
        <v>15300000</v>
      </c>
      <c r="AL13" s="118" t="s">
        <v>344</v>
      </c>
      <c r="AM13" s="108">
        <v>-150000</v>
      </c>
    </row>
    <row r="14" spans="2:39">
      <c r="B14" t="s">
        <v>4</v>
      </c>
      <c r="C14" s="23">
        <f>E14/12</f>
        <v>0</v>
      </c>
      <c r="D14" s="23"/>
      <c r="E14" s="23">
        <f>Rémunérations!AK157</f>
        <v>0</v>
      </c>
      <c r="F14" s="31" t="s">
        <v>482</v>
      </c>
      <c r="G14" s="31" t="s">
        <v>491</v>
      </c>
      <c r="J14" s="27" t="s">
        <v>484</v>
      </c>
      <c r="K14" s="75">
        <v>6864725.3779999996</v>
      </c>
      <c r="L14" s="26" t="s">
        <v>496</v>
      </c>
      <c r="AK14" s="123">
        <v>16400500</v>
      </c>
      <c r="AL14" s="118" t="s">
        <v>585</v>
      </c>
      <c r="AM14" s="110">
        <v>0</v>
      </c>
    </row>
    <row r="15" spans="2:39">
      <c r="B15" t="s">
        <v>5</v>
      </c>
      <c r="C15" s="23">
        <f>C14*0.54</f>
        <v>0</v>
      </c>
      <c r="D15" s="23"/>
      <c r="E15" s="23">
        <f>C15*12</f>
        <v>0</v>
      </c>
      <c r="F15" s="31" t="s">
        <v>535</v>
      </c>
      <c r="G15" s="31" t="s">
        <v>491</v>
      </c>
      <c r="J15" s="27" t="s">
        <v>485</v>
      </c>
      <c r="K15">
        <v>55</v>
      </c>
      <c r="L15" s="26" t="s">
        <v>496</v>
      </c>
      <c r="AK15" s="123">
        <v>16440000</v>
      </c>
      <c r="AL15" s="118" t="s">
        <v>25</v>
      </c>
      <c r="AM15" s="108">
        <v>-70286.67</v>
      </c>
    </row>
    <row r="16" spans="2:39">
      <c r="B16" t="s">
        <v>534</v>
      </c>
      <c r="C16" s="23">
        <f>E16/16</f>
        <v>0</v>
      </c>
      <c r="D16" s="23"/>
      <c r="E16" s="23">
        <f>E14*0.03</f>
        <v>0</v>
      </c>
      <c r="F16" s="31" t="s">
        <v>535</v>
      </c>
      <c r="G16" s="31" t="s">
        <v>491</v>
      </c>
      <c r="J16" s="27"/>
      <c r="L16" s="26"/>
      <c r="AK16" s="123">
        <v>16440100</v>
      </c>
      <c r="AL16" s="118" t="s">
        <v>346</v>
      </c>
      <c r="AM16" s="108">
        <v>-100802.95</v>
      </c>
    </row>
    <row r="17" spans="2:39">
      <c r="B17" t="s">
        <v>489</v>
      </c>
      <c r="C17" s="23">
        <f>BG!AN290</f>
        <v>9223.8383333333331</v>
      </c>
      <c r="D17" s="23">
        <f>E17/$K$14</f>
        <v>1.6123887541769046E-2</v>
      </c>
      <c r="E17" s="23">
        <f>C17*12</f>
        <v>110686.06</v>
      </c>
      <c r="F17" s="31" t="s">
        <v>729</v>
      </c>
      <c r="G17" s="31" t="s">
        <v>493</v>
      </c>
      <c r="L17" s="26"/>
      <c r="AK17" s="123">
        <v>16470000</v>
      </c>
      <c r="AL17" s="118" t="s">
        <v>27</v>
      </c>
      <c r="AM17" s="108">
        <v>-126900</v>
      </c>
    </row>
    <row r="18" spans="2:39">
      <c r="B18" t="s">
        <v>554</v>
      </c>
      <c r="C18" s="23">
        <f>E18/16</f>
        <v>34311.624374999999</v>
      </c>
      <c r="D18" s="23"/>
      <c r="E18" s="23">
        <f>SUMIF(BG!$L$102:$L$238,"Immobilier",BG!$K$102:$K$259)</f>
        <v>548985.99</v>
      </c>
      <c r="F18" s="31" t="s">
        <v>552</v>
      </c>
      <c r="G18" s="31" t="s">
        <v>491</v>
      </c>
      <c r="J18" s="50" t="s">
        <v>486</v>
      </c>
      <c r="K18" s="51">
        <f>'Evolution par mois'!D6+'Evolution par mois'!H6+'Evolution par mois'!L6+'Evolution par mois'!P6+'Evolution par mois'!T6+'Evolution par mois'!X6</f>
        <v>3949631.06</v>
      </c>
      <c r="L18" s="52" t="s">
        <v>495</v>
      </c>
      <c r="AK18" s="123">
        <v>16480000</v>
      </c>
      <c r="AL18" s="118" t="s">
        <v>29</v>
      </c>
      <c r="AM18" s="108">
        <v>-47805</v>
      </c>
    </row>
    <row r="19" spans="2:39">
      <c r="B19" t="s">
        <v>540</v>
      </c>
      <c r="C19" s="23">
        <f>BG!AN289</f>
        <v>5255.1133333333337</v>
      </c>
      <c r="D19" s="23">
        <f>E19/$K$15</f>
        <v>1146.5701818181819</v>
      </c>
      <c r="E19" s="23">
        <f t="shared" ref="E19:E23" si="0">C19*12</f>
        <v>63061.36</v>
      </c>
      <c r="F19" s="31" t="s">
        <v>729</v>
      </c>
      <c r="G19" s="31" t="s">
        <v>492</v>
      </c>
      <c r="J19" s="50" t="s">
        <v>487</v>
      </c>
      <c r="K19" s="53">
        <v>75</v>
      </c>
      <c r="L19" s="52" t="s">
        <v>495</v>
      </c>
      <c r="AK19" s="123">
        <v>16490000</v>
      </c>
      <c r="AL19" s="118" t="s">
        <v>348</v>
      </c>
      <c r="AM19" s="108">
        <v>-213598.56</v>
      </c>
    </row>
    <row r="20" spans="2:39">
      <c r="B20" t="s">
        <v>488</v>
      </c>
      <c r="C20" s="23">
        <f>BG!AN281</f>
        <v>15541.661666666667</v>
      </c>
      <c r="D20" s="23">
        <f>E20/$K$14</f>
        <v>2.7167866117076302E-2</v>
      </c>
      <c r="E20" s="23">
        <f t="shared" si="0"/>
        <v>186499.94</v>
      </c>
      <c r="F20" s="31" t="s">
        <v>729</v>
      </c>
      <c r="G20" s="31" t="s">
        <v>493</v>
      </c>
      <c r="M20" s="26"/>
      <c r="AK20" s="123">
        <v>16491000</v>
      </c>
      <c r="AL20" s="118" t="s">
        <v>654</v>
      </c>
      <c r="AM20" s="108">
        <v>-41796.239999999998</v>
      </c>
    </row>
    <row r="21" spans="2:39">
      <c r="B21" t="s">
        <v>474</v>
      </c>
      <c r="C21" s="23">
        <f>BG!AN280</f>
        <v>7032.369999999999</v>
      </c>
      <c r="D21" s="23">
        <f>E21/$K$14</f>
        <v>1.2293054033952644E-2</v>
      </c>
      <c r="E21" s="23">
        <f t="shared" si="0"/>
        <v>84388.439999999988</v>
      </c>
      <c r="F21" s="31" t="s">
        <v>729</v>
      </c>
      <c r="G21" s="31" t="s">
        <v>493</v>
      </c>
      <c r="AK21" s="123">
        <v>16492000</v>
      </c>
      <c r="AL21" s="118" t="s">
        <v>656</v>
      </c>
      <c r="AM21" s="108">
        <v>-93527.46</v>
      </c>
    </row>
    <row r="22" spans="2:39">
      <c r="B22" t="s">
        <v>6</v>
      </c>
      <c r="C22" s="23">
        <f>BG!AN272</f>
        <v>4897.4433333333336</v>
      </c>
      <c r="D22" s="23">
        <f>E22/$K$14</f>
        <v>8.5610591486067755E-3</v>
      </c>
      <c r="E22" s="23">
        <f t="shared" si="0"/>
        <v>58769.320000000007</v>
      </c>
      <c r="F22" s="31" t="s">
        <v>729</v>
      </c>
      <c r="G22" s="31" t="s">
        <v>493</v>
      </c>
      <c r="J22" s="66" t="s">
        <v>533</v>
      </c>
      <c r="K22" s="67">
        <f>K18-C50*12</f>
        <v>1939852.9074999997</v>
      </c>
      <c r="L22" s="68" t="s">
        <v>496</v>
      </c>
      <c r="AK22" s="123">
        <v>16520000</v>
      </c>
      <c r="AL22" s="118" t="s">
        <v>31</v>
      </c>
      <c r="AM22" s="108">
        <v>-29684.15</v>
      </c>
    </row>
    <row r="23" spans="2:39">
      <c r="B23" t="s">
        <v>497</v>
      </c>
      <c r="C23" s="23">
        <f>BG!AN277</f>
        <v>11286.666666666666</v>
      </c>
      <c r="D23" s="23"/>
      <c r="E23" s="23">
        <f t="shared" si="0"/>
        <v>135440</v>
      </c>
      <c r="F23" s="31" t="s">
        <v>729</v>
      </c>
      <c r="G23" s="31" t="s">
        <v>491</v>
      </c>
      <c r="J23" s="61" t="s">
        <v>503</v>
      </c>
      <c r="K23">
        <f>K19-10</f>
        <v>65</v>
      </c>
      <c r="L23" s="62" t="s">
        <v>496</v>
      </c>
      <c r="AK23" s="123">
        <v>20500000</v>
      </c>
      <c r="AL23" s="118" t="s">
        <v>33</v>
      </c>
      <c r="AM23" s="108">
        <v>102243.85</v>
      </c>
    </row>
    <row r="24" spans="2:39">
      <c r="B24" s="33" t="s">
        <v>500</v>
      </c>
      <c r="C24" s="71">
        <f>SUM(C14:C23)</f>
        <v>87548.717708333337</v>
      </c>
      <c r="D24" s="72"/>
      <c r="E24" s="71">
        <f>C24*12</f>
        <v>1050584.6125</v>
      </c>
      <c r="F24" s="34"/>
      <c r="G24" s="35"/>
      <c r="J24" s="63" t="s">
        <v>504</v>
      </c>
      <c r="K24" s="64">
        <f>(E5-C14-C15+(Rémunérations!AL25+Rémunérations!AL31+Rémunérations!AL52+Rémunérations!AL84+Rémunérations!AL74+Rémunérations!AL90+Rémunérations!AL26+Rémunérations!AL87+Rémunérations!AL103)/12)/K23</f>
        <v>2782.499366965812</v>
      </c>
      <c r="L24" s="65" t="s">
        <v>496</v>
      </c>
      <c r="AK24" s="123">
        <v>20510000</v>
      </c>
      <c r="AL24" s="118" t="s">
        <v>588</v>
      </c>
      <c r="AM24" s="110">
        <v>215.72</v>
      </c>
    </row>
    <row r="25" spans="2:39">
      <c r="C25" s="23"/>
      <c r="D25" s="23"/>
      <c r="E25" s="23"/>
      <c r="F25" s="31"/>
      <c r="G25" s="31"/>
      <c r="AK25" s="123">
        <v>20710000</v>
      </c>
      <c r="AL25" s="118" t="s">
        <v>35</v>
      </c>
      <c r="AM25" s="108">
        <v>89000</v>
      </c>
    </row>
    <row r="26" spans="2:39">
      <c r="AK26" s="123">
        <v>20800000</v>
      </c>
      <c r="AL26" s="118" t="s">
        <v>590</v>
      </c>
      <c r="AM26" s="108">
        <v>4540</v>
      </c>
    </row>
    <row r="27" spans="2:39">
      <c r="B27" s="33" t="s">
        <v>499</v>
      </c>
      <c r="C27" s="34"/>
      <c r="D27" s="34"/>
      <c r="E27" s="34"/>
      <c r="F27" s="34"/>
      <c r="G27" s="35"/>
      <c r="AK27" s="123">
        <v>21810000</v>
      </c>
      <c r="AL27" s="118" t="s">
        <v>37</v>
      </c>
      <c r="AM27" s="108">
        <v>218609.75</v>
      </c>
    </row>
    <row r="28" spans="2:39">
      <c r="B28" t="s">
        <v>480</v>
      </c>
      <c r="C28" s="23">
        <f>BG!AN294</f>
        <v>9548.8050000000003</v>
      </c>
      <c r="D28" s="23">
        <f>E28/$K$15</f>
        <v>2083.3756363636362</v>
      </c>
      <c r="E28" s="23">
        <f t="shared" ref="E28" si="1">C28*12</f>
        <v>114585.66</v>
      </c>
      <c r="F28" s="31" t="s">
        <v>729</v>
      </c>
      <c r="G28" s="31" t="s">
        <v>492</v>
      </c>
      <c r="AK28" s="123">
        <v>21830000</v>
      </c>
      <c r="AL28" s="118" t="s">
        <v>39</v>
      </c>
      <c r="AM28" s="108">
        <v>307110.61</v>
      </c>
    </row>
    <row r="29" spans="2:39">
      <c r="C29" s="23"/>
      <c r="D29" s="23"/>
      <c r="E29" s="23"/>
      <c r="F29" s="31"/>
      <c r="G29" s="31"/>
      <c r="AK29" s="123">
        <v>21840000</v>
      </c>
      <c r="AL29" s="118" t="s">
        <v>41</v>
      </c>
      <c r="AM29" s="108">
        <v>159968.35999999999</v>
      </c>
    </row>
    <row r="30" spans="2:39">
      <c r="B30" t="s">
        <v>477</v>
      </c>
      <c r="C30" s="23">
        <f>C31+C32</f>
        <v>15021.608333333334</v>
      </c>
      <c r="D30" s="23">
        <f t="shared" ref="D30" si="2">D31+D32</f>
        <v>3277.4418181818182</v>
      </c>
      <c r="E30" s="23">
        <f>E31+E32</f>
        <v>180259.3</v>
      </c>
      <c r="F30" s="31" t="s">
        <v>729</v>
      </c>
      <c r="G30" s="31" t="s">
        <v>492</v>
      </c>
      <c r="AK30" s="123">
        <v>27500000</v>
      </c>
      <c r="AL30" s="118" t="s">
        <v>47</v>
      </c>
      <c r="AM30" s="108">
        <v>337638.86</v>
      </c>
    </row>
    <row r="31" spans="2:39">
      <c r="B31" s="26" t="s">
        <v>478</v>
      </c>
      <c r="C31" s="23">
        <f>BG!AN298</f>
        <v>7314.4066666666668</v>
      </c>
      <c r="D31" s="23">
        <f t="shared" ref="D31:D32" si="3">E31/$K$15</f>
        <v>1595.8705454545454</v>
      </c>
      <c r="E31" s="23">
        <f>C31*12</f>
        <v>87772.88</v>
      </c>
      <c r="F31" s="31" t="s">
        <v>729</v>
      </c>
      <c r="G31" s="31" t="s">
        <v>492</v>
      </c>
      <c r="AK31" s="123">
        <v>28050000</v>
      </c>
      <c r="AL31" s="118" t="s">
        <v>49</v>
      </c>
      <c r="AM31" s="108">
        <v>-72016.69</v>
      </c>
    </row>
    <row r="32" spans="2:39">
      <c r="B32" s="26" t="s">
        <v>479</v>
      </c>
      <c r="C32" s="23">
        <f>BG!AN275</f>
        <v>7707.2016666666668</v>
      </c>
      <c r="D32" s="23">
        <f t="shared" si="3"/>
        <v>1681.5712727272728</v>
      </c>
      <c r="E32" s="23">
        <f>C32*12</f>
        <v>92486.42</v>
      </c>
      <c r="F32" s="31" t="s">
        <v>729</v>
      </c>
      <c r="G32" s="31" t="s">
        <v>492</v>
      </c>
      <c r="AK32" s="123">
        <v>28051000</v>
      </c>
      <c r="AL32" s="118" t="s">
        <v>592</v>
      </c>
      <c r="AM32" s="110">
        <v>-215.72</v>
      </c>
    </row>
    <row r="33" spans="2:39">
      <c r="C33" s="23"/>
      <c r="D33" s="23"/>
      <c r="E33" s="23"/>
      <c r="F33" s="31"/>
      <c r="G33" s="31"/>
      <c r="AK33" s="123">
        <v>28080000</v>
      </c>
      <c r="AL33" s="118" t="s">
        <v>594</v>
      </c>
      <c r="AM33" s="108">
        <v>-4540</v>
      </c>
    </row>
    <row r="34" spans="2:39">
      <c r="B34" t="s">
        <v>465</v>
      </c>
      <c r="C34" s="23">
        <f>BG!AN276</f>
        <v>2797.396666666667</v>
      </c>
      <c r="D34" s="23"/>
      <c r="E34" s="23">
        <f>C34*12</f>
        <v>33568.76</v>
      </c>
      <c r="F34" s="31" t="s">
        <v>729</v>
      </c>
      <c r="G34" s="31" t="s">
        <v>542</v>
      </c>
      <c r="AK34" s="123">
        <v>28181000</v>
      </c>
      <c r="AL34" s="118" t="s">
        <v>51</v>
      </c>
      <c r="AM34" s="108">
        <v>-79236.08</v>
      </c>
    </row>
    <row r="35" spans="2:39">
      <c r="C35" s="23"/>
      <c r="D35" s="23"/>
      <c r="E35" s="23"/>
      <c r="F35" s="31"/>
      <c r="G35" s="31"/>
      <c r="AK35" s="123">
        <v>28183000</v>
      </c>
      <c r="AL35" s="118" t="s">
        <v>53</v>
      </c>
      <c r="AM35" s="108">
        <v>-148758</v>
      </c>
    </row>
    <row r="36" spans="2:39">
      <c r="B36" t="s">
        <v>466</v>
      </c>
      <c r="C36" s="23">
        <f>SUM(C37:C41)</f>
        <v>34878.271666666667</v>
      </c>
      <c r="D36" s="23"/>
      <c r="E36" s="23">
        <f>C36*12</f>
        <v>418539.26</v>
      </c>
      <c r="F36" s="31" t="s">
        <v>729</v>
      </c>
      <c r="G36" s="31" t="s">
        <v>493</v>
      </c>
      <c r="AK36" s="123">
        <v>28184000</v>
      </c>
      <c r="AL36" s="118" t="s">
        <v>41</v>
      </c>
      <c r="AM36" s="108">
        <v>-57588.06</v>
      </c>
    </row>
    <row r="37" spans="2:39">
      <c r="B37" s="26" t="s">
        <v>467</v>
      </c>
      <c r="C37" s="23">
        <f>BG!AN286</f>
        <v>14416.666666666666</v>
      </c>
      <c r="D37" s="23"/>
      <c r="E37" s="23">
        <f>C37*12</f>
        <v>173000</v>
      </c>
      <c r="F37" s="31" t="s">
        <v>729</v>
      </c>
      <c r="G37" s="31" t="s">
        <v>542</v>
      </c>
      <c r="AK37" s="123">
        <v>40100000</v>
      </c>
      <c r="AL37" s="118" t="s">
        <v>56</v>
      </c>
      <c r="AM37" s="108">
        <v>-622274.78</v>
      </c>
    </row>
    <row r="38" spans="2:39">
      <c r="B38" s="26" t="s">
        <v>468</v>
      </c>
      <c r="C38" s="23">
        <f>BG!AN283</f>
        <v>6494.6500000000005</v>
      </c>
      <c r="D38" s="23">
        <f t="shared" ref="D38:D41" si="4">E38/$K$14</f>
        <v>1.1353083438671537E-2</v>
      </c>
      <c r="E38" s="23">
        <f t="shared" ref="E38:E41" si="5">C38*12</f>
        <v>77935.8</v>
      </c>
      <c r="F38" s="31" t="s">
        <v>729</v>
      </c>
      <c r="G38" s="31" t="s">
        <v>493</v>
      </c>
      <c r="AK38" s="123">
        <v>40810000</v>
      </c>
      <c r="AL38" s="118" t="s">
        <v>58</v>
      </c>
      <c r="AM38" s="108">
        <v>-167771.51</v>
      </c>
    </row>
    <row r="39" spans="2:39">
      <c r="B39" s="26" t="s">
        <v>469</v>
      </c>
      <c r="C39" s="23">
        <f>BG!AN284+BG!AN285</f>
        <v>1119.2166666666665</v>
      </c>
      <c r="D39" s="23">
        <f t="shared" si="4"/>
        <v>1.9564657375868589E-3</v>
      </c>
      <c r="E39" s="23">
        <f t="shared" si="5"/>
        <v>13430.599999999999</v>
      </c>
      <c r="F39" s="31" t="s">
        <v>729</v>
      </c>
      <c r="G39" s="31" t="s">
        <v>493</v>
      </c>
      <c r="AK39" s="123">
        <v>41100000</v>
      </c>
      <c r="AL39" s="118" t="s">
        <v>62</v>
      </c>
      <c r="AM39" s="108">
        <v>2831214.62</v>
      </c>
    </row>
    <row r="40" spans="2:39">
      <c r="B40" s="26" t="s">
        <v>470</v>
      </c>
      <c r="C40" s="23">
        <f>BG!AN287</f>
        <v>833.33333333333337</v>
      </c>
      <c r="D40" s="23">
        <f t="shared" si="4"/>
        <v>1.4567225124617359E-3</v>
      </c>
      <c r="E40" s="23">
        <f t="shared" si="5"/>
        <v>10000</v>
      </c>
      <c r="F40" s="31" t="s">
        <v>729</v>
      </c>
      <c r="G40" s="31" t="s">
        <v>493</v>
      </c>
      <c r="AK40" s="123">
        <v>41600000</v>
      </c>
      <c r="AL40" s="118" t="s">
        <v>64</v>
      </c>
      <c r="AM40" s="108">
        <v>32676.53</v>
      </c>
    </row>
    <row r="41" spans="2:39">
      <c r="B41" s="26" t="s">
        <v>471</v>
      </c>
      <c r="C41" s="23">
        <f>BG!AN282</f>
        <v>12014.404999999999</v>
      </c>
      <c r="D41" s="23">
        <f t="shared" si="4"/>
        <v>2.1001985084799411E-2</v>
      </c>
      <c r="E41" s="23">
        <f t="shared" si="5"/>
        <v>144172.85999999999</v>
      </c>
      <c r="F41" s="31" t="s">
        <v>729</v>
      </c>
      <c r="G41" s="31" t="s">
        <v>493</v>
      </c>
      <c r="AK41" s="123">
        <v>41810000</v>
      </c>
      <c r="AL41" s="118" t="s">
        <v>66</v>
      </c>
      <c r="AM41" s="108">
        <v>756047.21</v>
      </c>
    </row>
    <row r="42" spans="2:39">
      <c r="C42" s="23"/>
      <c r="D42" s="23"/>
      <c r="E42" s="23"/>
      <c r="F42" s="31"/>
      <c r="G42" s="31"/>
      <c r="AK42" s="123">
        <v>41980000</v>
      </c>
      <c r="AL42" s="118" t="s">
        <v>596</v>
      </c>
      <c r="AM42" s="108">
        <v>-1620</v>
      </c>
    </row>
    <row r="43" spans="2:39">
      <c r="B43" t="s">
        <v>472</v>
      </c>
      <c r="C43" s="23">
        <f>BG!AN295</f>
        <v>3650.7083333333335</v>
      </c>
      <c r="D43" s="23">
        <f>E43/$K$14</f>
        <v>6.3816828187179967E-3</v>
      </c>
      <c r="E43" s="23">
        <f t="shared" ref="E43:E47" si="6">C43*12</f>
        <v>43808.5</v>
      </c>
      <c r="F43" s="31" t="s">
        <v>729</v>
      </c>
      <c r="G43" s="31" t="s">
        <v>493</v>
      </c>
      <c r="AK43" s="123">
        <v>42100000</v>
      </c>
      <c r="AL43" s="118" t="s">
        <v>68</v>
      </c>
      <c r="AM43" s="108">
        <v>-1442.13</v>
      </c>
    </row>
    <row r="44" spans="2:39">
      <c r="B44" t="s">
        <v>473</v>
      </c>
      <c r="C44" s="23">
        <f>BG!AN297</f>
        <v>2916.7350000000001</v>
      </c>
      <c r="D44" s="23"/>
      <c r="E44" s="23">
        <f t="shared" si="6"/>
        <v>35000.82</v>
      </c>
      <c r="F44" s="31" t="s">
        <v>729</v>
      </c>
      <c r="G44" s="31" t="s">
        <v>555</v>
      </c>
      <c r="AK44" s="123">
        <v>42700000</v>
      </c>
      <c r="AL44" s="118" t="s">
        <v>352</v>
      </c>
      <c r="AM44" s="108">
        <v>4200</v>
      </c>
    </row>
    <row r="45" spans="2:39">
      <c r="B45" t="s">
        <v>475</v>
      </c>
      <c r="C45" s="23">
        <f>BG!AN293</f>
        <v>5522.0649999999996</v>
      </c>
      <c r="D45" s="23"/>
      <c r="E45" s="23">
        <f t="shared" si="6"/>
        <v>66264.78</v>
      </c>
      <c r="F45" s="31" t="s">
        <v>729</v>
      </c>
      <c r="G45" s="31" t="s">
        <v>555</v>
      </c>
      <c r="AK45" s="123">
        <v>42820000</v>
      </c>
      <c r="AL45" s="118" t="s">
        <v>70</v>
      </c>
      <c r="AM45" s="108">
        <v>-284505.07</v>
      </c>
    </row>
    <row r="46" spans="2:39">
      <c r="B46" t="s">
        <v>476</v>
      </c>
      <c r="C46" s="23">
        <f>BG!AN278</f>
        <v>2660.2266666666669</v>
      </c>
      <c r="D46" s="23"/>
      <c r="E46" s="23">
        <f t="shared" si="6"/>
        <v>31922.720000000001</v>
      </c>
      <c r="F46" s="31" t="s">
        <v>729</v>
      </c>
      <c r="G46" s="31" t="s">
        <v>555</v>
      </c>
      <c r="AK46" s="123">
        <v>42860000</v>
      </c>
      <c r="AL46" s="118" t="s">
        <v>354</v>
      </c>
      <c r="AM46" s="108">
        <v>-74837.100000000006</v>
      </c>
    </row>
    <row r="47" spans="2:39">
      <c r="B47" t="s">
        <v>490</v>
      </c>
      <c r="C47" s="23">
        <f>BG!AN279</f>
        <v>2936.978333333333</v>
      </c>
      <c r="D47" s="23">
        <f>E47/$K$14</f>
        <v>5.134034948134818E-3</v>
      </c>
      <c r="E47" s="23">
        <f t="shared" si="6"/>
        <v>35243.74</v>
      </c>
      <c r="F47" s="31" t="s">
        <v>729</v>
      </c>
      <c r="G47" s="31" t="s">
        <v>493</v>
      </c>
      <c r="AK47" s="123">
        <v>42861000</v>
      </c>
      <c r="AL47" s="118" t="s">
        <v>72</v>
      </c>
      <c r="AM47" s="108">
        <v>-27466.22</v>
      </c>
    </row>
    <row r="48" spans="2:39">
      <c r="B48" s="33" t="s">
        <v>501</v>
      </c>
      <c r="C48" s="71">
        <f>SUM(C30,C34,C36,C43:C47,C28)</f>
        <v>79932.795000000013</v>
      </c>
      <c r="D48" s="72"/>
      <c r="E48" s="71">
        <f>C48*12</f>
        <v>959193.54000000015</v>
      </c>
      <c r="F48" s="34"/>
      <c r="G48" s="35"/>
      <c r="AK48" s="123">
        <v>42862000</v>
      </c>
      <c r="AL48" s="118" t="s">
        <v>74</v>
      </c>
      <c r="AM48" s="108">
        <v>-80000</v>
      </c>
    </row>
    <row r="49" spans="2:39" ht="15.75" thickBot="1">
      <c r="C49" s="23"/>
      <c r="D49" s="23"/>
      <c r="E49" s="23"/>
      <c r="F49" s="31"/>
      <c r="G49" s="31"/>
      <c r="AK49" s="123">
        <v>43100000</v>
      </c>
      <c r="AL49" s="118" t="s">
        <v>76</v>
      </c>
      <c r="AM49" s="108">
        <v>-130201.64</v>
      </c>
    </row>
    <row r="50" spans="2:39" ht="15.75" thickBot="1">
      <c r="B50" s="69" t="s">
        <v>481</v>
      </c>
      <c r="C50" s="70">
        <f>C24+C48</f>
        <v>167481.51270833335</v>
      </c>
      <c r="D50" s="70"/>
      <c r="E50" s="70">
        <f>E24+E48</f>
        <v>2009778.1525000003</v>
      </c>
      <c r="F50" s="36"/>
      <c r="G50" s="37"/>
      <c r="AK50" s="123">
        <v>43110000</v>
      </c>
      <c r="AL50" s="118" t="s">
        <v>598</v>
      </c>
      <c r="AM50" s="110">
        <v>0</v>
      </c>
    </row>
    <row r="51" spans="2:39">
      <c r="C51" s="23">
        <f>C48+SUM(C17:C22)</f>
        <v>156194.84604166669</v>
      </c>
      <c r="E51" s="23">
        <f>C51*12</f>
        <v>1874338.1525000003</v>
      </c>
      <c r="AK51" s="123">
        <v>43710000</v>
      </c>
      <c r="AL51" s="118" t="s">
        <v>78</v>
      </c>
      <c r="AM51" s="108">
        <v>-26046.75</v>
      </c>
    </row>
    <row r="52" spans="2:39">
      <c r="E52" s="23"/>
      <c r="AK52" s="123">
        <v>43710100</v>
      </c>
      <c r="AL52" s="118" t="s">
        <v>658</v>
      </c>
      <c r="AM52" s="108">
        <v>-1223.8699999999999</v>
      </c>
    </row>
    <row r="53" spans="2:39">
      <c r="C53" s="23"/>
      <c r="D53" s="23"/>
      <c r="E53" s="23"/>
      <c r="AK53" s="123">
        <v>43710200</v>
      </c>
      <c r="AL53" s="118" t="s">
        <v>683</v>
      </c>
      <c r="AM53" s="108">
        <v>-14620.83</v>
      </c>
    </row>
    <row r="54" spans="2:39">
      <c r="AK54" s="123">
        <v>43720000</v>
      </c>
      <c r="AL54" s="118" t="s">
        <v>80</v>
      </c>
      <c r="AM54" s="108">
        <v>-78944.539999999994</v>
      </c>
    </row>
    <row r="55" spans="2:39">
      <c r="C55" s="23"/>
      <c r="D55" s="23"/>
      <c r="E55" s="23"/>
      <c r="AK55" s="123">
        <v>43730000</v>
      </c>
      <c r="AL55" s="118" t="s">
        <v>82</v>
      </c>
      <c r="AM55" s="108">
        <v>-51432.85</v>
      </c>
    </row>
    <row r="56" spans="2:39">
      <c r="C56" s="23"/>
      <c r="D56" s="23"/>
      <c r="E56" s="23"/>
      <c r="AK56" s="123">
        <v>43820000</v>
      </c>
      <c r="AL56" s="118" t="s">
        <v>84</v>
      </c>
      <c r="AM56" s="108">
        <v>-152146.62</v>
      </c>
    </row>
    <row r="57" spans="2:39">
      <c r="C57" s="23"/>
      <c r="D57" s="23"/>
      <c r="E57" s="23"/>
      <c r="AK57" s="123">
        <v>43861000</v>
      </c>
      <c r="AL57" s="118" t="s">
        <v>86</v>
      </c>
      <c r="AM57" s="108">
        <v>-13733.1</v>
      </c>
    </row>
    <row r="58" spans="2:39">
      <c r="C58" s="23"/>
      <c r="D58" s="23"/>
      <c r="E58" s="23"/>
      <c r="AK58" s="123">
        <v>43861100</v>
      </c>
      <c r="AL58" s="118" t="s">
        <v>88</v>
      </c>
      <c r="AM58" s="108">
        <v>-40000</v>
      </c>
    </row>
    <row r="59" spans="2:39">
      <c r="C59" s="23"/>
      <c r="D59" s="23"/>
      <c r="E59" s="23"/>
      <c r="AK59" s="123">
        <v>43861200</v>
      </c>
      <c r="AL59" s="118" t="s">
        <v>356</v>
      </c>
      <c r="AM59" s="110">
        <v>0</v>
      </c>
    </row>
    <row r="60" spans="2:39">
      <c r="C60" s="23"/>
      <c r="D60" s="23"/>
      <c r="E60" s="23"/>
      <c r="AK60" s="123">
        <v>43870000</v>
      </c>
      <c r="AL60" s="118" t="s">
        <v>358</v>
      </c>
      <c r="AM60" s="108">
        <v>-16955.93</v>
      </c>
    </row>
    <row r="61" spans="2:39">
      <c r="C61" s="23"/>
      <c r="D61" s="23"/>
      <c r="E61" s="23"/>
      <c r="AK61" s="123">
        <v>44400000</v>
      </c>
      <c r="AL61" s="118" t="s">
        <v>360</v>
      </c>
      <c r="AM61" s="108">
        <v>-51407.92</v>
      </c>
    </row>
    <row r="62" spans="2:39">
      <c r="C62" s="23"/>
      <c r="D62" s="23"/>
      <c r="E62" s="23"/>
      <c r="AK62" s="123">
        <v>44551000</v>
      </c>
      <c r="AL62" s="118" t="s">
        <v>94</v>
      </c>
      <c r="AM62" s="108">
        <v>-55110.92</v>
      </c>
    </row>
    <row r="63" spans="2:39">
      <c r="AK63" s="123">
        <v>44562000</v>
      </c>
      <c r="AL63" s="118" t="s">
        <v>96</v>
      </c>
      <c r="AM63" s="110">
        <v>0</v>
      </c>
    </row>
    <row r="64" spans="2:39">
      <c r="AK64" s="123">
        <v>44566100</v>
      </c>
      <c r="AL64" s="118" t="s">
        <v>100</v>
      </c>
      <c r="AM64" s="108">
        <v>58080.2</v>
      </c>
    </row>
    <row r="65" spans="37:39">
      <c r="AK65" s="123">
        <v>44566160</v>
      </c>
      <c r="AL65" s="118" t="s">
        <v>102</v>
      </c>
      <c r="AM65" s="110">
        <v>0.53</v>
      </c>
    </row>
    <row r="66" spans="37:39">
      <c r="AK66" s="123">
        <v>44566200</v>
      </c>
      <c r="AL66" s="118" t="s">
        <v>104</v>
      </c>
      <c r="AM66" s="110">
        <v>0</v>
      </c>
    </row>
    <row r="67" spans="37:39">
      <c r="AK67" s="123">
        <v>44571000</v>
      </c>
      <c r="AL67" s="118" t="s">
        <v>106</v>
      </c>
      <c r="AM67" s="108">
        <v>-601681.36</v>
      </c>
    </row>
    <row r="68" spans="37:39">
      <c r="AK68" s="123">
        <v>44586000</v>
      </c>
      <c r="AL68" s="118" t="s">
        <v>108</v>
      </c>
      <c r="AM68" s="108">
        <v>23022.36</v>
      </c>
    </row>
    <row r="69" spans="37:39">
      <c r="AK69" s="123">
        <v>44586100</v>
      </c>
      <c r="AL69" s="118" t="s">
        <v>110</v>
      </c>
      <c r="AM69" s="108">
        <v>-1441.34</v>
      </c>
    </row>
    <row r="70" spans="37:39">
      <c r="AK70" s="123">
        <v>44586400</v>
      </c>
      <c r="AL70" s="118" t="s">
        <v>600</v>
      </c>
      <c r="AM70" s="108">
        <v>-10107.75</v>
      </c>
    </row>
    <row r="71" spans="37:39">
      <c r="AK71" s="123">
        <v>44587000</v>
      </c>
      <c r="AL71" s="118" t="s">
        <v>112</v>
      </c>
      <c r="AM71" s="108">
        <v>-128604.87</v>
      </c>
    </row>
    <row r="72" spans="37:39">
      <c r="AK72" s="123">
        <v>44702000</v>
      </c>
      <c r="AL72" s="118" t="s">
        <v>114</v>
      </c>
      <c r="AM72" s="108">
        <v>-26571.8</v>
      </c>
    </row>
    <row r="73" spans="37:39">
      <c r="AK73" s="123">
        <v>44703000</v>
      </c>
      <c r="AL73" s="118" t="s">
        <v>116</v>
      </c>
      <c r="AM73" s="108">
        <v>-16542.330000000002</v>
      </c>
    </row>
    <row r="74" spans="37:39">
      <c r="AK74" s="123">
        <v>44704000</v>
      </c>
      <c r="AL74" s="118" t="s">
        <v>118</v>
      </c>
      <c r="AM74" s="108">
        <v>-72655.520000000004</v>
      </c>
    </row>
    <row r="75" spans="37:39">
      <c r="AK75" s="123">
        <v>44705000</v>
      </c>
      <c r="AL75" s="118" t="s">
        <v>364</v>
      </c>
      <c r="AM75" s="108">
        <v>-19999.990000000002</v>
      </c>
    </row>
    <row r="76" spans="37:39">
      <c r="AK76" s="123">
        <v>44706000</v>
      </c>
      <c r="AL76" s="118" t="s">
        <v>120</v>
      </c>
      <c r="AM76" s="110">
        <v>0</v>
      </c>
    </row>
    <row r="77" spans="37:39">
      <c r="AK77" s="123">
        <v>44860000</v>
      </c>
      <c r="AL77" s="118" t="s">
        <v>122</v>
      </c>
      <c r="AM77" s="108">
        <v>-162435.39000000001</v>
      </c>
    </row>
    <row r="78" spans="37:39">
      <c r="AK78" s="123">
        <v>44871000</v>
      </c>
      <c r="AL78" s="118" t="s">
        <v>124</v>
      </c>
      <c r="AM78" s="108">
        <v>285613.33</v>
      </c>
    </row>
    <row r="79" spans="37:39">
      <c r="AK79" s="123">
        <v>44872000</v>
      </c>
      <c r="AL79" s="118" t="s">
        <v>126</v>
      </c>
      <c r="AM79" s="108">
        <v>26342.79</v>
      </c>
    </row>
    <row r="80" spans="37:39">
      <c r="AK80" s="123">
        <v>44874000</v>
      </c>
      <c r="AL80" s="118" t="s">
        <v>128</v>
      </c>
      <c r="AM80" s="108">
        <v>106308.33</v>
      </c>
    </row>
    <row r="81" spans="37:39">
      <c r="AK81" s="123">
        <v>45500100</v>
      </c>
      <c r="AL81" s="118" t="s">
        <v>602</v>
      </c>
      <c r="AM81" s="108">
        <v>-1439.62</v>
      </c>
    </row>
    <row r="82" spans="37:39">
      <c r="AK82" s="123">
        <v>45510000</v>
      </c>
      <c r="AL82" s="118" t="s">
        <v>130</v>
      </c>
      <c r="AM82" s="108">
        <v>1439.62</v>
      </c>
    </row>
    <row r="83" spans="37:39">
      <c r="AK83" s="123">
        <v>45511000</v>
      </c>
      <c r="AL83" s="118" t="s">
        <v>132</v>
      </c>
      <c r="AM83" s="108">
        <v>10000</v>
      </c>
    </row>
    <row r="84" spans="37:39">
      <c r="AK84" s="123">
        <v>46700000</v>
      </c>
      <c r="AL84" s="118" t="s">
        <v>685</v>
      </c>
      <c r="AM84" s="110">
        <v>0</v>
      </c>
    </row>
    <row r="85" spans="37:39">
      <c r="AK85" s="123">
        <v>46704000</v>
      </c>
      <c r="AL85" s="118" t="s">
        <v>136</v>
      </c>
      <c r="AM85" s="108">
        <v>-6484.05</v>
      </c>
    </row>
    <row r="86" spans="37:39">
      <c r="AK86" s="123">
        <v>46720000</v>
      </c>
      <c r="AL86" s="118" t="s">
        <v>138</v>
      </c>
      <c r="AM86" s="108">
        <v>-16994</v>
      </c>
    </row>
    <row r="87" spans="37:39">
      <c r="AK87" s="123">
        <v>46720100</v>
      </c>
      <c r="AL87" s="118" t="s">
        <v>687</v>
      </c>
      <c r="AM87" s="108">
        <v>51405</v>
      </c>
    </row>
    <row r="88" spans="37:39">
      <c r="AK88" s="123">
        <v>46721000</v>
      </c>
      <c r="AL88" s="118" t="s">
        <v>140</v>
      </c>
      <c r="AM88" s="108">
        <v>-21929.65</v>
      </c>
    </row>
    <row r="89" spans="37:39">
      <c r="AK89" s="123">
        <v>47200000</v>
      </c>
      <c r="AL89" s="118" t="s">
        <v>144</v>
      </c>
      <c r="AM89" s="108">
        <v>13872</v>
      </c>
    </row>
    <row r="90" spans="37:39">
      <c r="AK90" s="123">
        <v>48600000</v>
      </c>
      <c r="AL90" s="118" t="s">
        <v>146</v>
      </c>
      <c r="AM90" s="108">
        <v>377575.67</v>
      </c>
    </row>
    <row r="91" spans="37:39">
      <c r="AK91" s="123">
        <v>48700000</v>
      </c>
      <c r="AL91" s="118" t="s">
        <v>148</v>
      </c>
      <c r="AM91" s="108">
        <v>-82583.87</v>
      </c>
    </row>
    <row r="92" spans="37:39">
      <c r="AK92" s="123">
        <v>49100000</v>
      </c>
      <c r="AL92" s="118" t="s">
        <v>150</v>
      </c>
      <c r="AM92" s="108">
        <v>-20883.330000000002</v>
      </c>
    </row>
    <row r="93" spans="37:39">
      <c r="AK93" s="123">
        <v>50300000</v>
      </c>
      <c r="AL93" s="118" t="s">
        <v>689</v>
      </c>
      <c r="AM93" s="108">
        <v>31267.88</v>
      </c>
    </row>
    <row r="94" spans="37:39">
      <c r="AK94" s="123">
        <v>51210000</v>
      </c>
      <c r="AL94" s="118" t="s">
        <v>152</v>
      </c>
      <c r="AM94" s="108">
        <v>-66757.87</v>
      </c>
    </row>
    <row r="95" spans="37:39">
      <c r="AK95" s="123">
        <v>51230000</v>
      </c>
      <c r="AL95" s="118" t="s">
        <v>154</v>
      </c>
      <c r="AM95" s="108">
        <v>-46855.33</v>
      </c>
    </row>
    <row r="96" spans="37:39">
      <c r="AK96" s="123">
        <v>51260000</v>
      </c>
      <c r="AL96" s="118" t="s">
        <v>156</v>
      </c>
      <c r="AM96" s="110">
        <v>0</v>
      </c>
    </row>
    <row r="97" spans="37:40">
      <c r="AK97" s="123">
        <v>51280000</v>
      </c>
      <c r="AL97" s="118" t="s">
        <v>366</v>
      </c>
      <c r="AM97" s="108">
        <v>-16409.240000000002</v>
      </c>
    </row>
    <row r="98" spans="37:40">
      <c r="AK98" s="123">
        <v>51290000</v>
      </c>
      <c r="AL98" s="118" t="s">
        <v>604</v>
      </c>
      <c r="AM98" s="108">
        <v>2447.48</v>
      </c>
    </row>
    <row r="99" spans="37:40">
      <c r="AK99" s="123">
        <v>51291000</v>
      </c>
      <c r="AL99" s="118" t="s">
        <v>660</v>
      </c>
      <c r="AM99" s="108">
        <v>-13933.79</v>
      </c>
    </row>
    <row r="100" spans="37:40">
      <c r="AK100" s="123">
        <v>51292000</v>
      </c>
      <c r="AL100" s="118" t="s">
        <v>691</v>
      </c>
      <c r="AM100" s="108">
        <v>-129734.59</v>
      </c>
    </row>
    <row r="101" spans="37:40">
      <c r="AK101" s="123">
        <v>51710000</v>
      </c>
      <c r="AL101" s="118" t="s">
        <v>158</v>
      </c>
      <c r="AM101" s="108">
        <v>7776.96</v>
      </c>
    </row>
    <row r="102" spans="37:40">
      <c r="AK102" s="123">
        <v>51720000</v>
      </c>
      <c r="AL102" s="118" t="s">
        <v>160</v>
      </c>
      <c r="AM102" s="108">
        <v>7777.05</v>
      </c>
    </row>
    <row r="103" spans="37:40">
      <c r="AK103" s="123">
        <v>51721000</v>
      </c>
      <c r="AL103" s="118" t="s">
        <v>162</v>
      </c>
      <c r="AM103" s="108">
        <v>30000</v>
      </c>
    </row>
    <row r="104" spans="37:40">
      <c r="AK104" s="123">
        <v>51730000</v>
      </c>
      <c r="AL104" s="118" t="s">
        <v>693</v>
      </c>
      <c r="AM104" s="108">
        <v>-72543.94</v>
      </c>
    </row>
    <row r="105" spans="37:40">
      <c r="AK105" s="123">
        <v>51740000</v>
      </c>
      <c r="AL105" s="118" t="s">
        <v>707</v>
      </c>
      <c r="AM105" s="110">
        <v>0</v>
      </c>
    </row>
    <row r="106" spans="37:40">
      <c r="AK106" s="123">
        <v>51860000</v>
      </c>
      <c r="AL106" s="118" t="s">
        <v>164</v>
      </c>
      <c r="AM106" s="108">
        <v>-1993.13</v>
      </c>
    </row>
    <row r="107" spans="37:40">
      <c r="AK107" s="123">
        <v>58000000</v>
      </c>
      <c r="AL107" s="118" t="s">
        <v>368</v>
      </c>
      <c r="AM107" s="110">
        <v>0</v>
      </c>
      <c r="AN107" t="s">
        <v>703</v>
      </c>
    </row>
    <row r="108" spans="37:40">
      <c r="AK108" s="123">
        <v>60410000</v>
      </c>
      <c r="AL108" s="118" t="s">
        <v>166</v>
      </c>
      <c r="AM108" s="108">
        <v>1389.48</v>
      </c>
      <c r="AN108" t="e">
        <f>VLOOKUP(AK108,$AE$104:$AH$228,4,FALSE)</f>
        <v>#N/A</v>
      </c>
    </row>
    <row r="109" spans="37:40">
      <c r="AK109" s="123">
        <v>60430000</v>
      </c>
      <c r="AL109" s="118" t="s">
        <v>168</v>
      </c>
      <c r="AM109" s="108">
        <v>252479.19</v>
      </c>
    </row>
    <row r="110" spans="37:40">
      <c r="AK110" s="123">
        <v>60432000</v>
      </c>
      <c r="AL110" s="118" t="s">
        <v>170</v>
      </c>
      <c r="AM110" s="108">
        <v>96892.22</v>
      </c>
    </row>
    <row r="111" spans="37:40">
      <c r="AK111" s="123">
        <v>60440000</v>
      </c>
      <c r="AL111" s="118" t="s">
        <v>370</v>
      </c>
      <c r="AM111" s="110">
        <v>0</v>
      </c>
    </row>
    <row r="112" spans="37:40">
      <c r="AK112" s="123">
        <v>60610000</v>
      </c>
      <c r="AL112" s="118" t="s">
        <v>372</v>
      </c>
      <c r="AM112" s="108">
        <v>3391.58</v>
      </c>
    </row>
    <row r="113" spans="37:39">
      <c r="AK113" s="123">
        <v>60611000</v>
      </c>
      <c r="AL113" s="118" t="s">
        <v>172</v>
      </c>
      <c r="AM113" s="108">
        <v>-1047.29</v>
      </c>
    </row>
    <row r="114" spans="37:39">
      <c r="AK114" s="123">
        <v>60612000</v>
      </c>
      <c r="AL114" s="118" t="s">
        <v>174</v>
      </c>
      <c r="AM114" s="108">
        <v>-2129.16</v>
      </c>
    </row>
    <row r="115" spans="37:39">
      <c r="AK115" s="123">
        <v>60614000</v>
      </c>
      <c r="AL115" s="118" t="s">
        <v>176</v>
      </c>
      <c r="AM115" s="108">
        <v>22054.799999999999</v>
      </c>
    </row>
    <row r="116" spans="37:39">
      <c r="AK116" s="123">
        <v>60630000</v>
      </c>
      <c r="AL116" s="118" t="s">
        <v>178</v>
      </c>
      <c r="AM116" s="108">
        <v>20125.830000000002</v>
      </c>
    </row>
    <row r="117" spans="37:39">
      <c r="AK117" s="123">
        <v>60640000</v>
      </c>
      <c r="AL117" s="118" t="s">
        <v>180</v>
      </c>
      <c r="AM117" s="108">
        <v>3548.81</v>
      </c>
    </row>
    <row r="118" spans="37:39">
      <c r="AK118" s="123">
        <v>61300100</v>
      </c>
      <c r="AL118" s="118" t="s">
        <v>606</v>
      </c>
      <c r="AM118" s="108">
        <v>8109</v>
      </c>
    </row>
    <row r="119" spans="37:39">
      <c r="AK119" s="123">
        <v>61320000</v>
      </c>
      <c r="AL119" s="118" t="s">
        <v>182</v>
      </c>
      <c r="AM119" s="108">
        <v>182316.05</v>
      </c>
    </row>
    <row r="120" spans="37:39">
      <c r="AK120" s="123">
        <v>61320001</v>
      </c>
      <c r="AL120" s="118" t="s">
        <v>184</v>
      </c>
      <c r="AM120" s="108">
        <v>1853.9</v>
      </c>
    </row>
    <row r="121" spans="37:39">
      <c r="AK121" s="123">
        <v>61321000</v>
      </c>
      <c r="AL121" s="118" t="s">
        <v>374</v>
      </c>
      <c r="AM121" s="108">
        <v>1700</v>
      </c>
    </row>
    <row r="122" spans="37:39">
      <c r="AK122" s="123">
        <v>61321200</v>
      </c>
      <c r="AL122" s="118" t="s">
        <v>608</v>
      </c>
      <c r="AM122" s="108">
        <v>3000</v>
      </c>
    </row>
    <row r="123" spans="37:39">
      <c r="AK123" s="123">
        <v>61330050</v>
      </c>
      <c r="AL123" s="118" t="s">
        <v>186</v>
      </c>
      <c r="AM123" s="108">
        <v>4145.08</v>
      </c>
    </row>
    <row r="124" spans="37:39">
      <c r="AK124" s="123">
        <v>61337200</v>
      </c>
      <c r="AL124" s="118" t="s">
        <v>188</v>
      </c>
      <c r="AM124" s="108">
        <v>8173.97</v>
      </c>
    </row>
    <row r="125" spans="37:39">
      <c r="AK125" s="123">
        <v>61337300</v>
      </c>
      <c r="AL125" s="118" t="s">
        <v>709</v>
      </c>
      <c r="AM125" s="110">
        <v>544.39</v>
      </c>
    </row>
    <row r="126" spans="37:39">
      <c r="AK126" s="123">
        <v>61352001</v>
      </c>
      <c r="AL126" s="118" t="s">
        <v>190</v>
      </c>
      <c r="AM126" s="108">
        <v>5934</v>
      </c>
    </row>
    <row r="127" spans="37:39">
      <c r="AK127" s="123">
        <v>61353401</v>
      </c>
      <c r="AL127" s="118" t="s">
        <v>376</v>
      </c>
      <c r="AM127" s="108">
        <v>7413.96</v>
      </c>
    </row>
    <row r="128" spans="37:39">
      <c r="AK128" s="123">
        <v>61353831</v>
      </c>
      <c r="AL128" s="118" t="s">
        <v>204</v>
      </c>
      <c r="AM128" s="110">
        <v>182.46</v>
      </c>
    </row>
    <row r="129" spans="37:39">
      <c r="AK129" s="123">
        <v>61355801</v>
      </c>
      <c r="AL129" s="118" t="s">
        <v>206</v>
      </c>
      <c r="AM129" s="110">
        <v>0</v>
      </c>
    </row>
    <row r="130" spans="37:39">
      <c r="AK130" s="123">
        <v>61356000</v>
      </c>
      <c r="AL130" s="118" t="s">
        <v>610</v>
      </c>
      <c r="AM130" s="110">
        <v>0</v>
      </c>
    </row>
    <row r="131" spans="37:39">
      <c r="AK131" s="123">
        <v>61360900</v>
      </c>
      <c r="AL131" s="118" t="s">
        <v>208</v>
      </c>
      <c r="AM131" s="108">
        <v>3269.65</v>
      </c>
    </row>
    <row r="132" spans="37:39">
      <c r="AK132" s="123">
        <v>61400000</v>
      </c>
      <c r="AL132" s="118" t="s">
        <v>210</v>
      </c>
      <c r="AM132" s="108">
        <v>21161.98</v>
      </c>
    </row>
    <row r="133" spans="37:39">
      <c r="AK133" s="123">
        <v>61510000</v>
      </c>
      <c r="AL133" s="118" t="s">
        <v>378</v>
      </c>
      <c r="AM133" s="108">
        <v>12742.71</v>
      </c>
    </row>
    <row r="134" spans="37:39">
      <c r="AK134" s="123">
        <v>61551000</v>
      </c>
      <c r="AL134" s="118" t="s">
        <v>380</v>
      </c>
      <c r="AM134" s="110">
        <v>712.32</v>
      </c>
    </row>
    <row r="135" spans="37:39">
      <c r="AK135" s="123">
        <v>61553000</v>
      </c>
      <c r="AL135" s="118" t="s">
        <v>212</v>
      </c>
      <c r="AM135" s="108">
        <v>14087.53</v>
      </c>
    </row>
    <row r="136" spans="37:39">
      <c r="AK136" s="123">
        <v>61554100</v>
      </c>
      <c r="AL136" s="118" t="s">
        <v>214</v>
      </c>
      <c r="AM136" s="108">
        <v>7296.08</v>
      </c>
    </row>
    <row r="137" spans="37:39">
      <c r="AK137" s="123">
        <v>61560000</v>
      </c>
      <c r="AL137" s="118" t="s">
        <v>216</v>
      </c>
      <c r="AM137" s="108">
        <v>12000.23</v>
      </c>
    </row>
    <row r="138" spans="37:39">
      <c r="AK138" s="123">
        <v>61600000</v>
      </c>
      <c r="AL138" s="118" t="s">
        <v>612</v>
      </c>
      <c r="AM138" s="110">
        <v>986.77</v>
      </c>
    </row>
    <row r="139" spans="37:39">
      <c r="AK139" s="123">
        <v>61600140</v>
      </c>
      <c r="AL139" s="118" t="s">
        <v>614</v>
      </c>
      <c r="AM139" s="110">
        <v>0</v>
      </c>
    </row>
    <row r="140" spans="37:39">
      <c r="AK140" s="123">
        <v>61600150</v>
      </c>
      <c r="AL140" s="118" t="s">
        <v>616</v>
      </c>
      <c r="AM140" s="110">
        <v>2.5</v>
      </c>
    </row>
    <row r="141" spans="37:39">
      <c r="AK141" s="123">
        <v>61610000</v>
      </c>
      <c r="AL141" s="118" t="s">
        <v>218</v>
      </c>
      <c r="AM141" s="108">
        <v>2547.86</v>
      </c>
    </row>
    <row r="142" spans="37:39">
      <c r="AK142" s="123">
        <v>61631000</v>
      </c>
      <c r="AL142" s="118" t="s">
        <v>220</v>
      </c>
      <c r="AM142" s="110">
        <v>292.12</v>
      </c>
    </row>
    <row r="143" spans="37:39">
      <c r="AK143" s="123">
        <v>61640000</v>
      </c>
      <c r="AL143" s="118" t="s">
        <v>222</v>
      </c>
      <c r="AM143" s="108">
        <v>22611.97</v>
      </c>
    </row>
    <row r="144" spans="37:39">
      <c r="AK144" s="123">
        <v>61660000</v>
      </c>
      <c r="AL144" s="118" t="s">
        <v>224</v>
      </c>
      <c r="AM144" s="110">
        <v>337.47</v>
      </c>
    </row>
    <row r="145" spans="37:39">
      <c r="AK145" s="123">
        <v>61662000</v>
      </c>
      <c r="AL145" s="118" t="s">
        <v>382</v>
      </c>
      <c r="AM145" s="110">
        <v>708.37</v>
      </c>
    </row>
    <row r="146" spans="37:39">
      <c r="AK146" s="123">
        <v>61670000</v>
      </c>
      <c r="AL146" s="118" t="s">
        <v>228</v>
      </c>
      <c r="AM146" s="108">
        <v>1897.6</v>
      </c>
    </row>
    <row r="147" spans="37:39">
      <c r="AK147" s="123">
        <v>61810000</v>
      </c>
      <c r="AL147" s="118" t="s">
        <v>230</v>
      </c>
      <c r="AM147" s="108">
        <v>16154.09</v>
      </c>
    </row>
    <row r="148" spans="37:39">
      <c r="AK148" s="123">
        <v>61830000</v>
      </c>
      <c r="AL148" s="118" t="s">
        <v>232</v>
      </c>
      <c r="AM148" s="110">
        <v>630.29</v>
      </c>
    </row>
    <row r="149" spans="37:39">
      <c r="AK149" s="123">
        <v>61850000</v>
      </c>
      <c r="AL149" s="118" t="s">
        <v>234</v>
      </c>
      <c r="AM149" s="108">
        <v>17621.87</v>
      </c>
    </row>
    <row r="150" spans="37:39">
      <c r="AK150" s="123">
        <v>62220000</v>
      </c>
      <c r="AL150" s="118" t="s">
        <v>720</v>
      </c>
      <c r="AM150" s="108">
        <v>8636.52</v>
      </c>
    </row>
    <row r="151" spans="37:39">
      <c r="AK151" s="123">
        <v>62261100</v>
      </c>
      <c r="AL151" s="118" t="s">
        <v>236</v>
      </c>
      <c r="AM151" s="108">
        <v>9462.9599999999991</v>
      </c>
    </row>
    <row r="152" spans="37:39">
      <c r="AK152" s="123">
        <v>62261200</v>
      </c>
      <c r="AL152" s="118" t="s">
        <v>238</v>
      </c>
      <c r="AM152" s="108">
        <v>-2747.66</v>
      </c>
    </row>
    <row r="153" spans="37:39">
      <c r="AK153" s="123">
        <v>62261300</v>
      </c>
      <c r="AL153" s="118" t="s">
        <v>386</v>
      </c>
      <c r="AM153" s="108">
        <v>38967.9</v>
      </c>
    </row>
    <row r="154" spans="37:39">
      <c r="AK154" s="123">
        <v>62262000</v>
      </c>
      <c r="AL154" s="118" t="s">
        <v>388</v>
      </c>
      <c r="AM154" s="108">
        <v>5000</v>
      </c>
    </row>
    <row r="155" spans="37:39">
      <c r="AK155" s="123">
        <v>62265000</v>
      </c>
      <c r="AL155" s="118" t="s">
        <v>240</v>
      </c>
      <c r="AM155" s="108">
        <v>86500</v>
      </c>
    </row>
    <row r="156" spans="37:39">
      <c r="AK156" s="123">
        <v>62268000</v>
      </c>
      <c r="AL156" s="118" t="s">
        <v>242</v>
      </c>
      <c r="AM156" s="108">
        <v>72043.34</v>
      </c>
    </row>
    <row r="157" spans="37:39">
      <c r="AK157" s="123">
        <v>62270000</v>
      </c>
      <c r="AL157" s="118" t="s">
        <v>244</v>
      </c>
      <c r="AM157" s="110">
        <v>43.09</v>
      </c>
    </row>
    <row r="158" spans="37:39">
      <c r="AK158" s="123">
        <v>62310000</v>
      </c>
      <c r="AL158" s="118" t="s">
        <v>390</v>
      </c>
      <c r="AM158" s="108">
        <v>3000</v>
      </c>
    </row>
    <row r="159" spans="37:39">
      <c r="AK159" s="123">
        <v>62320000</v>
      </c>
      <c r="AL159" s="118" t="s">
        <v>246</v>
      </c>
      <c r="AM159" s="108">
        <v>18904.25</v>
      </c>
    </row>
    <row r="160" spans="37:39">
      <c r="AK160" s="123">
        <v>62331000</v>
      </c>
      <c r="AL160" s="118" t="s">
        <v>392</v>
      </c>
      <c r="AM160" s="108">
        <v>17500.41</v>
      </c>
    </row>
    <row r="161" spans="37:39">
      <c r="AK161" s="123">
        <v>62380000</v>
      </c>
      <c r="AL161" s="118" t="s">
        <v>394</v>
      </c>
      <c r="AM161" s="110">
        <v>155.96</v>
      </c>
    </row>
    <row r="162" spans="37:39">
      <c r="AK162" s="123">
        <v>62381000</v>
      </c>
      <c r="AL162" s="118" t="s">
        <v>618</v>
      </c>
      <c r="AM162" s="108">
        <v>3000</v>
      </c>
    </row>
    <row r="163" spans="37:39">
      <c r="AK163" s="123">
        <v>62440000</v>
      </c>
      <c r="AL163" s="118" t="s">
        <v>398</v>
      </c>
      <c r="AM163" s="110">
        <v>499</v>
      </c>
    </row>
    <row r="164" spans="37:39">
      <c r="AK164" s="123">
        <v>62480000</v>
      </c>
      <c r="AL164" s="118" t="s">
        <v>400</v>
      </c>
      <c r="AM164" s="110">
        <v>15</v>
      </c>
    </row>
    <row r="165" spans="37:39">
      <c r="AK165" s="123">
        <v>62510000</v>
      </c>
      <c r="AL165" s="118" t="s">
        <v>620</v>
      </c>
      <c r="AM165" s="110">
        <v>487.1</v>
      </c>
    </row>
    <row r="166" spans="37:39">
      <c r="AK166" s="123">
        <v>62510001</v>
      </c>
      <c r="AL166" s="118" t="s">
        <v>250</v>
      </c>
      <c r="AM166" s="108">
        <v>39647.769999999997</v>
      </c>
    </row>
    <row r="167" spans="37:39">
      <c r="AK167" s="123">
        <v>62510003</v>
      </c>
      <c r="AL167" s="118" t="s">
        <v>402</v>
      </c>
      <c r="AM167" s="108">
        <v>2716.76</v>
      </c>
    </row>
    <row r="168" spans="37:39">
      <c r="AK168" s="123">
        <v>62510004</v>
      </c>
      <c r="AL168" s="118" t="s">
        <v>252</v>
      </c>
      <c r="AM168" s="108">
        <v>43886.44</v>
      </c>
    </row>
    <row r="169" spans="37:39">
      <c r="AK169" s="123">
        <v>62570000</v>
      </c>
      <c r="AL169" s="118" t="s">
        <v>254</v>
      </c>
      <c r="AM169" s="108">
        <v>15961.36</v>
      </c>
    </row>
    <row r="170" spans="37:39">
      <c r="AK170" s="123">
        <v>62570100</v>
      </c>
      <c r="AL170" s="118" t="s">
        <v>256</v>
      </c>
      <c r="AM170" s="108">
        <v>33132.39</v>
      </c>
    </row>
    <row r="171" spans="37:39">
      <c r="AK171" s="123">
        <v>62600000</v>
      </c>
      <c r="AL171" s="118" t="s">
        <v>258</v>
      </c>
      <c r="AM171" s="108">
        <v>1914.7</v>
      </c>
    </row>
    <row r="172" spans="37:39">
      <c r="AK172" s="123">
        <v>62620000</v>
      </c>
      <c r="AL172" s="118" t="s">
        <v>260</v>
      </c>
      <c r="AM172" s="110">
        <v>257.31</v>
      </c>
    </row>
    <row r="173" spans="37:39">
      <c r="AK173" s="123">
        <v>62621000</v>
      </c>
      <c r="AL173" s="118" t="s">
        <v>262</v>
      </c>
      <c r="AM173" s="108">
        <v>5417.52</v>
      </c>
    </row>
    <row r="174" spans="37:39">
      <c r="AK174" s="123">
        <v>62622000</v>
      </c>
      <c r="AL174" s="118" t="s">
        <v>264</v>
      </c>
      <c r="AM174" s="108">
        <v>16283.28</v>
      </c>
    </row>
    <row r="175" spans="37:39">
      <c r="AK175" s="123">
        <v>62622200</v>
      </c>
      <c r="AL175" s="118" t="s">
        <v>695</v>
      </c>
      <c r="AM175" s="110">
        <v>236.49</v>
      </c>
    </row>
    <row r="176" spans="37:39">
      <c r="AK176" s="123">
        <v>62623000</v>
      </c>
      <c r="AL176" s="118" t="s">
        <v>266</v>
      </c>
      <c r="AM176" s="108">
        <v>2040</v>
      </c>
    </row>
    <row r="177" spans="37:39">
      <c r="AK177" s="123">
        <v>62700000</v>
      </c>
      <c r="AL177" s="118" t="s">
        <v>622</v>
      </c>
      <c r="AM177" s="108">
        <v>1198.6400000000001</v>
      </c>
    </row>
    <row r="178" spans="37:39">
      <c r="AK178" s="123">
        <v>62781000</v>
      </c>
      <c r="AL178" s="118" t="s">
        <v>268</v>
      </c>
      <c r="AM178" s="108">
        <v>7186.19</v>
      </c>
    </row>
    <row r="179" spans="37:39">
      <c r="AK179" s="123">
        <v>62782000</v>
      </c>
      <c r="AL179" s="118" t="s">
        <v>270</v>
      </c>
      <c r="AM179" s="108">
        <v>4220.3100000000004</v>
      </c>
    </row>
    <row r="180" spans="37:39">
      <c r="AK180" s="123">
        <v>62784000</v>
      </c>
      <c r="AL180" s="118" t="s">
        <v>272</v>
      </c>
      <c r="AM180" s="108">
        <v>1385.87</v>
      </c>
    </row>
    <row r="181" spans="37:39">
      <c r="AK181" s="123">
        <v>62785100</v>
      </c>
      <c r="AL181" s="118" t="s">
        <v>624</v>
      </c>
      <c r="AM181" s="110">
        <v>198.96</v>
      </c>
    </row>
    <row r="182" spans="37:39">
      <c r="AK182" s="123">
        <v>62788800</v>
      </c>
      <c r="AL182" s="118" t="s">
        <v>662</v>
      </c>
      <c r="AM182" s="108">
        <v>1000.44</v>
      </c>
    </row>
    <row r="183" spans="37:39">
      <c r="AK183" s="123">
        <v>62788900</v>
      </c>
      <c r="AL183" s="118" t="s">
        <v>711</v>
      </c>
      <c r="AM183" s="110">
        <v>264.04000000000002</v>
      </c>
    </row>
    <row r="184" spans="37:39">
      <c r="AK184" s="123">
        <v>62789000</v>
      </c>
      <c r="AL184" s="118" t="s">
        <v>404</v>
      </c>
      <c r="AM184" s="108">
        <v>1006.4</v>
      </c>
    </row>
    <row r="185" spans="37:39">
      <c r="AK185" s="123">
        <v>62790000</v>
      </c>
      <c r="AL185" s="118" t="s">
        <v>697</v>
      </c>
      <c r="AM185" s="110">
        <v>602</v>
      </c>
    </row>
    <row r="186" spans="37:39">
      <c r="AK186" s="123">
        <v>63130000</v>
      </c>
      <c r="AL186" s="118" t="s">
        <v>274</v>
      </c>
      <c r="AM186" s="108">
        <v>27528.48</v>
      </c>
    </row>
    <row r="187" spans="37:39">
      <c r="AK187" s="123">
        <v>63330000</v>
      </c>
      <c r="AL187" s="118" t="s">
        <v>276</v>
      </c>
      <c r="AM187" s="108">
        <v>16542.53</v>
      </c>
    </row>
    <row r="188" spans="37:39">
      <c r="AK188" s="123">
        <v>63341000</v>
      </c>
      <c r="AL188" s="118" t="s">
        <v>278</v>
      </c>
      <c r="AM188" s="108">
        <v>7444.16</v>
      </c>
    </row>
    <row r="189" spans="37:39">
      <c r="AK189" s="123">
        <v>63350000</v>
      </c>
      <c r="AL189" s="118" t="s">
        <v>280</v>
      </c>
      <c r="AM189" s="108">
        <v>11248.8</v>
      </c>
    </row>
    <row r="190" spans="37:39">
      <c r="AK190" s="123">
        <v>63511100</v>
      </c>
      <c r="AL190" s="118" t="s">
        <v>282</v>
      </c>
      <c r="AM190" s="108">
        <v>1669</v>
      </c>
    </row>
    <row r="191" spans="37:39">
      <c r="AK191" s="123">
        <v>63511200</v>
      </c>
      <c r="AL191" s="118" t="s">
        <v>284</v>
      </c>
      <c r="AM191" s="108">
        <v>40002</v>
      </c>
    </row>
    <row r="192" spans="37:39">
      <c r="AK192" s="123">
        <v>63512000</v>
      </c>
      <c r="AL192" s="118" t="s">
        <v>408</v>
      </c>
      <c r="AM192" s="110">
        <v>0</v>
      </c>
    </row>
    <row r="193" spans="37:39">
      <c r="AK193" s="123">
        <v>63513000</v>
      </c>
      <c r="AL193" s="118" t="s">
        <v>286</v>
      </c>
      <c r="AM193" s="108">
        <v>7049.33</v>
      </c>
    </row>
    <row r="194" spans="37:39">
      <c r="AK194" s="123">
        <v>63516000</v>
      </c>
      <c r="AL194" s="118" t="s">
        <v>410</v>
      </c>
      <c r="AM194" s="108">
        <v>19999.990000000002</v>
      </c>
    </row>
    <row r="195" spans="37:39">
      <c r="AK195" s="123">
        <v>63540000</v>
      </c>
      <c r="AL195" s="118" t="s">
        <v>412</v>
      </c>
      <c r="AM195" s="110">
        <v>616.94000000000005</v>
      </c>
    </row>
    <row r="196" spans="37:39">
      <c r="AK196" s="123">
        <v>64100000</v>
      </c>
      <c r="AL196" s="118" t="s">
        <v>288</v>
      </c>
      <c r="AM196" s="108">
        <v>1664313.84</v>
      </c>
    </row>
    <row r="197" spans="37:39">
      <c r="AK197" s="123">
        <v>64120000</v>
      </c>
      <c r="AL197" s="118" t="s">
        <v>290</v>
      </c>
      <c r="AM197" s="108">
        <v>75583.91</v>
      </c>
    </row>
    <row r="198" spans="37:39">
      <c r="AK198" s="123">
        <v>64130000</v>
      </c>
      <c r="AL198" s="118" t="s">
        <v>292</v>
      </c>
      <c r="AM198" s="108">
        <v>12292.83</v>
      </c>
    </row>
    <row r="199" spans="37:39">
      <c r="AK199" s="123">
        <v>64134000</v>
      </c>
      <c r="AL199" s="118" t="s">
        <v>74</v>
      </c>
      <c r="AM199" s="108">
        <v>30000</v>
      </c>
    </row>
    <row r="200" spans="37:39">
      <c r="AK200" s="123">
        <v>64135000</v>
      </c>
      <c r="AL200" s="118" t="s">
        <v>626</v>
      </c>
      <c r="AM200" s="110">
        <v>0</v>
      </c>
    </row>
    <row r="201" spans="37:39">
      <c r="AK201" s="123">
        <v>64140000</v>
      </c>
      <c r="AL201" s="118" t="s">
        <v>294</v>
      </c>
      <c r="AM201" s="108">
        <v>15093.85</v>
      </c>
    </row>
    <row r="202" spans="37:39">
      <c r="AK202" s="123">
        <v>64140100</v>
      </c>
      <c r="AL202" s="118" t="s">
        <v>296</v>
      </c>
      <c r="AM202" s="108">
        <v>39676.5</v>
      </c>
    </row>
    <row r="203" spans="37:39">
      <c r="AK203" s="123">
        <v>64140300</v>
      </c>
      <c r="AL203" s="118" t="s">
        <v>417</v>
      </c>
      <c r="AM203" s="110">
        <v>0</v>
      </c>
    </row>
    <row r="204" spans="37:39">
      <c r="AK204" s="123">
        <v>64141200</v>
      </c>
      <c r="AL204" s="118" t="s">
        <v>419</v>
      </c>
      <c r="AM204" s="108">
        <v>1375</v>
      </c>
    </row>
    <row r="205" spans="37:39">
      <c r="AK205" s="123">
        <v>64144000</v>
      </c>
      <c r="AL205" s="118" t="s">
        <v>421</v>
      </c>
      <c r="AM205" s="108">
        <v>13482.74</v>
      </c>
    </row>
    <row r="206" spans="37:39">
      <c r="AK206" s="123">
        <v>64150000</v>
      </c>
      <c r="AL206" s="118" t="s">
        <v>298</v>
      </c>
      <c r="AM206" s="108">
        <v>16575.8</v>
      </c>
    </row>
    <row r="207" spans="37:39">
      <c r="AK207" s="123">
        <v>64170000</v>
      </c>
      <c r="AL207" s="118" t="s">
        <v>664</v>
      </c>
      <c r="AM207" s="108">
        <v>1004.52</v>
      </c>
    </row>
    <row r="208" spans="37:39">
      <c r="AK208" s="123">
        <v>64510000</v>
      </c>
      <c r="AL208" s="118" t="s">
        <v>300</v>
      </c>
      <c r="AM208" s="108">
        <v>557863.41</v>
      </c>
    </row>
    <row r="209" spans="37:39">
      <c r="AK209" s="123">
        <v>64512000</v>
      </c>
      <c r="AL209" s="118" t="s">
        <v>628</v>
      </c>
      <c r="AM209" s="110">
        <v>0</v>
      </c>
    </row>
    <row r="210" spans="37:39">
      <c r="AK210" s="123">
        <v>64530000</v>
      </c>
      <c r="AL210" s="118" t="s">
        <v>302</v>
      </c>
      <c r="AM210" s="108">
        <v>140776</v>
      </c>
    </row>
    <row r="211" spans="37:39">
      <c r="AK211" s="123">
        <v>64530200</v>
      </c>
      <c r="AL211" s="118" t="s">
        <v>306</v>
      </c>
      <c r="AM211" s="108">
        <v>50118.49</v>
      </c>
    </row>
    <row r="212" spans="37:39">
      <c r="AK212" s="123">
        <v>64580000</v>
      </c>
      <c r="AL212" s="118" t="s">
        <v>308</v>
      </c>
      <c r="AM212" s="108">
        <v>37791.949999999997</v>
      </c>
    </row>
    <row r="213" spans="37:39">
      <c r="AK213" s="123">
        <v>64581000</v>
      </c>
      <c r="AL213" s="118" t="s">
        <v>698</v>
      </c>
      <c r="AM213" s="108">
        <v>6146.4</v>
      </c>
    </row>
    <row r="214" spans="37:39">
      <c r="AK214" s="123">
        <v>64582000</v>
      </c>
      <c r="AL214" s="118" t="s">
        <v>423</v>
      </c>
      <c r="AM214" s="108">
        <v>15000</v>
      </c>
    </row>
    <row r="215" spans="37:39">
      <c r="AK215" s="123">
        <v>64584000</v>
      </c>
      <c r="AL215" s="118" t="s">
        <v>312</v>
      </c>
      <c r="AM215" s="108">
        <v>8287.9</v>
      </c>
    </row>
    <row r="216" spans="37:39">
      <c r="AK216" s="123">
        <v>64585000</v>
      </c>
      <c r="AL216" s="118" t="s">
        <v>630</v>
      </c>
      <c r="AM216" s="108">
        <v>9189.01</v>
      </c>
    </row>
    <row r="217" spans="37:39">
      <c r="AK217" s="123">
        <v>64586000</v>
      </c>
      <c r="AL217" s="118" t="s">
        <v>722</v>
      </c>
      <c r="AM217" s="108">
        <v>13987.09</v>
      </c>
    </row>
    <row r="218" spans="37:39">
      <c r="AK218" s="123">
        <v>64750000</v>
      </c>
      <c r="AL218" s="118" t="s">
        <v>314</v>
      </c>
      <c r="AM218" s="110">
        <v>179.17</v>
      </c>
    </row>
    <row r="219" spans="37:39">
      <c r="AK219" s="123">
        <v>64900000</v>
      </c>
      <c r="AL219" s="118" t="s">
        <v>126</v>
      </c>
      <c r="AM219" s="108">
        <v>-53102.74</v>
      </c>
    </row>
    <row r="220" spans="37:39">
      <c r="AK220" s="123">
        <v>65800000</v>
      </c>
      <c r="AL220" s="118" t="s">
        <v>426</v>
      </c>
      <c r="AM220" s="108">
        <v>1406.99</v>
      </c>
    </row>
    <row r="221" spans="37:39">
      <c r="AK221" s="123">
        <v>66110400</v>
      </c>
      <c r="AL221" s="118" t="s">
        <v>632</v>
      </c>
      <c r="AM221" s="110">
        <v>0</v>
      </c>
    </row>
    <row r="222" spans="37:39">
      <c r="AK222" s="123">
        <v>66110500</v>
      </c>
      <c r="AL222" s="118" t="s">
        <v>634</v>
      </c>
      <c r="AM222" s="110">
        <v>0.44</v>
      </c>
    </row>
    <row r="223" spans="37:39">
      <c r="AK223" s="123">
        <v>66115320</v>
      </c>
      <c r="AL223" s="118" t="s">
        <v>666</v>
      </c>
      <c r="AM223" s="110">
        <v>409.82</v>
      </c>
    </row>
    <row r="224" spans="37:39">
      <c r="AK224" s="123">
        <v>66140000</v>
      </c>
      <c r="AL224" s="118" t="s">
        <v>316</v>
      </c>
      <c r="AM224" s="110">
        <v>988.09</v>
      </c>
    </row>
    <row r="225" spans="25:39">
      <c r="AK225" s="123">
        <v>66141000</v>
      </c>
      <c r="AL225" s="118" t="s">
        <v>428</v>
      </c>
      <c r="AM225" s="110">
        <v>645.33000000000004</v>
      </c>
    </row>
    <row r="226" spans="25:39">
      <c r="AK226" s="123">
        <v>66150000</v>
      </c>
      <c r="AL226" s="118" t="s">
        <v>318</v>
      </c>
      <c r="AM226" s="110">
        <v>330.89</v>
      </c>
    </row>
    <row r="227" spans="25:39">
      <c r="AK227" s="123">
        <v>66152000</v>
      </c>
      <c r="AL227" s="118" t="s">
        <v>430</v>
      </c>
      <c r="AM227" s="108">
        <v>1032.96</v>
      </c>
    </row>
    <row r="228" spans="25:39">
      <c r="AK228" s="123">
        <v>66153000</v>
      </c>
      <c r="AL228" s="118" t="s">
        <v>668</v>
      </c>
      <c r="AM228" s="110">
        <v>605.21</v>
      </c>
    </row>
    <row r="229" spans="25:39">
      <c r="AK229" s="123">
        <v>66153100</v>
      </c>
      <c r="AL229" s="118" t="s">
        <v>670</v>
      </c>
      <c r="AM229" s="110">
        <v>291.16000000000003</v>
      </c>
    </row>
    <row r="230" spans="25:39">
      <c r="AK230" s="123">
        <v>66160000</v>
      </c>
      <c r="AL230" s="118" t="s">
        <v>320</v>
      </c>
      <c r="AM230" s="108">
        <v>4900.25</v>
      </c>
    </row>
    <row r="231" spans="25:39">
      <c r="AK231" s="123">
        <v>66161000</v>
      </c>
      <c r="AL231" s="118" t="s">
        <v>432</v>
      </c>
      <c r="AM231" s="108">
        <v>1520.06</v>
      </c>
    </row>
    <row r="232" spans="25:39">
      <c r="AK232" s="123">
        <v>66163000</v>
      </c>
      <c r="AL232" s="118" t="s">
        <v>322</v>
      </c>
      <c r="AM232" s="108">
        <v>2863.65</v>
      </c>
    </row>
    <row r="233" spans="25:39">
      <c r="AK233" s="123">
        <v>66800000</v>
      </c>
      <c r="AL233" s="118" t="s">
        <v>672</v>
      </c>
      <c r="AM233" s="108">
        <v>1500</v>
      </c>
    </row>
    <row r="234" spans="25:39">
      <c r="AK234" s="123">
        <v>67120000</v>
      </c>
      <c r="AL234" s="118" t="s">
        <v>324</v>
      </c>
      <c r="AM234" s="110">
        <v>399.99</v>
      </c>
    </row>
    <row r="235" spans="25:39">
      <c r="AK235" s="123">
        <v>67500000</v>
      </c>
      <c r="AL235" s="118" t="s">
        <v>699</v>
      </c>
      <c r="AM235" s="110">
        <v>603.61</v>
      </c>
    </row>
    <row r="236" spans="25:39">
      <c r="AK236" s="123">
        <v>68111000</v>
      </c>
      <c r="AL236" s="118" t="s">
        <v>439</v>
      </c>
      <c r="AM236" s="108">
        <v>10160.799999999999</v>
      </c>
    </row>
    <row r="237" spans="25:39">
      <c r="Y237" s="117" t="s">
        <v>637</v>
      </c>
      <c r="AK237" s="123">
        <v>68112000</v>
      </c>
      <c r="AL237" s="118" t="s">
        <v>441</v>
      </c>
      <c r="AM237" s="108">
        <v>57559.199999999997</v>
      </c>
    </row>
    <row r="238" spans="25:39">
      <c r="AK238" s="123">
        <v>68150000</v>
      </c>
      <c r="AL238" s="118" t="s">
        <v>443</v>
      </c>
      <c r="AM238" s="110">
        <v>0</v>
      </c>
    </row>
    <row r="239" spans="25:39">
      <c r="AK239" s="123">
        <v>69100000</v>
      </c>
      <c r="AL239" s="118" t="s">
        <v>636</v>
      </c>
      <c r="AM239" s="108">
        <v>49867.11</v>
      </c>
    </row>
    <row r="240" spans="25:39">
      <c r="AK240" s="123">
        <v>69550000</v>
      </c>
      <c r="AL240" s="118" t="s">
        <v>449</v>
      </c>
      <c r="AM240" s="108">
        <v>56275.92</v>
      </c>
    </row>
    <row r="241" spans="37:39">
      <c r="AK241" s="123">
        <v>69950000</v>
      </c>
      <c r="AL241" s="118" t="s">
        <v>451</v>
      </c>
      <c r="AM241" s="108">
        <v>-102000</v>
      </c>
    </row>
    <row r="242" spans="37:39">
      <c r="AK242" s="123">
        <v>69990000</v>
      </c>
      <c r="AL242" s="118" t="s">
        <v>453</v>
      </c>
      <c r="AM242" s="110">
        <v>0</v>
      </c>
    </row>
    <row r="243" spans="37:39">
      <c r="AK243" s="123">
        <v>70600000</v>
      </c>
      <c r="AL243" s="118" t="s">
        <v>326</v>
      </c>
      <c r="AM243" s="108">
        <v>-3398237.95</v>
      </c>
    </row>
    <row r="244" spans="37:39">
      <c r="AK244" s="123">
        <v>70615000</v>
      </c>
      <c r="AL244" s="118" t="s">
        <v>674</v>
      </c>
      <c r="AM244" s="108">
        <v>-621972.34</v>
      </c>
    </row>
    <row r="245" spans="37:39">
      <c r="AK245" s="123">
        <v>70630000</v>
      </c>
      <c r="AL245" s="118" t="s">
        <v>370</v>
      </c>
      <c r="AM245" s="110">
        <v>-648.33000000000004</v>
      </c>
    </row>
    <row r="246" spans="37:39">
      <c r="AK246" s="123">
        <v>70690020</v>
      </c>
      <c r="AL246" s="118" t="s">
        <v>328</v>
      </c>
      <c r="AM246" s="108">
        <v>-77420.3</v>
      </c>
    </row>
    <row r="247" spans="37:39">
      <c r="AK247" s="123">
        <v>70810002</v>
      </c>
      <c r="AL247" s="118" t="s">
        <v>638</v>
      </c>
      <c r="AM247" s="108">
        <v>-4000</v>
      </c>
    </row>
    <row r="248" spans="37:39">
      <c r="AK248" s="123">
        <v>70811000</v>
      </c>
      <c r="AL248" s="118" t="s">
        <v>640</v>
      </c>
      <c r="AM248" s="110">
        <v>-400</v>
      </c>
    </row>
    <row r="249" spans="37:39">
      <c r="AK249" s="123">
        <v>70812000</v>
      </c>
      <c r="AL249" s="118" t="s">
        <v>642</v>
      </c>
      <c r="AM249" s="110">
        <v>0</v>
      </c>
    </row>
    <row r="250" spans="37:39">
      <c r="AK250" s="123">
        <v>70812100</v>
      </c>
      <c r="AL250" s="118" t="s">
        <v>713</v>
      </c>
      <c r="AM250" s="110">
        <v>-200</v>
      </c>
    </row>
    <row r="251" spans="37:39">
      <c r="AK251" s="123">
        <v>70814000</v>
      </c>
      <c r="AL251" s="118" t="s">
        <v>644</v>
      </c>
      <c r="AM251" s="110">
        <v>-35323.339999999997</v>
      </c>
    </row>
    <row r="252" spans="37:39">
      <c r="AK252" s="123">
        <v>70865000</v>
      </c>
      <c r="AL252" s="118" t="s">
        <v>332</v>
      </c>
      <c r="AM252" s="110">
        <v>-20460</v>
      </c>
    </row>
    <row r="253" spans="37:39">
      <c r="AK253" s="123">
        <v>70868000</v>
      </c>
      <c r="AL253" s="118" t="s">
        <v>336</v>
      </c>
      <c r="AM253" s="110">
        <v>0</v>
      </c>
    </row>
    <row r="254" spans="37:39">
      <c r="AK254" s="123">
        <v>70878000</v>
      </c>
      <c r="AL254" s="118" t="s">
        <v>338</v>
      </c>
      <c r="AM254" s="110">
        <v>-7500</v>
      </c>
    </row>
    <row r="255" spans="37:39">
      <c r="AK255" s="123">
        <v>74020000</v>
      </c>
      <c r="AL255" s="118" t="s">
        <v>340</v>
      </c>
      <c r="AM255" s="110">
        <v>-18375</v>
      </c>
    </row>
    <row r="256" spans="37:39">
      <c r="AK256" s="123">
        <v>75800000</v>
      </c>
      <c r="AL256" s="118" t="s">
        <v>458</v>
      </c>
      <c r="AM256" s="110">
        <v>-1050.17</v>
      </c>
    </row>
    <row r="257" spans="37:39">
      <c r="AK257" s="123">
        <v>76300000</v>
      </c>
      <c r="AL257" s="118" t="s">
        <v>460</v>
      </c>
      <c r="AM257" s="110">
        <v>-806.68</v>
      </c>
    </row>
    <row r="258" spans="37:39">
      <c r="AK258" s="123">
        <v>76600000</v>
      </c>
      <c r="AL258" s="118" t="s">
        <v>715</v>
      </c>
      <c r="AM258" s="110">
        <v>-37342.129999999997</v>
      </c>
    </row>
    <row r="259" spans="37:39">
      <c r="AK259" s="123">
        <v>76800000</v>
      </c>
      <c r="AL259" s="118" t="s">
        <v>717</v>
      </c>
      <c r="AM259" s="110">
        <v>-379.37</v>
      </c>
    </row>
    <row r="260" spans="37:39">
      <c r="AK260" s="123">
        <v>77180000</v>
      </c>
      <c r="AL260" s="118" t="s">
        <v>462</v>
      </c>
      <c r="AM260" s="110">
        <v>0</v>
      </c>
    </row>
    <row r="261" spans="37:39">
      <c r="AK261" s="123">
        <v>77200000</v>
      </c>
      <c r="AL261" s="118" t="s">
        <v>464</v>
      </c>
      <c r="AM261" s="110">
        <v>0</v>
      </c>
    </row>
    <row r="262" spans="37:39">
      <c r="AK262" s="123">
        <v>78100000</v>
      </c>
      <c r="AL262" s="118" t="s">
        <v>700</v>
      </c>
      <c r="AM262" s="110">
        <v>0</v>
      </c>
    </row>
    <row r="263" spans="37:39">
      <c r="AK263" s="123">
        <v>78150000</v>
      </c>
      <c r="AL263" s="118" t="s">
        <v>649</v>
      </c>
      <c r="AM263" s="110">
        <v>0</v>
      </c>
    </row>
    <row r="264" spans="37:39">
      <c r="AK264" s="123">
        <v>78600000</v>
      </c>
      <c r="AL264" s="118" t="s">
        <v>702</v>
      </c>
      <c r="AM264" s="110">
        <v>0</v>
      </c>
    </row>
    <row r="265" spans="37:39">
      <c r="AK265" s="123">
        <v>78725000</v>
      </c>
      <c r="AL265" s="118" t="s">
        <v>724</v>
      </c>
      <c r="AM265" s="110">
        <v>-49.4</v>
      </c>
    </row>
    <row r="266" spans="37:39" ht="15.75" thickBot="1">
      <c r="AK266" s="124">
        <v>79100000</v>
      </c>
      <c r="AL266" s="125" t="s">
        <v>676</v>
      </c>
      <c r="AM266" s="111">
        <v>-1004.52</v>
      </c>
    </row>
  </sheetData>
  <sheetProtection algorithmName="SHA-512" hashValue="aYbybc9NxxhY8go8zL/PbkMKfE14xr4UjsAL/AMxkV2/mh0ZEL6vEu5agbOnx5BCZCVRJnUIYc8kgfUy/psGcw==" saltValue="oJkoBbE7tn/+LltaM13s4Q==" spinCount="100000" sheet="1" objects="1" scenarios="1"/>
  <mergeCells count="1">
    <mergeCell ref="J13:L1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AN366"/>
  <sheetViews>
    <sheetView showGridLines="0" topLeftCell="AC268" workbookViewId="0">
      <selection activeCell="AN297" activeCellId="2" sqref="AN272 AN275:AN295 AN297:AN298"/>
    </sheetView>
  </sheetViews>
  <sheetFormatPr defaultColWidth="11.42578125" defaultRowHeight="15"/>
  <cols>
    <col min="1" max="2" width="11.42578125" style="7"/>
    <col min="3" max="3" width="35.42578125" style="7" customWidth="1"/>
    <col min="4" max="4" width="14" style="7" customWidth="1"/>
    <col min="5" max="5" width="11.42578125" style="7"/>
    <col min="6" max="6" width="19.42578125" style="7" bestFit="1" customWidth="1"/>
    <col min="7" max="8" width="11.42578125" style="7"/>
    <col min="9" max="9" width="9" style="7" bestFit="1" customWidth="1"/>
    <col min="10" max="10" width="34" style="7" bestFit="1" customWidth="1"/>
    <col min="11" max="11" width="12.42578125" style="7" bestFit="1" customWidth="1"/>
    <col min="12" max="12" width="33.42578125" style="7" bestFit="1" customWidth="1"/>
    <col min="13" max="13" width="11.42578125" style="7"/>
    <col min="14" max="14" width="9" style="7" bestFit="1" customWidth="1"/>
    <col min="15" max="15" width="33.42578125" style="7" bestFit="1" customWidth="1"/>
    <col min="16" max="16" width="18.42578125" style="7" bestFit="1" customWidth="1"/>
    <col min="17" max="18" width="11.42578125" style="7"/>
    <col min="19" max="19" width="9" style="7" bestFit="1" customWidth="1"/>
    <col min="20" max="20" width="33.42578125" style="7" bestFit="1" customWidth="1"/>
    <col min="21" max="21" width="14.42578125" style="7" bestFit="1" customWidth="1"/>
    <col min="22" max="25" width="11.42578125" style="7"/>
    <col min="26" max="26" width="33.42578125" style="7" bestFit="1" customWidth="1"/>
    <col min="27" max="27" width="14.42578125" style="7" bestFit="1" customWidth="1"/>
    <col min="28" max="30" width="11.42578125" style="7"/>
    <col min="31" max="31" width="9" style="7" bestFit="1" customWidth="1"/>
    <col min="32" max="32" width="33.42578125" style="7" bestFit="1" customWidth="1"/>
    <col min="33" max="33" width="14.42578125" style="7" bestFit="1" customWidth="1"/>
    <col min="34" max="37" width="11.42578125" style="7"/>
    <col min="38" max="38" width="33.42578125" style="7" bestFit="1" customWidth="1"/>
    <col min="39" max="39" width="14.42578125" style="7" bestFit="1" customWidth="1"/>
    <col min="40" max="16384" width="11.42578125" style="7"/>
  </cols>
  <sheetData>
    <row r="1" spans="2:39">
      <c r="B1" s="6"/>
    </row>
    <row r="2" spans="2:39">
      <c r="C2" s="7" t="s">
        <v>650</v>
      </c>
      <c r="J2" s="7" t="s">
        <v>651</v>
      </c>
      <c r="O2" s="7" t="s">
        <v>677</v>
      </c>
      <c r="T2" s="7" t="s">
        <v>725</v>
      </c>
      <c r="Z2" s="7" t="s">
        <v>726</v>
      </c>
      <c r="AF2" s="7" t="s">
        <v>727</v>
      </c>
    </row>
    <row r="3" spans="2:39" ht="15.75" thickBot="1"/>
    <row r="4" spans="2:39" ht="15.75" thickBot="1">
      <c r="B4" s="8" t="s">
        <v>10</v>
      </c>
      <c r="C4" s="9" t="s">
        <v>11</v>
      </c>
      <c r="D4" s="10" t="s">
        <v>12</v>
      </c>
      <c r="I4" s="104" t="s">
        <v>10</v>
      </c>
      <c r="J4" s="105" t="s">
        <v>11</v>
      </c>
      <c r="K4" s="106" t="s">
        <v>12</v>
      </c>
      <c r="N4" s="104" t="s">
        <v>10</v>
      </c>
      <c r="O4" s="105" t="s">
        <v>11</v>
      </c>
      <c r="P4" s="106" t="s">
        <v>12</v>
      </c>
      <c r="S4" s="104" t="s">
        <v>10</v>
      </c>
      <c r="T4" s="105" t="s">
        <v>11</v>
      </c>
      <c r="U4" s="106" t="s">
        <v>12</v>
      </c>
      <c r="Y4" s="104" t="s">
        <v>10</v>
      </c>
      <c r="Z4" s="105" t="s">
        <v>11</v>
      </c>
      <c r="AA4" s="106" t="s">
        <v>12</v>
      </c>
      <c r="AE4" s="104" t="s">
        <v>10</v>
      </c>
      <c r="AF4" s="105" t="s">
        <v>11</v>
      </c>
      <c r="AG4" s="106" t="s">
        <v>12</v>
      </c>
      <c r="AK4" s="131" t="s">
        <v>10</v>
      </c>
      <c r="AL4" s="132" t="s">
        <v>11</v>
      </c>
      <c r="AM4" s="133" t="s">
        <v>728</v>
      </c>
    </row>
    <row r="5" spans="2:39">
      <c r="B5" s="17" t="s">
        <v>13</v>
      </c>
      <c r="C5" s="18" t="s">
        <v>14</v>
      </c>
      <c r="D5" s="19">
        <v>-78000</v>
      </c>
      <c r="I5" s="102" t="s">
        <v>13</v>
      </c>
      <c r="J5" s="103" t="s">
        <v>14</v>
      </c>
      <c r="K5" s="107">
        <v>-78000</v>
      </c>
      <c r="N5" s="102" t="s">
        <v>13</v>
      </c>
      <c r="O5" s="103" t="s">
        <v>14</v>
      </c>
      <c r="P5" s="112">
        <v>-78000</v>
      </c>
      <c r="S5" s="102" t="s">
        <v>13</v>
      </c>
      <c r="T5" s="103" t="s">
        <v>14</v>
      </c>
      <c r="U5" s="107">
        <v>0</v>
      </c>
      <c r="Y5" s="102" t="s">
        <v>13</v>
      </c>
      <c r="Z5" s="103" t="s">
        <v>14</v>
      </c>
      <c r="AA5" s="107">
        <v>0</v>
      </c>
      <c r="AE5" s="102" t="s">
        <v>13</v>
      </c>
      <c r="AF5" s="103" t="s">
        <v>14</v>
      </c>
      <c r="AG5" s="107">
        <v>-5148</v>
      </c>
      <c r="AK5" s="119" t="s">
        <v>13</v>
      </c>
      <c r="AL5" s="120" t="s">
        <v>14</v>
      </c>
      <c r="AM5" s="134">
        <v>-83148</v>
      </c>
    </row>
    <row r="6" spans="2:39">
      <c r="B6" s="11" t="s">
        <v>16</v>
      </c>
      <c r="C6" s="12" t="s">
        <v>17</v>
      </c>
      <c r="D6" s="20">
        <v>-7800</v>
      </c>
      <c r="I6" s="99" t="s">
        <v>16</v>
      </c>
      <c r="J6" s="98" t="s">
        <v>17</v>
      </c>
      <c r="K6" s="108">
        <v>-7800</v>
      </c>
      <c r="N6" s="99" t="s">
        <v>16</v>
      </c>
      <c r="O6" s="98" t="s">
        <v>17</v>
      </c>
      <c r="P6" s="110">
        <v>-7800</v>
      </c>
      <c r="S6" s="99" t="s">
        <v>16</v>
      </c>
      <c r="T6" s="98" t="s">
        <v>17</v>
      </c>
      <c r="U6" s="108">
        <v>0</v>
      </c>
      <c r="Y6" s="99" t="s">
        <v>16</v>
      </c>
      <c r="Z6" s="98" t="s">
        <v>17</v>
      </c>
      <c r="AA6" s="108">
        <v>0</v>
      </c>
      <c r="AE6" s="99" t="s">
        <v>16</v>
      </c>
      <c r="AF6" s="98" t="s">
        <v>17</v>
      </c>
      <c r="AG6" s="108">
        <v>-514.79999999999995</v>
      </c>
      <c r="AK6" s="99" t="s">
        <v>16</v>
      </c>
      <c r="AL6" s="98" t="s">
        <v>17</v>
      </c>
      <c r="AM6" s="108">
        <v>-8314.7999999999993</v>
      </c>
    </row>
    <row r="7" spans="2:39">
      <c r="B7" s="11" t="s">
        <v>18</v>
      </c>
      <c r="C7" s="12" t="s">
        <v>19</v>
      </c>
      <c r="D7" s="20">
        <v>-425544.39</v>
      </c>
      <c r="I7" s="99" t="s">
        <v>18</v>
      </c>
      <c r="J7" s="98" t="s">
        <v>19</v>
      </c>
      <c r="K7" s="108">
        <v>-570284.73</v>
      </c>
      <c r="N7" s="99" t="s">
        <v>18</v>
      </c>
      <c r="O7" s="98" t="s">
        <v>19</v>
      </c>
      <c r="P7" s="110">
        <v>-425544.39</v>
      </c>
      <c r="S7" s="99" t="s">
        <v>18</v>
      </c>
      <c r="T7" s="98" t="s">
        <v>19</v>
      </c>
      <c r="U7" s="108">
        <v>0</v>
      </c>
      <c r="Y7" s="99" t="s">
        <v>18</v>
      </c>
      <c r="Z7" s="98" t="s">
        <v>19</v>
      </c>
      <c r="AA7" s="108">
        <v>0</v>
      </c>
      <c r="AE7" s="99" t="s">
        <v>18</v>
      </c>
      <c r="AF7" s="98" t="s">
        <v>19</v>
      </c>
      <c r="AG7" s="108">
        <v>5662.8</v>
      </c>
      <c r="AK7" s="99" t="s">
        <v>18</v>
      </c>
      <c r="AL7" s="98" t="s">
        <v>19</v>
      </c>
      <c r="AM7" s="108">
        <v>-419881.59</v>
      </c>
    </row>
    <row r="8" spans="2:39">
      <c r="B8" s="11" t="s">
        <v>20</v>
      </c>
      <c r="C8" s="12" t="s">
        <v>21</v>
      </c>
      <c r="D8" s="20">
        <v>-144740.34</v>
      </c>
      <c r="I8" s="99" t="s">
        <v>580</v>
      </c>
      <c r="J8" s="98" t="s">
        <v>581</v>
      </c>
      <c r="K8" s="108">
        <v>0</v>
      </c>
      <c r="N8" s="99" t="s">
        <v>580</v>
      </c>
      <c r="O8" s="98" t="s">
        <v>581</v>
      </c>
      <c r="P8" s="110">
        <v>-63976.67</v>
      </c>
      <c r="S8" s="99" t="s">
        <v>580</v>
      </c>
      <c r="T8" s="98" t="s">
        <v>581</v>
      </c>
      <c r="U8" s="108">
        <v>0</v>
      </c>
      <c r="Y8" s="99" t="s">
        <v>580</v>
      </c>
      <c r="Z8" s="98" t="s">
        <v>581</v>
      </c>
      <c r="AA8" s="108">
        <v>0</v>
      </c>
      <c r="AE8" s="99" t="s">
        <v>580</v>
      </c>
      <c r="AF8" s="98" t="s">
        <v>581</v>
      </c>
      <c r="AG8" s="108">
        <v>0</v>
      </c>
      <c r="AK8" s="99" t="s">
        <v>580</v>
      </c>
      <c r="AL8" s="98" t="s">
        <v>581</v>
      </c>
      <c r="AM8" s="108">
        <v>-63976.67</v>
      </c>
    </row>
    <row r="9" spans="2:39">
      <c r="B9" s="11" t="s">
        <v>22</v>
      </c>
      <c r="C9" s="12" t="s">
        <v>23</v>
      </c>
      <c r="D9" s="20">
        <v>-39000</v>
      </c>
      <c r="I9" s="99" t="s">
        <v>582</v>
      </c>
      <c r="J9" s="98" t="s">
        <v>583</v>
      </c>
      <c r="K9" s="108">
        <v>130133.36</v>
      </c>
      <c r="N9" s="99" t="s">
        <v>582</v>
      </c>
      <c r="O9" s="98" t="s">
        <v>583</v>
      </c>
      <c r="P9" s="110">
        <v>130132.36</v>
      </c>
      <c r="S9" s="99" t="s">
        <v>582</v>
      </c>
      <c r="T9" s="98" t="s">
        <v>583</v>
      </c>
      <c r="U9" s="108">
        <v>0</v>
      </c>
      <c r="Y9" s="99" t="s">
        <v>582</v>
      </c>
      <c r="Z9" s="98" t="s">
        <v>583</v>
      </c>
      <c r="AA9" s="108">
        <v>0</v>
      </c>
      <c r="AE9" s="99" t="s">
        <v>582</v>
      </c>
      <c r="AF9" s="98" t="s">
        <v>583</v>
      </c>
      <c r="AG9" s="108">
        <v>0</v>
      </c>
      <c r="AK9" s="99" t="s">
        <v>582</v>
      </c>
      <c r="AL9" s="98" t="s">
        <v>583</v>
      </c>
      <c r="AM9" s="108">
        <v>130132.36</v>
      </c>
    </row>
    <row r="10" spans="2:39">
      <c r="B10" s="11" t="s">
        <v>343</v>
      </c>
      <c r="C10" s="12" t="s">
        <v>344</v>
      </c>
      <c r="D10" s="21">
        <v>-76770</v>
      </c>
      <c r="I10" s="99" t="s">
        <v>20</v>
      </c>
      <c r="J10" s="98" t="s">
        <v>21</v>
      </c>
      <c r="K10" s="108">
        <v>0</v>
      </c>
      <c r="N10" s="99" t="s">
        <v>20</v>
      </c>
      <c r="O10" s="98" t="s">
        <v>21</v>
      </c>
      <c r="P10" s="110">
        <v>-603268.56000000006</v>
      </c>
      <c r="S10" s="99" t="s">
        <v>20</v>
      </c>
      <c r="T10" s="98" t="s">
        <v>21</v>
      </c>
      <c r="U10" s="108">
        <v>0</v>
      </c>
      <c r="Y10" s="99" t="s">
        <v>20</v>
      </c>
      <c r="Z10" s="98" t="s">
        <v>21</v>
      </c>
      <c r="AA10" s="108">
        <v>0</v>
      </c>
      <c r="AE10" s="99" t="s">
        <v>20</v>
      </c>
      <c r="AF10" s="98" t="s">
        <v>21</v>
      </c>
      <c r="AG10" s="108">
        <v>0</v>
      </c>
      <c r="AK10" s="99" t="s">
        <v>20</v>
      </c>
      <c r="AL10" s="98" t="s">
        <v>21</v>
      </c>
      <c r="AM10" s="108">
        <v>-603268.56000000006</v>
      </c>
    </row>
    <row r="11" spans="2:39">
      <c r="B11" s="11" t="s">
        <v>24</v>
      </c>
      <c r="C11" s="12" t="s">
        <v>25</v>
      </c>
      <c r="D11" s="20">
        <v>-95139.48</v>
      </c>
      <c r="I11" s="99" t="s">
        <v>22</v>
      </c>
      <c r="J11" s="98" t="s">
        <v>23</v>
      </c>
      <c r="K11" s="108">
        <v>-8000</v>
      </c>
      <c r="N11" s="99" t="s">
        <v>22</v>
      </c>
      <c r="O11" s="98" t="s">
        <v>23</v>
      </c>
      <c r="P11" s="110">
        <v>-8000</v>
      </c>
      <c r="S11" s="99" t="s">
        <v>22</v>
      </c>
      <c r="T11" s="98" t="s">
        <v>23</v>
      </c>
      <c r="U11" s="108">
        <v>0</v>
      </c>
      <c r="Y11" s="99" t="s">
        <v>22</v>
      </c>
      <c r="Z11" s="98" t="s">
        <v>23</v>
      </c>
      <c r="AA11" s="108">
        <v>0</v>
      </c>
      <c r="AE11" s="99" t="s">
        <v>718</v>
      </c>
      <c r="AF11" s="98" t="s">
        <v>15</v>
      </c>
      <c r="AG11" s="108">
        <v>49.4</v>
      </c>
      <c r="AK11" s="99" t="s">
        <v>718</v>
      </c>
      <c r="AL11" s="98"/>
      <c r="AM11" s="108">
        <v>49.4</v>
      </c>
    </row>
    <row r="12" spans="2:39">
      <c r="B12" s="11" t="s">
        <v>345</v>
      </c>
      <c r="C12" s="12" t="s">
        <v>346</v>
      </c>
      <c r="D12" s="21">
        <v>-120000</v>
      </c>
      <c r="I12" s="99" t="s">
        <v>343</v>
      </c>
      <c r="J12" s="98" t="s">
        <v>344</v>
      </c>
      <c r="K12" s="108">
        <v>-150000</v>
      </c>
      <c r="N12" s="99" t="s">
        <v>343</v>
      </c>
      <c r="O12" s="98" t="s">
        <v>344</v>
      </c>
      <c r="P12" s="110">
        <v>-150000</v>
      </c>
      <c r="S12" s="99" t="s">
        <v>343</v>
      </c>
      <c r="T12" s="98" t="s">
        <v>344</v>
      </c>
      <c r="U12" s="108">
        <v>0</v>
      </c>
      <c r="Y12" s="99" t="s">
        <v>343</v>
      </c>
      <c r="Z12" s="98" t="s">
        <v>344</v>
      </c>
      <c r="AA12" s="108">
        <v>0</v>
      </c>
      <c r="AE12" s="99" t="s">
        <v>22</v>
      </c>
      <c r="AF12" s="98" t="s">
        <v>23</v>
      </c>
      <c r="AG12" s="108">
        <v>0</v>
      </c>
      <c r="AK12" s="99" t="s">
        <v>22</v>
      </c>
      <c r="AL12" s="98" t="s">
        <v>23</v>
      </c>
      <c r="AM12" s="108">
        <v>-8000</v>
      </c>
    </row>
    <row r="13" spans="2:39">
      <c r="B13" s="11" t="s">
        <v>26</v>
      </c>
      <c r="C13" s="12" t="s">
        <v>27</v>
      </c>
      <c r="D13" s="20">
        <v>-141900</v>
      </c>
      <c r="I13" s="99" t="s">
        <v>584</v>
      </c>
      <c r="J13" s="98" t="s">
        <v>585</v>
      </c>
      <c r="K13" s="108">
        <v>-219.8</v>
      </c>
      <c r="N13" s="99" t="s">
        <v>584</v>
      </c>
      <c r="O13" s="98" t="s">
        <v>585</v>
      </c>
      <c r="P13" s="110">
        <v>0</v>
      </c>
      <c r="S13" s="99" t="s">
        <v>584</v>
      </c>
      <c r="T13" s="98" t="s">
        <v>585</v>
      </c>
      <c r="U13" s="108">
        <v>0</v>
      </c>
      <c r="Y13" s="99" t="s">
        <v>584</v>
      </c>
      <c r="Z13" s="98" t="s">
        <v>585</v>
      </c>
      <c r="AA13" s="108">
        <v>0</v>
      </c>
      <c r="AE13" s="99" t="s">
        <v>343</v>
      </c>
      <c r="AF13" s="98" t="s">
        <v>344</v>
      </c>
      <c r="AG13" s="108">
        <v>0</v>
      </c>
      <c r="AK13" s="99" t="s">
        <v>343</v>
      </c>
      <c r="AL13" s="98" t="s">
        <v>344</v>
      </c>
      <c r="AM13" s="108">
        <v>-150000</v>
      </c>
    </row>
    <row r="14" spans="2:39">
      <c r="B14" s="11" t="s">
        <v>28</v>
      </c>
      <c r="C14" s="12" t="s">
        <v>29</v>
      </c>
      <c r="D14" s="21">
        <v>-75566.179999999993</v>
      </c>
      <c r="I14" s="99" t="s">
        <v>24</v>
      </c>
      <c r="J14" s="98" t="s">
        <v>25</v>
      </c>
      <c r="K14" s="108">
        <v>-85272.76</v>
      </c>
      <c r="N14" s="99" t="s">
        <v>24</v>
      </c>
      <c r="O14" s="98" t="s">
        <v>25</v>
      </c>
      <c r="P14" s="110">
        <v>-77807.78</v>
      </c>
      <c r="S14" s="99" t="s">
        <v>24</v>
      </c>
      <c r="T14" s="98" t="s">
        <v>25</v>
      </c>
      <c r="U14" s="108">
        <v>2500.7800000000002</v>
      </c>
      <c r="Y14" s="99" t="s">
        <v>24</v>
      </c>
      <c r="Z14" s="98" t="s">
        <v>25</v>
      </c>
      <c r="AA14" s="108">
        <v>2507.0300000000002</v>
      </c>
      <c r="AE14" s="99" t="s">
        <v>584</v>
      </c>
      <c r="AF14" s="98" t="s">
        <v>585</v>
      </c>
      <c r="AG14" s="108">
        <v>0</v>
      </c>
      <c r="AK14" s="99" t="s">
        <v>584</v>
      </c>
      <c r="AL14" s="98" t="s">
        <v>585</v>
      </c>
      <c r="AM14" s="108">
        <v>0</v>
      </c>
    </row>
    <row r="15" spans="2:39">
      <c r="B15" s="11" t="s">
        <v>347</v>
      </c>
      <c r="C15" s="12" t="s">
        <v>348</v>
      </c>
      <c r="D15" s="21">
        <v>-164221.53</v>
      </c>
      <c r="I15" s="99" t="s">
        <v>345</v>
      </c>
      <c r="J15" s="98" t="s">
        <v>346</v>
      </c>
      <c r="K15" s="108">
        <v>-112358.56</v>
      </c>
      <c r="N15" s="99" t="s">
        <v>345</v>
      </c>
      <c r="O15" s="98" t="s">
        <v>346</v>
      </c>
      <c r="P15" s="110">
        <v>-106594.82</v>
      </c>
      <c r="S15" s="99" t="s">
        <v>345</v>
      </c>
      <c r="T15" s="98" t="s">
        <v>346</v>
      </c>
      <c r="U15" s="108">
        <v>1927.49</v>
      </c>
      <c r="Y15" s="99" t="s">
        <v>345</v>
      </c>
      <c r="Z15" s="98" t="s">
        <v>346</v>
      </c>
      <c r="AA15" s="108">
        <v>1930.62</v>
      </c>
      <c r="AE15" s="99" t="s">
        <v>24</v>
      </c>
      <c r="AF15" s="98" t="s">
        <v>25</v>
      </c>
      <c r="AG15" s="108">
        <v>2513.3000000000002</v>
      </c>
      <c r="AK15" s="99" t="s">
        <v>24</v>
      </c>
      <c r="AL15" s="98" t="s">
        <v>25</v>
      </c>
      <c r="AM15" s="108">
        <v>-70286.67</v>
      </c>
    </row>
    <row r="16" spans="2:39">
      <c r="B16" s="11" t="s">
        <v>30</v>
      </c>
      <c r="C16" s="12" t="s">
        <v>31</v>
      </c>
      <c r="D16" s="21">
        <v>-16924.150000000001</v>
      </c>
      <c r="I16" s="99" t="s">
        <v>26</v>
      </c>
      <c r="J16" s="98" t="s">
        <v>27</v>
      </c>
      <c r="K16" s="108">
        <v>-141900</v>
      </c>
      <c r="N16" s="99" t="s">
        <v>26</v>
      </c>
      <c r="O16" s="98" t="s">
        <v>27</v>
      </c>
      <c r="P16" s="110">
        <v>-134400</v>
      </c>
      <c r="S16" s="99" t="s">
        <v>26</v>
      </c>
      <c r="T16" s="98" t="s">
        <v>27</v>
      </c>
      <c r="U16" s="108">
        <v>7500</v>
      </c>
      <c r="Y16" s="99" t="s">
        <v>26</v>
      </c>
      <c r="Z16" s="98" t="s">
        <v>27</v>
      </c>
      <c r="AA16" s="108">
        <v>0</v>
      </c>
      <c r="AE16" s="99" t="s">
        <v>345</v>
      </c>
      <c r="AF16" s="98" t="s">
        <v>346</v>
      </c>
      <c r="AG16" s="108">
        <v>1933.76</v>
      </c>
      <c r="AK16" s="99" t="s">
        <v>345</v>
      </c>
      <c r="AL16" s="98" t="s">
        <v>346</v>
      </c>
      <c r="AM16" s="108">
        <v>-100802.95</v>
      </c>
    </row>
    <row r="17" spans="2:39">
      <c r="B17" s="11" t="s">
        <v>32</v>
      </c>
      <c r="C17" s="12" t="s">
        <v>33</v>
      </c>
      <c r="D17" s="21">
        <v>80195.86</v>
      </c>
      <c r="I17" s="99" t="s">
        <v>28</v>
      </c>
      <c r="J17" s="98" t="s">
        <v>29</v>
      </c>
      <c r="K17" s="108">
        <v>-64492.39</v>
      </c>
      <c r="N17" s="99" t="s">
        <v>28</v>
      </c>
      <c r="O17" s="98" t="s">
        <v>29</v>
      </c>
      <c r="P17" s="110">
        <v>-56160.69</v>
      </c>
      <c r="S17" s="99" t="s">
        <v>28</v>
      </c>
      <c r="T17" s="98" t="s">
        <v>29</v>
      </c>
      <c r="U17" s="108">
        <v>2782.56</v>
      </c>
      <c r="Y17" s="99" t="s">
        <v>28</v>
      </c>
      <c r="Z17" s="98" t="s">
        <v>29</v>
      </c>
      <c r="AA17" s="108">
        <v>2785.23</v>
      </c>
      <c r="AE17" s="99" t="s">
        <v>26</v>
      </c>
      <c r="AF17" s="98" t="s">
        <v>27</v>
      </c>
      <c r="AG17" s="108">
        <v>0</v>
      </c>
      <c r="AK17" s="99" t="s">
        <v>26</v>
      </c>
      <c r="AL17" s="98" t="s">
        <v>27</v>
      </c>
      <c r="AM17" s="108">
        <v>-126900</v>
      </c>
    </row>
    <row r="18" spans="2:39">
      <c r="B18" s="11" t="s">
        <v>34</v>
      </c>
      <c r="C18" s="12" t="s">
        <v>35</v>
      </c>
      <c r="D18" s="21">
        <v>89000</v>
      </c>
      <c r="I18" s="99" t="s">
        <v>347</v>
      </c>
      <c r="J18" s="98" t="s">
        <v>348</v>
      </c>
      <c r="K18" s="108">
        <v>-240920.1</v>
      </c>
      <c r="N18" s="99" t="s">
        <v>347</v>
      </c>
      <c r="O18" s="98" t="s">
        <v>348</v>
      </c>
      <c r="P18" s="110">
        <v>-227274.69</v>
      </c>
      <c r="S18" s="99" t="s">
        <v>347</v>
      </c>
      <c r="T18" s="98" t="s">
        <v>348</v>
      </c>
      <c r="U18" s="108">
        <v>4555.29</v>
      </c>
      <c r="Y18" s="99" t="s">
        <v>347</v>
      </c>
      <c r="Z18" s="98" t="s">
        <v>348</v>
      </c>
      <c r="AA18" s="108">
        <v>4558.71</v>
      </c>
      <c r="AE18" s="99" t="s">
        <v>28</v>
      </c>
      <c r="AF18" s="98" t="s">
        <v>29</v>
      </c>
      <c r="AG18" s="108">
        <v>2787.9</v>
      </c>
      <c r="AK18" s="99" t="s">
        <v>28</v>
      </c>
      <c r="AL18" s="98" t="s">
        <v>29</v>
      </c>
      <c r="AM18" s="108">
        <v>-47805</v>
      </c>
    </row>
    <row r="19" spans="2:39">
      <c r="B19" s="11" t="s">
        <v>36</v>
      </c>
      <c r="C19" s="12" t="s">
        <v>37</v>
      </c>
      <c r="D19" s="21">
        <v>169510.38</v>
      </c>
      <c r="I19" s="99" t="s">
        <v>30</v>
      </c>
      <c r="J19" s="98" t="s">
        <v>586</v>
      </c>
      <c r="K19" s="108">
        <v>-29684.15</v>
      </c>
      <c r="N19" s="99" t="s">
        <v>653</v>
      </c>
      <c r="O19" s="98" t="s">
        <v>654</v>
      </c>
      <c r="P19" s="110">
        <v>-45904.52</v>
      </c>
      <c r="S19" s="99" t="s">
        <v>653</v>
      </c>
      <c r="T19" s="98" t="s">
        <v>654</v>
      </c>
      <c r="U19" s="108">
        <v>1368</v>
      </c>
      <c r="Y19" s="99" t="s">
        <v>653</v>
      </c>
      <c r="Z19" s="98" t="s">
        <v>654</v>
      </c>
      <c r="AA19" s="108">
        <v>1369.43</v>
      </c>
      <c r="AE19" s="99" t="s">
        <v>347</v>
      </c>
      <c r="AF19" s="98" t="s">
        <v>348</v>
      </c>
      <c r="AG19" s="108">
        <v>4562.13</v>
      </c>
      <c r="AK19" s="99" t="s">
        <v>347</v>
      </c>
      <c r="AL19" s="98" t="s">
        <v>348</v>
      </c>
      <c r="AM19" s="108">
        <v>-213598.56</v>
      </c>
    </row>
    <row r="20" spans="2:39">
      <c r="B20" s="11" t="s">
        <v>38</v>
      </c>
      <c r="C20" s="12" t="s">
        <v>39</v>
      </c>
      <c r="D20" s="21">
        <v>228757.87</v>
      </c>
      <c r="I20" s="99" t="s">
        <v>32</v>
      </c>
      <c r="J20" s="98" t="s">
        <v>33</v>
      </c>
      <c r="K20" s="108">
        <v>95243.85</v>
      </c>
      <c r="N20" s="99" t="s">
        <v>655</v>
      </c>
      <c r="O20" s="98" t="s">
        <v>656</v>
      </c>
      <c r="P20" s="110">
        <v>-98384.41</v>
      </c>
      <c r="S20" s="99" t="s">
        <v>655</v>
      </c>
      <c r="T20" s="98" t="s">
        <v>656</v>
      </c>
      <c r="U20" s="108">
        <v>1617.29</v>
      </c>
      <c r="Y20" s="99" t="s">
        <v>655</v>
      </c>
      <c r="Z20" s="98" t="s">
        <v>656</v>
      </c>
      <c r="AA20" s="108">
        <v>1618.98</v>
      </c>
      <c r="AE20" s="99" t="s">
        <v>653</v>
      </c>
      <c r="AF20" s="98" t="s">
        <v>654</v>
      </c>
      <c r="AG20" s="108">
        <v>1370.85</v>
      </c>
      <c r="AK20" s="99" t="s">
        <v>653</v>
      </c>
      <c r="AL20" s="98" t="s">
        <v>654</v>
      </c>
      <c r="AM20" s="108">
        <v>-41796.239999999998</v>
      </c>
    </row>
    <row r="21" spans="2:39">
      <c r="B21" s="11" t="s">
        <v>40</v>
      </c>
      <c r="C21" s="12" t="s">
        <v>41</v>
      </c>
      <c r="D21" s="21">
        <v>148785.54999999999</v>
      </c>
      <c r="I21" s="99" t="s">
        <v>587</v>
      </c>
      <c r="J21" s="98" t="s">
        <v>588</v>
      </c>
      <c r="K21" s="108">
        <v>215.72</v>
      </c>
      <c r="N21" s="99" t="s">
        <v>30</v>
      </c>
      <c r="O21" s="98" t="s">
        <v>31</v>
      </c>
      <c r="P21" s="110">
        <v>-29684.15</v>
      </c>
      <c r="S21" s="99" t="s">
        <v>30</v>
      </c>
      <c r="T21" s="98" t="s">
        <v>31</v>
      </c>
      <c r="U21" s="108">
        <v>0</v>
      </c>
      <c r="Y21" s="99" t="s">
        <v>30</v>
      </c>
      <c r="Z21" s="98" t="s">
        <v>31</v>
      </c>
      <c r="AA21" s="108">
        <v>0</v>
      </c>
      <c r="AE21" s="99" t="s">
        <v>655</v>
      </c>
      <c r="AF21" s="98" t="s">
        <v>656</v>
      </c>
      <c r="AG21" s="108">
        <v>1620.68</v>
      </c>
      <c r="AK21" s="99" t="s">
        <v>655</v>
      </c>
      <c r="AL21" s="98" t="s">
        <v>656</v>
      </c>
      <c r="AM21" s="108">
        <v>-93527.46</v>
      </c>
    </row>
    <row r="22" spans="2:39">
      <c r="B22" s="11" t="s">
        <v>42</v>
      </c>
      <c r="C22" s="12" t="s">
        <v>43</v>
      </c>
      <c r="D22" s="20">
        <v>1</v>
      </c>
      <c r="E22" s="28">
        <f>SUM(BG!D101:D103,BG!D108:D119,BG!D121:D125,BG!D148,BG!D198)</f>
        <v>238035.83000000005</v>
      </c>
      <c r="I22" s="99" t="s">
        <v>34</v>
      </c>
      <c r="J22" s="98" t="s">
        <v>35</v>
      </c>
      <c r="K22" s="108">
        <v>89000</v>
      </c>
      <c r="N22" s="99" t="s">
        <v>32</v>
      </c>
      <c r="O22" s="98" t="s">
        <v>33</v>
      </c>
      <c r="P22" s="110">
        <v>95243.85</v>
      </c>
      <c r="S22" s="99" t="s">
        <v>32</v>
      </c>
      <c r="T22" s="98" t="s">
        <v>33</v>
      </c>
      <c r="U22" s="108">
        <v>7000</v>
      </c>
      <c r="Y22" s="99" t="s">
        <v>32</v>
      </c>
      <c r="Z22" s="98" t="s">
        <v>33</v>
      </c>
      <c r="AA22" s="108">
        <v>0</v>
      </c>
      <c r="AE22" s="99" t="s">
        <v>30</v>
      </c>
      <c r="AF22" s="98" t="s">
        <v>31</v>
      </c>
      <c r="AG22" s="108">
        <v>0</v>
      </c>
      <c r="AK22" s="99" t="s">
        <v>30</v>
      </c>
      <c r="AL22" s="98" t="s">
        <v>31</v>
      </c>
      <c r="AM22" s="108">
        <v>-29684.15</v>
      </c>
    </row>
    <row r="23" spans="2:39">
      <c r="B23" s="11" t="s">
        <v>44</v>
      </c>
      <c r="C23" s="12" t="s">
        <v>45</v>
      </c>
      <c r="D23" s="20" t="s">
        <v>15</v>
      </c>
      <c r="I23" s="99" t="s">
        <v>589</v>
      </c>
      <c r="J23" s="98" t="s">
        <v>590</v>
      </c>
      <c r="K23" s="108">
        <v>4540</v>
      </c>
      <c r="N23" s="99" t="s">
        <v>587</v>
      </c>
      <c r="O23" s="98" t="s">
        <v>588</v>
      </c>
      <c r="P23" s="110">
        <v>215.72</v>
      </c>
      <c r="S23" s="99" t="s">
        <v>587</v>
      </c>
      <c r="T23" s="98" t="s">
        <v>588</v>
      </c>
      <c r="U23" s="108">
        <v>0</v>
      </c>
      <c r="Y23" s="99" t="s">
        <v>587</v>
      </c>
      <c r="Z23" s="98" t="s">
        <v>588</v>
      </c>
      <c r="AA23" s="108">
        <v>0</v>
      </c>
      <c r="AE23" s="99" t="s">
        <v>32</v>
      </c>
      <c r="AF23" s="98" t="s">
        <v>33</v>
      </c>
      <c r="AG23" s="108">
        <v>0</v>
      </c>
      <c r="AK23" s="99" t="s">
        <v>32</v>
      </c>
      <c r="AL23" s="98" t="s">
        <v>33</v>
      </c>
      <c r="AM23" s="108">
        <v>102243.85</v>
      </c>
    </row>
    <row r="24" spans="2:39">
      <c r="B24" s="11" t="s">
        <v>46</v>
      </c>
      <c r="C24" s="12" t="s">
        <v>47</v>
      </c>
      <c r="D24" s="20">
        <v>204445.88</v>
      </c>
      <c r="I24" s="99" t="s">
        <v>36</v>
      </c>
      <c r="J24" s="98" t="s">
        <v>37</v>
      </c>
      <c r="K24" s="108">
        <v>225148.68</v>
      </c>
      <c r="N24" s="99" t="s">
        <v>34</v>
      </c>
      <c r="O24" s="98" t="s">
        <v>35</v>
      </c>
      <c r="P24" s="110">
        <v>89000</v>
      </c>
      <c r="S24" s="99" t="s">
        <v>34</v>
      </c>
      <c r="T24" s="98" t="s">
        <v>35</v>
      </c>
      <c r="U24" s="108">
        <v>0</v>
      </c>
      <c r="Y24" s="99" t="s">
        <v>34</v>
      </c>
      <c r="Z24" s="98" t="s">
        <v>35</v>
      </c>
      <c r="AA24" s="108">
        <v>0</v>
      </c>
      <c r="AE24" s="99" t="s">
        <v>587</v>
      </c>
      <c r="AF24" s="98" t="s">
        <v>588</v>
      </c>
      <c r="AG24" s="108">
        <v>0</v>
      </c>
      <c r="AK24" s="99" t="s">
        <v>587</v>
      </c>
      <c r="AL24" s="98" t="s">
        <v>588</v>
      </c>
      <c r="AM24" s="108">
        <v>215.72</v>
      </c>
    </row>
    <row r="25" spans="2:39">
      <c r="B25" s="11" t="s">
        <v>48</v>
      </c>
      <c r="C25" s="12" t="s">
        <v>49</v>
      </c>
      <c r="D25" s="20">
        <v>-56363.19</v>
      </c>
      <c r="I25" s="99" t="s">
        <v>38</v>
      </c>
      <c r="J25" s="98" t="s">
        <v>39</v>
      </c>
      <c r="K25" s="108">
        <v>291503.18</v>
      </c>
      <c r="N25" s="99" t="s">
        <v>589</v>
      </c>
      <c r="O25" s="98" t="s">
        <v>590</v>
      </c>
      <c r="P25" s="110">
        <v>4540</v>
      </c>
      <c r="S25" s="99" t="s">
        <v>589</v>
      </c>
      <c r="T25" s="98" t="s">
        <v>590</v>
      </c>
      <c r="U25" s="108">
        <v>0</v>
      </c>
      <c r="Y25" s="99" t="s">
        <v>589</v>
      </c>
      <c r="Z25" s="98" t="s">
        <v>590</v>
      </c>
      <c r="AA25" s="108">
        <v>0</v>
      </c>
      <c r="AE25" s="99" t="s">
        <v>34</v>
      </c>
      <c r="AF25" s="98" t="s">
        <v>35</v>
      </c>
      <c r="AG25" s="108">
        <v>0</v>
      </c>
      <c r="AK25" s="99" t="s">
        <v>34</v>
      </c>
      <c r="AL25" s="98" t="s">
        <v>35</v>
      </c>
      <c r="AM25" s="108">
        <v>89000</v>
      </c>
    </row>
    <row r="26" spans="2:39">
      <c r="B26" s="11" t="s">
        <v>50</v>
      </c>
      <c r="C26" s="12" t="s">
        <v>51</v>
      </c>
      <c r="D26" s="21">
        <v>-74504.59</v>
      </c>
      <c r="I26" s="99" t="s">
        <v>40</v>
      </c>
      <c r="J26" s="98" t="s">
        <v>41</v>
      </c>
      <c r="K26" s="108">
        <v>159968.35999999999</v>
      </c>
      <c r="N26" s="99" t="s">
        <v>36</v>
      </c>
      <c r="O26" s="98" t="s">
        <v>37</v>
      </c>
      <c r="P26" s="110">
        <v>227904.68</v>
      </c>
      <c r="S26" s="99" t="s">
        <v>36</v>
      </c>
      <c r="T26" s="98" t="s">
        <v>37</v>
      </c>
      <c r="U26" s="108">
        <v>5239</v>
      </c>
      <c r="Y26" s="99" t="s">
        <v>36</v>
      </c>
      <c r="Z26" s="98" t="s">
        <v>37</v>
      </c>
      <c r="AA26" s="108">
        <v>2621.0700000000002</v>
      </c>
      <c r="AE26" s="99" t="s">
        <v>589</v>
      </c>
      <c r="AF26" s="98" t="s">
        <v>590</v>
      </c>
      <c r="AG26" s="108">
        <v>0</v>
      </c>
      <c r="AK26" s="99" t="s">
        <v>589</v>
      </c>
      <c r="AL26" s="98" t="s">
        <v>590</v>
      </c>
      <c r="AM26" s="108">
        <v>4540</v>
      </c>
    </row>
    <row r="27" spans="2:39">
      <c r="B27" s="11" t="s">
        <v>52</v>
      </c>
      <c r="C27" s="12" t="s">
        <v>53</v>
      </c>
      <c r="D27" s="21">
        <v>-96102.57</v>
      </c>
      <c r="I27" s="99" t="s">
        <v>42</v>
      </c>
      <c r="J27" s="98" t="s">
        <v>43</v>
      </c>
      <c r="K27" s="108">
        <v>0</v>
      </c>
      <c r="N27" s="99" t="s">
        <v>38</v>
      </c>
      <c r="O27" s="98" t="s">
        <v>39</v>
      </c>
      <c r="P27" s="110">
        <v>300312.11</v>
      </c>
      <c r="S27" s="99" t="s">
        <v>38</v>
      </c>
      <c r="T27" s="98" t="s">
        <v>39</v>
      </c>
      <c r="U27" s="108">
        <v>0</v>
      </c>
      <c r="Y27" s="99" t="s">
        <v>38</v>
      </c>
      <c r="Z27" s="98" t="s">
        <v>39</v>
      </c>
      <c r="AA27" s="108">
        <v>0</v>
      </c>
      <c r="AE27" s="99" t="s">
        <v>36</v>
      </c>
      <c r="AF27" s="98" t="s">
        <v>37</v>
      </c>
      <c r="AG27" s="108">
        <v>-17155</v>
      </c>
      <c r="AK27" s="99" t="s">
        <v>36</v>
      </c>
      <c r="AL27" s="98" t="s">
        <v>37</v>
      </c>
      <c r="AM27" s="108">
        <v>218609.75</v>
      </c>
    </row>
    <row r="28" spans="2:39">
      <c r="B28" s="11" t="s">
        <v>54</v>
      </c>
      <c r="C28" s="12" t="s">
        <v>41</v>
      </c>
      <c r="D28" s="21">
        <v>-35775.94</v>
      </c>
      <c r="I28" s="99" t="s">
        <v>44</v>
      </c>
      <c r="J28" s="98" t="s">
        <v>45</v>
      </c>
      <c r="K28" s="108">
        <v>0</v>
      </c>
      <c r="N28" s="99" t="s">
        <v>40</v>
      </c>
      <c r="O28" s="98" t="s">
        <v>41</v>
      </c>
      <c r="P28" s="110">
        <v>159968.35999999999</v>
      </c>
      <c r="S28" s="99" t="s">
        <v>40</v>
      </c>
      <c r="T28" s="98" t="s">
        <v>41</v>
      </c>
      <c r="U28" s="108">
        <v>0</v>
      </c>
      <c r="Y28" s="99" t="s">
        <v>40</v>
      </c>
      <c r="Z28" s="98" t="s">
        <v>41</v>
      </c>
      <c r="AA28" s="108">
        <v>0</v>
      </c>
      <c r="AE28" s="99" t="s">
        <v>38</v>
      </c>
      <c r="AF28" s="98" t="s">
        <v>39</v>
      </c>
      <c r="AG28" s="108">
        <v>6798.5</v>
      </c>
      <c r="AK28" s="99" t="s">
        <v>38</v>
      </c>
      <c r="AL28" s="98" t="s">
        <v>39</v>
      </c>
      <c r="AM28" s="108">
        <v>307110.61</v>
      </c>
    </row>
    <row r="29" spans="2:39">
      <c r="B29" s="11" t="s">
        <v>349</v>
      </c>
      <c r="C29" s="12" t="s">
        <v>350</v>
      </c>
      <c r="D29" s="21">
        <v>-12403.81</v>
      </c>
      <c r="I29" s="99" t="s">
        <v>46</v>
      </c>
      <c r="J29" s="98" t="s">
        <v>47</v>
      </c>
      <c r="K29" s="108">
        <v>206224.38</v>
      </c>
      <c r="N29" s="99" t="s">
        <v>46</v>
      </c>
      <c r="O29" s="98" t="s">
        <v>47</v>
      </c>
      <c r="P29" s="110">
        <v>334533.38</v>
      </c>
      <c r="S29" s="99" t="s">
        <v>46</v>
      </c>
      <c r="T29" s="98" t="s">
        <v>47</v>
      </c>
      <c r="U29" s="108">
        <v>0</v>
      </c>
      <c r="Y29" s="99" t="s">
        <v>46</v>
      </c>
      <c r="Z29" s="98" t="s">
        <v>47</v>
      </c>
      <c r="AA29" s="108">
        <v>0</v>
      </c>
      <c r="AE29" s="99" t="s">
        <v>40</v>
      </c>
      <c r="AF29" s="98" t="s">
        <v>41</v>
      </c>
      <c r="AG29" s="108">
        <v>0</v>
      </c>
      <c r="AK29" s="99" t="s">
        <v>40</v>
      </c>
      <c r="AL29" s="98" t="s">
        <v>41</v>
      </c>
      <c r="AM29" s="108">
        <v>159968.35999999999</v>
      </c>
    </row>
    <row r="30" spans="2:39">
      <c r="B30" s="11" t="s">
        <v>55</v>
      </c>
      <c r="C30" s="12" t="s">
        <v>56</v>
      </c>
      <c r="D30" s="21">
        <v>-586532.16</v>
      </c>
      <c r="I30" s="99" t="s">
        <v>48</v>
      </c>
      <c r="J30" s="98" t="s">
        <v>49</v>
      </c>
      <c r="K30" s="108">
        <v>-61855.89</v>
      </c>
      <c r="N30" s="99" t="s">
        <v>48</v>
      </c>
      <c r="O30" s="98" t="s">
        <v>49</v>
      </c>
      <c r="P30" s="110">
        <v>-66768.039999999994</v>
      </c>
      <c r="S30" s="99" t="s">
        <v>48</v>
      </c>
      <c r="T30" s="98" t="s">
        <v>49</v>
      </c>
      <c r="U30" s="108">
        <v>0</v>
      </c>
      <c r="Y30" s="99" t="s">
        <v>48</v>
      </c>
      <c r="Z30" s="98" t="s">
        <v>49</v>
      </c>
      <c r="AA30" s="108">
        <v>0</v>
      </c>
      <c r="AE30" s="99" t="s">
        <v>46</v>
      </c>
      <c r="AF30" s="98" t="s">
        <v>47</v>
      </c>
      <c r="AG30" s="108">
        <v>3105.48</v>
      </c>
      <c r="AK30" s="99" t="s">
        <v>46</v>
      </c>
      <c r="AL30" s="98" t="s">
        <v>47</v>
      </c>
      <c r="AM30" s="108">
        <v>337638.86</v>
      </c>
    </row>
    <row r="31" spans="2:39">
      <c r="B31" s="11" t="s">
        <v>57</v>
      </c>
      <c r="C31" s="12" t="s">
        <v>58</v>
      </c>
      <c r="D31" s="21">
        <v>-128403.02</v>
      </c>
      <c r="I31" s="99" t="s">
        <v>591</v>
      </c>
      <c r="J31" s="98" t="s">
        <v>592</v>
      </c>
      <c r="K31" s="108">
        <v>-215.72</v>
      </c>
      <c r="N31" s="99" t="s">
        <v>591</v>
      </c>
      <c r="O31" s="98" t="s">
        <v>592</v>
      </c>
      <c r="P31" s="110">
        <v>-215.72</v>
      </c>
      <c r="S31" s="99" t="s">
        <v>591</v>
      </c>
      <c r="T31" s="98" t="s">
        <v>592</v>
      </c>
      <c r="U31" s="108">
        <v>0</v>
      </c>
      <c r="Y31" s="99" t="s">
        <v>591</v>
      </c>
      <c r="Z31" s="98" t="s">
        <v>592</v>
      </c>
      <c r="AA31" s="108">
        <v>0</v>
      </c>
      <c r="AE31" s="99" t="s">
        <v>48</v>
      </c>
      <c r="AF31" s="98" t="s">
        <v>49</v>
      </c>
      <c r="AG31" s="108">
        <v>-10160.799999999999</v>
      </c>
      <c r="AK31" s="99" t="s">
        <v>48</v>
      </c>
      <c r="AL31" s="98" t="s">
        <v>49</v>
      </c>
      <c r="AM31" s="108">
        <v>-72016.69</v>
      </c>
    </row>
    <row r="32" spans="2:39">
      <c r="B32" s="11" t="s">
        <v>59</v>
      </c>
      <c r="C32" s="12" t="s">
        <v>60</v>
      </c>
      <c r="D32" s="21">
        <v>-2</v>
      </c>
      <c r="I32" s="99" t="s">
        <v>593</v>
      </c>
      <c r="J32" s="98" t="s">
        <v>594</v>
      </c>
      <c r="K32" s="108">
        <v>-4540</v>
      </c>
      <c r="N32" s="99" t="s">
        <v>593</v>
      </c>
      <c r="O32" s="98" t="s">
        <v>594</v>
      </c>
      <c r="P32" s="110">
        <v>-4540</v>
      </c>
      <c r="S32" s="99" t="s">
        <v>593</v>
      </c>
      <c r="T32" s="98" t="s">
        <v>594</v>
      </c>
      <c r="U32" s="108">
        <v>0</v>
      </c>
      <c r="Y32" s="99" t="s">
        <v>593</v>
      </c>
      <c r="Z32" s="98" t="s">
        <v>594</v>
      </c>
      <c r="AA32" s="108">
        <v>0</v>
      </c>
      <c r="AE32" s="99" t="s">
        <v>591</v>
      </c>
      <c r="AF32" s="98" t="s">
        <v>592</v>
      </c>
      <c r="AG32" s="108">
        <v>0</v>
      </c>
      <c r="AK32" s="99" t="s">
        <v>591</v>
      </c>
      <c r="AL32" s="98" t="s">
        <v>592</v>
      </c>
      <c r="AM32" s="108">
        <v>-215.72</v>
      </c>
    </row>
    <row r="33" spans="2:39">
      <c r="B33" s="11" t="s">
        <v>61</v>
      </c>
      <c r="C33" s="12" t="s">
        <v>62</v>
      </c>
      <c r="D33" s="21">
        <v>1862569.17</v>
      </c>
      <c r="I33" s="99" t="s">
        <v>50</v>
      </c>
      <c r="J33" s="98" t="s">
        <v>51</v>
      </c>
      <c r="K33" s="108">
        <v>-81723.73</v>
      </c>
      <c r="N33" s="99" t="s">
        <v>50</v>
      </c>
      <c r="O33" s="98" t="s">
        <v>51</v>
      </c>
      <c r="P33" s="110">
        <v>-88207.28</v>
      </c>
      <c r="S33" s="99" t="s">
        <v>50</v>
      </c>
      <c r="T33" s="98" t="s">
        <v>51</v>
      </c>
      <c r="U33" s="108">
        <v>0</v>
      </c>
      <c r="Y33" s="99" t="s">
        <v>50</v>
      </c>
      <c r="Z33" s="98" t="s">
        <v>51</v>
      </c>
      <c r="AA33" s="108">
        <v>0</v>
      </c>
      <c r="AE33" s="99" t="s">
        <v>593</v>
      </c>
      <c r="AF33" s="98" t="s">
        <v>594</v>
      </c>
      <c r="AG33" s="108">
        <v>0</v>
      </c>
      <c r="AK33" s="99" t="s">
        <v>593</v>
      </c>
      <c r="AL33" s="98" t="s">
        <v>594</v>
      </c>
      <c r="AM33" s="108">
        <v>-4540</v>
      </c>
    </row>
    <row r="34" spans="2:39">
      <c r="B34" s="11" t="s">
        <v>63</v>
      </c>
      <c r="C34" s="12" t="s">
        <v>64</v>
      </c>
      <c r="D34" s="21">
        <v>32676.53</v>
      </c>
      <c r="I34" s="99" t="s">
        <v>52</v>
      </c>
      <c r="J34" s="98" t="s">
        <v>53</v>
      </c>
      <c r="K34" s="108">
        <v>-118497.2</v>
      </c>
      <c r="N34" s="99" t="s">
        <v>52</v>
      </c>
      <c r="O34" s="98" t="s">
        <v>53</v>
      </c>
      <c r="P34" s="110">
        <v>-133615.9</v>
      </c>
      <c r="S34" s="99" t="s">
        <v>52</v>
      </c>
      <c r="T34" s="98" t="s">
        <v>53</v>
      </c>
      <c r="U34" s="108">
        <v>0</v>
      </c>
      <c r="Y34" s="99" t="s">
        <v>52</v>
      </c>
      <c r="Z34" s="98" t="s">
        <v>53</v>
      </c>
      <c r="AA34" s="108">
        <v>0</v>
      </c>
      <c r="AE34" s="99" t="s">
        <v>50</v>
      </c>
      <c r="AF34" s="98" t="s">
        <v>51</v>
      </c>
      <c r="AG34" s="108">
        <v>2487.65</v>
      </c>
      <c r="AK34" s="99" t="s">
        <v>50</v>
      </c>
      <c r="AL34" s="98" t="s">
        <v>51</v>
      </c>
      <c r="AM34" s="108">
        <v>-79236.08</v>
      </c>
    </row>
    <row r="35" spans="2:39">
      <c r="B35" s="11" t="s">
        <v>65</v>
      </c>
      <c r="C35" s="12" t="s">
        <v>66</v>
      </c>
      <c r="D35" s="21">
        <v>920920.98</v>
      </c>
      <c r="I35" s="99" t="s">
        <v>54</v>
      </c>
      <c r="J35" s="98" t="s">
        <v>41</v>
      </c>
      <c r="K35" s="108">
        <v>-44353.4</v>
      </c>
      <c r="N35" s="99" t="s">
        <v>54</v>
      </c>
      <c r="O35" s="98" t="s">
        <v>41</v>
      </c>
      <c r="P35" s="110">
        <v>-50976.87</v>
      </c>
      <c r="S35" s="99" t="s">
        <v>54</v>
      </c>
      <c r="T35" s="98" t="s">
        <v>41</v>
      </c>
      <c r="U35" s="108">
        <v>0</v>
      </c>
      <c r="Y35" s="99" t="s">
        <v>54</v>
      </c>
      <c r="Z35" s="98" t="s">
        <v>41</v>
      </c>
      <c r="AA35" s="108">
        <v>0</v>
      </c>
      <c r="AE35" s="99" t="s">
        <v>52</v>
      </c>
      <c r="AF35" s="98" t="s">
        <v>53</v>
      </c>
      <c r="AG35" s="108">
        <v>-30260.799999999999</v>
      </c>
      <c r="AK35" s="99" t="s">
        <v>52</v>
      </c>
      <c r="AL35" s="98" t="s">
        <v>53</v>
      </c>
      <c r="AM35" s="108">
        <v>-148758</v>
      </c>
    </row>
    <row r="36" spans="2:39">
      <c r="B36" s="11" t="s">
        <v>67</v>
      </c>
      <c r="C36" s="12" t="s">
        <v>68</v>
      </c>
      <c r="D36" s="21">
        <v>0.3</v>
      </c>
      <c r="I36" s="99" t="s">
        <v>55</v>
      </c>
      <c r="J36" s="98" t="s">
        <v>56</v>
      </c>
      <c r="K36" s="108">
        <v>-505604.49</v>
      </c>
      <c r="N36" s="99" t="s">
        <v>55</v>
      </c>
      <c r="O36" s="98" t="s">
        <v>56</v>
      </c>
      <c r="P36" s="110">
        <v>-567773.57999999996</v>
      </c>
      <c r="S36" s="99" t="s">
        <v>55</v>
      </c>
      <c r="T36" s="98" t="s">
        <v>56</v>
      </c>
      <c r="U36" s="108">
        <v>135582.19</v>
      </c>
      <c r="Y36" s="99" t="s">
        <v>55</v>
      </c>
      <c r="Z36" s="98" t="s">
        <v>56</v>
      </c>
      <c r="AA36" s="108">
        <v>89532.54</v>
      </c>
      <c r="AE36" s="99" t="s">
        <v>54</v>
      </c>
      <c r="AF36" s="98" t="s">
        <v>41</v>
      </c>
      <c r="AG36" s="108">
        <v>-13234.66</v>
      </c>
      <c r="AK36" s="99" t="s">
        <v>54</v>
      </c>
      <c r="AL36" s="98" t="s">
        <v>41</v>
      </c>
      <c r="AM36" s="108">
        <v>-57588.06</v>
      </c>
    </row>
    <row r="37" spans="2:39">
      <c r="B37" s="11" t="s">
        <v>351</v>
      </c>
      <c r="C37" s="12" t="s">
        <v>352</v>
      </c>
      <c r="D37" s="21" t="s">
        <v>15</v>
      </c>
      <c r="I37" s="99" t="s">
        <v>57</v>
      </c>
      <c r="J37" s="98" t="s">
        <v>58</v>
      </c>
      <c r="K37" s="108">
        <v>-148767.29</v>
      </c>
      <c r="N37" s="99" t="s">
        <v>57</v>
      </c>
      <c r="O37" s="98" t="s">
        <v>58</v>
      </c>
      <c r="P37" s="110">
        <v>-221929.97</v>
      </c>
      <c r="S37" s="99" t="s">
        <v>57</v>
      </c>
      <c r="T37" s="98" t="s">
        <v>58</v>
      </c>
      <c r="U37" s="108">
        <v>-9785.36</v>
      </c>
      <c r="Y37" s="99" t="s">
        <v>57</v>
      </c>
      <c r="Z37" s="98" t="s">
        <v>58</v>
      </c>
      <c r="AA37" s="108">
        <v>38933.629999999997</v>
      </c>
      <c r="AE37" s="99" t="s">
        <v>55</v>
      </c>
      <c r="AF37" s="98" t="s">
        <v>56</v>
      </c>
      <c r="AG37" s="108">
        <v>-279799.43</v>
      </c>
      <c r="AK37" s="99" t="s">
        <v>55</v>
      </c>
      <c r="AL37" s="98" t="s">
        <v>56</v>
      </c>
      <c r="AM37" s="108">
        <v>-622274.78</v>
      </c>
    </row>
    <row r="38" spans="2:39">
      <c r="B38" s="11" t="s">
        <v>69</v>
      </c>
      <c r="C38" s="12" t="s">
        <v>70</v>
      </c>
      <c r="D38" s="21">
        <v>-131337.44</v>
      </c>
      <c r="I38" s="99" t="s">
        <v>59</v>
      </c>
      <c r="J38" s="98" t="s">
        <v>60</v>
      </c>
      <c r="K38" s="108">
        <v>0</v>
      </c>
      <c r="N38" s="99" t="s">
        <v>61</v>
      </c>
      <c r="O38" s="98" t="s">
        <v>62</v>
      </c>
      <c r="P38" s="110">
        <v>1969634.71</v>
      </c>
      <c r="S38" s="99" t="s">
        <v>61</v>
      </c>
      <c r="T38" s="98" t="s">
        <v>62</v>
      </c>
      <c r="U38" s="108">
        <v>328927.52</v>
      </c>
      <c r="Y38" s="99" t="s">
        <v>61</v>
      </c>
      <c r="Z38" s="98" t="s">
        <v>62</v>
      </c>
      <c r="AA38" s="108">
        <v>95557.3</v>
      </c>
      <c r="AE38" s="99" t="s">
        <v>57</v>
      </c>
      <c r="AF38" s="98" t="s">
        <v>58</v>
      </c>
      <c r="AG38" s="108">
        <v>2210.19</v>
      </c>
      <c r="AK38" s="99" t="s">
        <v>57</v>
      </c>
      <c r="AL38" s="98" t="s">
        <v>58</v>
      </c>
      <c r="AM38" s="108">
        <v>-167771.51</v>
      </c>
    </row>
    <row r="39" spans="2:39">
      <c r="B39" s="11" t="s">
        <v>353</v>
      </c>
      <c r="C39" s="12" t="s">
        <v>354</v>
      </c>
      <c r="D39" s="21" t="s">
        <v>15</v>
      </c>
      <c r="I39" s="99" t="s">
        <v>61</v>
      </c>
      <c r="J39" s="98" t="s">
        <v>62</v>
      </c>
      <c r="K39" s="108">
        <v>2611841.59</v>
      </c>
      <c r="N39" s="99" t="s">
        <v>63</v>
      </c>
      <c r="O39" s="98" t="s">
        <v>64</v>
      </c>
      <c r="P39" s="110">
        <v>32676.53</v>
      </c>
      <c r="S39" s="99" t="s">
        <v>63</v>
      </c>
      <c r="T39" s="98" t="s">
        <v>64</v>
      </c>
      <c r="U39" s="108">
        <v>0</v>
      </c>
      <c r="Y39" s="99" t="s">
        <v>63</v>
      </c>
      <c r="Z39" s="98" t="s">
        <v>64</v>
      </c>
      <c r="AA39" s="108">
        <v>0</v>
      </c>
      <c r="AE39" s="99" t="s">
        <v>61</v>
      </c>
      <c r="AF39" s="98" t="s">
        <v>62</v>
      </c>
      <c r="AG39" s="108">
        <v>450967.09</v>
      </c>
      <c r="AK39" s="99" t="s">
        <v>61</v>
      </c>
      <c r="AL39" s="98" t="s">
        <v>62</v>
      </c>
      <c r="AM39" s="108">
        <v>2831214.62</v>
      </c>
    </row>
    <row r="40" spans="2:39">
      <c r="B40" s="11" t="s">
        <v>71</v>
      </c>
      <c r="C40" s="12" t="s">
        <v>72</v>
      </c>
      <c r="D40" s="21">
        <v>-5804.19</v>
      </c>
      <c r="I40" s="99" t="s">
        <v>63</v>
      </c>
      <c r="J40" s="98" t="s">
        <v>64</v>
      </c>
      <c r="K40" s="108">
        <v>32676.53</v>
      </c>
      <c r="N40" s="99" t="s">
        <v>65</v>
      </c>
      <c r="O40" s="98" t="s">
        <v>66</v>
      </c>
      <c r="P40" s="110">
        <v>1223090.4099999999</v>
      </c>
      <c r="S40" s="99" t="s">
        <v>65</v>
      </c>
      <c r="T40" s="98" t="s">
        <v>66</v>
      </c>
      <c r="U40" s="108">
        <v>-277308.23</v>
      </c>
      <c r="Y40" s="99" t="s">
        <v>65</v>
      </c>
      <c r="Z40" s="98" t="s">
        <v>66</v>
      </c>
      <c r="AA40" s="108">
        <v>178202.36</v>
      </c>
      <c r="AE40" s="99" t="s">
        <v>63</v>
      </c>
      <c r="AF40" s="98" t="s">
        <v>64</v>
      </c>
      <c r="AG40" s="108">
        <v>0</v>
      </c>
      <c r="AK40" s="99" t="s">
        <v>63</v>
      </c>
      <c r="AL40" s="98" t="s">
        <v>64</v>
      </c>
      <c r="AM40" s="108">
        <v>32676.53</v>
      </c>
    </row>
    <row r="41" spans="2:39">
      <c r="B41" s="11" t="s">
        <v>73</v>
      </c>
      <c r="C41" s="12" t="s">
        <v>74</v>
      </c>
      <c r="D41" s="21">
        <v>-147000</v>
      </c>
      <c r="I41" s="99" t="s">
        <v>65</v>
      </c>
      <c r="J41" s="98" t="s">
        <v>66</v>
      </c>
      <c r="K41" s="108">
        <v>590179.52</v>
      </c>
      <c r="N41" s="99" t="s">
        <v>595</v>
      </c>
      <c r="O41" s="98" t="s">
        <v>596</v>
      </c>
      <c r="P41" s="110">
        <v>-1620</v>
      </c>
      <c r="S41" s="99" t="s">
        <v>595</v>
      </c>
      <c r="T41" s="98" t="s">
        <v>596</v>
      </c>
      <c r="U41" s="108">
        <v>0</v>
      </c>
      <c r="Y41" s="99" t="s">
        <v>595</v>
      </c>
      <c r="Z41" s="98" t="s">
        <v>596</v>
      </c>
      <c r="AA41" s="108">
        <v>0</v>
      </c>
      <c r="AE41" s="99" t="s">
        <v>65</v>
      </c>
      <c r="AF41" s="98" t="s">
        <v>66</v>
      </c>
      <c r="AG41" s="108">
        <v>-367937.33</v>
      </c>
      <c r="AK41" s="99" t="s">
        <v>65</v>
      </c>
      <c r="AL41" s="98" t="s">
        <v>66</v>
      </c>
      <c r="AM41" s="108">
        <v>756047.21</v>
      </c>
    </row>
    <row r="42" spans="2:39">
      <c r="B42" s="11" t="s">
        <v>75</v>
      </c>
      <c r="C42" s="12" t="s">
        <v>76</v>
      </c>
      <c r="D42" s="20">
        <v>-193305.78</v>
      </c>
      <c r="I42" s="99" t="s">
        <v>595</v>
      </c>
      <c r="J42" s="98" t="s">
        <v>596</v>
      </c>
      <c r="K42" s="108">
        <v>-19722.79</v>
      </c>
      <c r="N42" s="99" t="s">
        <v>67</v>
      </c>
      <c r="O42" s="98" t="s">
        <v>68</v>
      </c>
      <c r="P42" s="110">
        <v>42.3</v>
      </c>
      <c r="S42" s="99" t="s">
        <v>67</v>
      </c>
      <c r="T42" s="98" t="s">
        <v>68</v>
      </c>
      <c r="U42" s="108">
        <v>-900</v>
      </c>
      <c r="Y42" s="99" t="s">
        <v>67</v>
      </c>
      <c r="Z42" s="98" t="s">
        <v>68</v>
      </c>
      <c r="AA42" s="108">
        <v>0</v>
      </c>
      <c r="AE42" s="99" t="s">
        <v>595</v>
      </c>
      <c r="AF42" s="98" t="s">
        <v>596</v>
      </c>
      <c r="AG42" s="108">
        <v>0</v>
      </c>
      <c r="AK42" s="99" t="s">
        <v>595</v>
      </c>
      <c r="AL42" s="98" t="s">
        <v>596</v>
      </c>
      <c r="AM42" s="108">
        <v>-1620</v>
      </c>
    </row>
    <row r="43" spans="2:39">
      <c r="B43" s="11" t="s">
        <v>77</v>
      </c>
      <c r="C43" s="12" t="s">
        <v>78</v>
      </c>
      <c r="D43" s="21">
        <v>-32268.32</v>
      </c>
      <c r="I43" s="99" t="s">
        <v>67</v>
      </c>
      <c r="J43" s="98" t="s">
        <v>68</v>
      </c>
      <c r="K43" s="108">
        <v>94.87</v>
      </c>
      <c r="N43" s="99" t="s">
        <v>351</v>
      </c>
      <c r="O43" s="98" t="s">
        <v>352</v>
      </c>
      <c r="P43" s="110">
        <v>600</v>
      </c>
      <c r="S43" s="99" t="s">
        <v>351</v>
      </c>
      <c r="T43" s="98" t="s">
        <v>352</v>
      </c>
      <c r="U43" s="108">
        <v>600</v>
      </c>
      <c r="Y43" s="99" t="s">
        <v>351</v>
      </c>
      <c r="Z43" s="98" t="s">
        <v>352</v>
      </c>
      <c r="AA43" s="108">
        <v>-300</v>
      </c>
      <c r="AE43" s="99" t="s">
        <v>67</v>
      </c>
      <c r="AF43" s="98" t="s">
        <v>68</v>
      </c>
      <c r="AG43" s="108">
        <v>-547</v>
      </c>
      <c r="AK43" s="99" t="s">
        <v>67</v>
      </c>
      <c r="AL43" s="98" t="s">
        <v>68</v>
      </c>
      <c r="AM43" s="108">
        <v>-1442.13</v>
      </c>
    </row>
    <row r="44" spans="2:39">
      <c r="B44" s="11" t="s">
        <v>79</v>
      </c>
      <c r="C44" s="12" t="s">
        <v>80</v>
      </c>
      <c r="D44" s="20">
        <v>-73073.94</v>
      </c>
      <c r="I44" s="99" t="s">
        <v>351</v>
      </c>
      <c r="J44" s="98" t="s">
        <v>352</v>
      </c>
      <c r="K44" s="108">
        <v>600</v>
      </c>
      <c r="N44" s="99" t="s">
        <v>69</v>
      </c>
      <c r="O44" s="98" t="s">
        <v>70</v>
      </c>
      <c r="P44" s="110">
        <v>-238944.91</v>
      </c>
      <c r="S44" s="99" t="s">
        <v>69</v>
      </c>
      <c r="T44" s="98" t="s">
        <v>70</v>
      </c>
      <c r="U44" s="108">
        <v>-3560.79</v>
      </c>
      <c r="Y44" s="99" t="s">
        <v>69</v>
      </c>
      <c r="Z44" s="98" t="s">
        <v>70</v>
      </c>
      <c r="AA44" s="108">
        <v>-4695.67</v>
      </c>
      <c r="AE44" s="99" t="s">
        <v>351</v>
      </c>
      <c r="AF44" s="98" t="s">
        <v>352</v>
      </c>
      <c r="AG44" s="108">
        <v>3300</v>
      </c>
      <c r="AK44" s="99" t="s">
        <v>351</v>
      </c>
      <c r="AL44" s="98" t="s">
        <v>352</v>
      </c>
      <c r="AM44" s="108">
        <v>4200</v>
      </c>
    </row>
    <row r="45" spans="2:39">
      <c r="B45" s="11" t="s">
        <v>81</v>
      </c>
      <c r="C45" s="12" t="s">
        <v>82</v>
      </c>
      <c r="D45" s="21">
        <v>-117686.29</v>
      </c>
      <c r="I45" s="99" t="s">
        <v>69</v>
      </c>
      <c r="J45" s="98" t="s">
        <v>70</v>
      </c>
      <c r="K45" s="108">
        <v>-192345.36</v>
      </c>
      <c r="N45" s="99" t="s">
        <v>353</v>
      </c>
      <c r="O45" s="98" t="s">
        <v>354</v>
      </c>
      <c r="P45" s="110">
        <v>-139462</v>
      </c>
      <c r="S45" s="99" t="s">
        <v>353</v>
      </c>
      <c r="T45" s="98" t="s">
        <v>354</v>
      </c>
      <c r="U45" s="108">
        <v>-11666.67</v>
      </c>
      <c r="Y45" s="99" t="s">
        <v>353</v>
      </c>
      <c r="Z45" s="98" t="s">
        <v>354</v>
      </c>
      <c r="AA45" s="108">
        <v>92795.33</v>
      </c>
      <c r="AE45" s="99" t="s">
        <v>69</v>
      </c>
      <c r="AF45" s="98" t="s">
        <v>70</v>
      </c>
      <c r="AG45" s="108">
        <v>-37303.699999999997</v>
      </c>
      <c r="AK45" s="99" t="s">
        <v>69</v>
      </c>
      <c r="AL45" s="98" t="s">
        <v>70</v>
      </c>
      <c r="AM45" s="108">
        <v>-284505.07</v>
      </c>
    </row>
    <row r="46" spans="2:39">
      <c r="B46" s="11" t="s">
        <v>83</v>
      </c>
      <c r="C46" s="12" t="s">
        <v>84</v>
      </c>
      <c r="D46" s="20">
        <v>-75616.320000000007</v>
      </c>
      <c r="I46" s="99" t="s">
        <v>353</v>
      </c>
      <c r="J46" s="98" t="s">
        <v>354</v>
      </c>
      <c r="K46" s="108">
        <v>-104462</v>
      </c>
      <c r="N46" s="99" t="s">
        <v>71</v>
      </c>
      <c r="O46" s="98" t="s">
        <v>72</v>
      </c>
      <c r="P46" s="110">
        <v>-21449.72</v>
      </c>
      <c r="S46" s="99" t="s">
        <v>71</v>
      </c>
      <c r="T46" s="98" t="s">
        <v>72</v>
      </c>
      <c r="U46" s="108">
        <v>-1428.43</v>
      </c>
      <c r="Y46" s="99" t="s">
        <v>71</v>
      </c>
      <c r="Z46" s="98" t="s">
        <v>72</v>
      </c>
      <c r="AA46" s="108">
        <v>-2084.7199999999998</v>
      </c>
      <c r="AE46" s="99" t="s">
        <v>353</v>
      </c>
      <c r="AF46" s="98" t="s">
        <v>354</v>
      </c>
      <c r="AG46" s="108">
        <v>-16503.759999999998</v>
      </c>
      <c r="AK46" s="99" t="s">
        <v>353</v>
      </c>
      <c r="AL46" s="98" t="s">
        <v>354</v>
      </c>
      <c r="AM46" s="108">
        <v>-74837.100000000006</v>
      </c>
    </row>
    <row r="47" spans="2:39">
      <c r="B47" s="11" t="s">
        <v>85</v>
      </c>
      <c r="C47" s="12" t="s">
        <v>86</v>
      </c>
      <c r="D47" s="21">
        <v>-2902.1</v>
      </c>
      <c r="I47" s="99" t="s">
        <v>71</v>
      </c>
      <c r="J47" s="98" t="s">
        <v>72</v>
      </c>
      <c r="K47" s="108">
        <v>-15173.39</v>
      </c>
      <c r="N47" s="99" t="s">
        <v>73</v>
      </c>
      <c r="O47" s="98" t="s">
        <v>74</v>
      </c>
      <c r="P47" s="110">
        <v>-70000</v>
      </c>
      <c r="S47" s="99" t="s">
        <v>73</v>
      </c>
      <c r="T47" s="98" t="s">
        <v>74</v>
      </c>
      <c r="U47" s="108">
        <v>0</v>
      </c>
      <c r="Y47" s="99" t="s">
        <v>73</v>
      </c>
      <c r="Z47" s="98" t="s">
        <v>74</v>
      </c>
      <c r="AA47" s="108">
        <v>-5000</v>
      </c>
      <c r="AE47" s="99" t="s">
        <v>71</v>
      </c>
      <c r="AF47" s="98" t="s">
        <v>72</v>
      </c>
      <c r="AG47" s="108">
        <v>-2503.35</v>
      </c>
      <c r="AK47" s="99" t="s">
        <v>71</v>
      </c>
      <c r="AL47" s="98" t="s">
        <v>72</v>
      </c>
      <c r="AM47" s="108">
        <v>-27466.22</v>
      </c>
    </row>
    <row r="48" spans="2:39">
      <c r="B48" s="11" t="s">
        <v>87</v>
      </c>
      <c r="C48" s="12" t="s">
        <v>88</v>
      </c>
      <c r="D48" s="21">
        <v>-73500</v>
      </c>
      <c r="I48" s="99" t="s">
        <v>73</v>
      </c>
      <c r="J48" s="98" t="s">
        <v>74</v>
      </c>
      <c r="K48" s="108">
        <v>-50000</v>
      </c>
      <c r="N48" s="99" t="s">
        <v>75</v>
      </c>
      <c r="O48" s="98" t="s">
        <v>76</v>
      </c>
      <c r="P48" s="110">
        <v>-141292.54</v>
      </c>
      <c r="S48" s="99" t="s">
        <v>75</v>
      </c>
      <c r="T48" s="98" t="s">
        <v>76</v>
      </c>
      <c r="U48" s="108">
        <v>-791.94</v>
      </c>
      <c r="Y48" s="99" t="s">
        <v>75</v>
      </c>
      <c r="Z48" s="98" t="s">
        <v>76</v>
      </c>
      <c r="AA48" s="108">
        <v>8147.63</v>
      </c>
      <c r="AE48" s="99" t="s">
        <v>73</v>
      </c>
      <c r="AF48" s="98" t="s">
        <v>74</v>
      </c>
      <c r="AG48" s="108">
        <v>-5000</v>
      </c>
      <c r="AK48" s="99" t="s">
        <v>73</v>
      </c>
      <c r="AL48" s="98" t="s">
        <v>74</v>
      </c>
      <c r="AM48" s="108">
        <v>-80000</v>
      </c>
    </row>
    <row r="49" spans="2:39">
      <c r="B49" s="11" t="s">
        <v>355</v>
      </c>
      <c r="C49" s="12" t="s">
        <v>356</v>
      </c>
      <c r="D49" s="21" t="s">
        <v>15</v>
      </c>
      <c r="I49" s="99" t="s">
        <v>75</v>
      </c>
      <c r="J49" s="98" t="s">
        <v>76</v>
      </c>
      <c r="K49" s="108">
        <v>-163238.09</v>
      </c>
      <c r="N49" s="99" t="s">
        <v>597</v>
      </c>
      <c r="O49" s="98" t="s">
        <v>598</v>
      </c>
      <c r="P49" s="110">
        <v>0</v>
      </c>
      <c r="S49" s="99" t="s">
        <v>597</v>
      </c>
      <c r="T49" s="98" t="s">
        <v>598</v>
      </c>
      <c r="U49" s="108">
        <v>0</v>
      </c>
      <c r="Y49" s="99" t="s">
        <v>597</v>
      </c>
      <c r="Z49" s="98" t="s">
        <v>598</v>
      </c>
      <c r="AA49" s="108">
        <v>0</v>
      </c>
      <c r="AE49" s="99" t="s">
        <v>75</v>
      </c>
      <c r="AF49" s="98" t="s">
        <v>76</v>
      </c>
      <c r="AG49" s="108">
        <v>3735.21</v>
      </c>
      <c r="AK49" s="99" t="s">
        <v>75</v>
      </c>
      <c r="AL49" s="98" t="s">
        <v>76</v>
      </c>
      <c r="AM49" s="108">
        <v>-130201.64</v>
      </c>
    </row>
    <row r="50" spans="2:39">
      <c r="B50" s="11" t="s">
        <v>357</v>
      </c>
      <c r="C50" s="12" t="s">
        <v>358</v>
      </c>
      <c r="D50" s="21">
        <v>-2064.48</v>
      </c>
      <c r="I50" s="99" t="s">
        <v>597</v>
      </c>
      <c r="J50" s="98" t="s">
        <v>598</v>
      </c>
      <c r="K50" s="108">
        <v>3064</v>
      </c>
      <c r="N50" s="99" t="s">
        <v>77</v>
      </c>
      <c r="O50" s="98" t="s">
        <v>78</v>
      </c>
      <c r="P50" s="110">
        <v>-40404.18</v>
      </c>
      <c r="S50" s="99" t="s">
        <v>77</v>
      </c>
      <c r="T50" s="98" t="s">
        <v>78</v>
      </c>
      <c r="U50" s="108">
        <v>-5242.07</v>
      </c>
      <c r="Y50" s="99" t="s">
        <v>77</v>
      </c>
      <c r="Z50" s="98" t="s">
        <v>78</v>
      </c>
      <c r="AA50" s="108">
        <v>-5160.16</v>
      </c>
      <c r="AE50" s="99" t="s">
        <v>597</v>
      </c>
      <c r="AF50" s="98" t="s">
        <v>598</v>
      </c>
      <c r="AG50" s="108">
        <v>0</v>
      </c>
      <c r="AK50" s="99" t="s">
        <v>597</v>
      </c>
      <c r="AL50" s="98" t="s">
        <v>598</v>
      </c>
      <c r="AM50" s="108">
        <v>0</v>
      </c>
    </row>
    <row r="51" spans="2:39">
      <c r="B51" s="11" t="s">
        <v>359</v>
      </c>
      <c r="C51" s="12" t="s">
        <v>360</v>
      </c>
      <c r="D51" s="21">
        <v>-25393</v>
      </c>
      <c r="I51" s="99" t="s">
        <v>77</v>
      </c>
      <c r="J51" s="98" t="s">
        <v>78</v>
      </c>
      <c r="K51" s="108">
        <v>-42968</v>
      </c>
      <c r="N51" s="99" t="s">
        <v>657</v>
      </c>
      <c r="O51" s="98" t="s">
        <v>658</v>
      </c>
      <c r="P51" s="110">
        <v>-2362.2399999999998</v>
      </c>
      <c r="S51" s="99" t="s">
        <v>657</v>
      </c>
      <c r="T51" s="98" t="s">
        <v>658</v>
      </c>
      <c r="U51" s="108">
        <v>-5538.33</v>
      </c>
      <c r="Y51" s="99" t="s">
        <v>657</v>
      </c>
      <c r="Z51" s="98" t="s">
        <v>658</v>
      </c>
      <c r="AA51" s="108">
        <v>19596.169999999998</v>
      </c>
      <c r="AE51" s="99" t="s">
        <v>77</v>
      </c>
      <c r="AF51" s="98" t="s">
        <v>78</v>
      </c>
      <c r="AG51" s="108">
        <v>2841.57</v>
      </c>
      <c r="AK51" s="99" t="s">
        <v>77</v>
      </c>
      <c r="AL51" s="98" t="s">
        <v>78</v>
      </c>
      <c r="AM51" s="108">
        <v>-26046.75</v>
      </c>
    </row>
    <row r="52" spans="2:39">
      <c r="B52" s="11" t="s">
        <v>89</v>
      </c>
      <c r="C52" s="12" t="s">
        <v>90</v>
      </c>
      <c r="D52" s="21" t="s">
        <v>15</v>
      </c>
      <c r="I52" s="99" t="s">
        <v>79</v>
      </c>
      <c r="J52" s="98" t="s">
        <v>80</v>
      </c>
      <c r="K52" s="108">
        <v>-78944.539999999994</v>
      </c>
      <c r="N52" s="99" t="s">
        <v>79</v>
      </c>
      <c r="O52" s="98" t="s">
        <v>80</v>
      </c>
      <c r="P52" s="110">
        <v>-78944.539999999994</v>
      </c>
      <c r="S52" s="99" t="s">
        <v>682</v>
      </c>
      <c r="T52" s="98" t="s">
        <v>683</v>
      </c>
      <c r="U52" s="108">
        <v>-2511.54</v>
      </c>
      <c r="Y52" s="99" t="s">
        <v>682</v>
      </c>
      <c r="Z52" s="98" t="s">
        <v>683</v>
      </c>
      <c r="AA52" s="108">
        <v>-3110.67</v>
      </c>
      <c r="AE52" s="99" t="s">
        <v>79</v>
      </c>
      <c r="AF52" s="98" t="s">
        <v>80</v>
      </c>
      <c r="AG52" s="108">
        <v>0</v>
      </c>
      <c r="AK52" s="99" t="s">
        <v>657</v>
      </c>
      <c r="AL52" s="98" t="s">
        <v>658</v>
      </c>
      <c r="AM52" s="108">
        <v>-1223.8699999999999</v>
      </c>
    </row>
    <row r="53" spans="2:39">
      <c r="B53" s="11" t="s">
        <v>91</v>
      </c>
      <c r="C53" s="12" t="s">
        <v>92</v>
      </c>
      <c r="D53" s="20">
        <v>-14468</v>
      </c>
      <c r="I53" s="99" t="s">
        <v>81</v>
      </c>
      <c r="J53" s="98" t="s">
        <v>82</v>
      </c>
      <c r="K53" s="108">
        <v>-64453.3</v>
      </c>
      <c r="N53" s="99" t="s">
        <v>81</v>
      </c>
      <c r="O53" s="98" t="s">
        <v>82</v>
      </c>
      <c r="P53" s="110">
        <v>-96248.47</v>
      </c>
      <c r="S53" s="99" t="s">
        <v>79</v>
      </c>
      <c r="T53" s="98" t="s">
        <v>80</v>
      </c>
      <c r="U53" s="108">
        <v>0</v>
      </c>
      <c r="Y53" s="99" t="s">
        <v>79</v>
      </c>
      <c r="Z53" s="98" t="s">
        <v>80</v>
      </c>
      <c r="AA53" s="108">
        <v>0</v>
      </c>
      <c r="AE53" s="99" t="s">
        <v>81</v>
      </c>
      <c r="AF53" s="98" t="s">
        <v>82</v>
      </c>
      <c r="AG53" s="108">
        <v>332.54</v>
      </c>
      <c r="AK53" s="99" t="s">
        <v>682</v>
      </c>
      <c r="AL53" s="98" t="s">
        <v>683</v>
      </c>
      <c r="AM53" s="108">
        <v>-14620.83</v>
      </c>
    </row>
    <row r="54" spans="2:39">
      <c r="B54" s="11" t="s">
        <v>93</v>
      </c>
      <c r="C54" s="12" t="s">
        <v>94</v>
      </c>
      <c r="D54" s="21">
        <v>-12556.79</v>
      </c>
      <c r="I54" s="99" t="s">
        <v>83</v>
      </c>
      <c r="J54" s="98" t="s">
        <v>84</v>
      </c>
      <c r="K54" s="108">
        <v>-106066.77</v>
      </c>
      <c r="N54" s="99" t="s">
        <v>83</v>
      </c>
      <c r="O54" s="98" t="s">
        <v>84</v>
      </c>
      <c r="P54" s="110">
        <v>-129366.54</v>
      </c>
      <c r="S54" s="99" t="s">
        <v>81</v>
      </c>
      <c r="T54" s="98" t="s">
        <v>82</v>
      </c>
      <c r="U54" s="108">
        <v>40733.050000000003</v>
      </c>
      <c r="Y54" s="99" t="s">
        <v>81</v>
      </c>
      <c r="Z54" s="98" t="s">
        <v>82</v>
      </c>
      <c r="AA54" s="108">
        <v>3750.03</v>
      </c>
      <c r="AE54" s="99" t="s">
        <v>83</v>
      </c>
      <c r="AF54" s="98" t="s">
        <v>84</v>
      </c>
      <c r="AG54" s="108">
        <v>-18651.86</v>
      </c>
      <c r="AK54" s="99" t="s">
        <v>79</v>
      </c>
      <c r="AL54" s="98" t="s">
        <v>80</v>
      </c>
      <c r="AM54" s="108">
        <v>-78944.539999999994</v>
      </c>
    </row>
    <row r="55" spans="2:39">
      <c r="B55" s="11" t="s">
        <v>95</v>
      </c>
      <c r="C55" s="12" t="s">
        <v>96</v>
      </c>
      <c r="D55" s="20">
        <v>18</v>
      </c>
      <c r="I55" s="99" t="s">
        <v>85</v>
      </c>
      <c r="J55" s="98" t="s">
        <v>86</v>
      </c>
      <c r="K55" s="108">
        <v>-7586.7</v>
      </c>
      <c r="N55" s="99" t="s">
        <v>85</v>
      </c>
      <c r="O55" s="98" t="s">
        <v>86</v>
      </c>
      <c r="P55" s="110">
        <v>-10724.86</v>
      </c>
      <c r="S55" s="99" t="s">
        <v>83</v>
      </c>
      <c r="T55" s="98" t="s">
        <v>84</v>
      </c>
      <c r="U55" s="108">
        <v>-1780.39</v>
      </c>
      <c r="Y55" s="99" t="s">
        <v>83</v>
      </c>
      <c r="Z55" s="98" t="s">
        <v>84</v>
      </c>
      <c r="AA55" s="108">
        <v>-2347.83</v>
      </c>
      <c r="AE55" s="99" t="s">
        <v>85</v>
      </c>
      <c r="AF55" s="98" t="s">
        <v>86</v>
      </c>
      <c r="AG55" s="108">
        <v>-1251.67</v>
      </c>
      <c r="AK55" s="99" t="s">
        <v>81</v>
      </c>
      <c r="AL55" s="98" t="s">
        <v>82</v>
      </c>
      <c r="AM55" s="108">
        <v>-51432.85</v>
      </c>
    </row>
    <row r="56" spans="2:39">
      <c r="B56" s="11" t="s">
        <v>97</v>
      </c>
      <c r="C56" s="12" t="s">
        <v>98</v>
      </c>
      <c r="D56" s="20" t="s">
        <v>15</v>
      </c>
      <c r="I56" s="99" t="s">
        <v>87</v>
      </c>
      <c r="J56" s="98" t="s">
        <v>88</v>
      </c>
      <c r="K56" s="108">
        <v>-25000</v>
      </c>
      <c r="N56" s="99" t="s">
        <v>87</v>
      </c>
      <c r="O56" s="98" t="s">
        <v>88</v>
      </c>
      <c r="P56" s="110">
        <v>-35000</v>
      </c>
      <c r="S56" s="99" t="s">
        <v>85</v>
      </c>
      <c r="T56" s="98" t="s">
        <v>86</v>
      </c>
      <c r="U56" s="108">
        <v>10724.86</v>
      </c>
      <c r="Y56" s="99" t="s">
        <v>85</v>
      </c>
      <c r="Z56" s="98" t="s">
        <v>86</v>
      </c>
      <c r="AA56" s="108">
        <v>-12481.43</v>
      </c>
      <c r="AE56" s="99" t="s">
        <v>87</v>
      </c>
      <c r="AF56" s="98" t="s">
        <v>88</v>
      </c>
      <c r="AG56" s="108">
        <v>-2500</v>
      </c>
      <c r="AK56" s="99" t="s">
        <v>83</v>
      </c>
      <c r="AL56" s="98" t="s">
        <v>84</v>
      </c>
      <c r="AM56" s="108">
        <v>-152146.62</v>
      </c>
    </row>
    <row r="57" spans="2:39">
      <c r="B57" s="11" t="s">
        <v>99</v>
      </c>
      <c r="C57" s="12" t="s">
        <v>100</v>
      </c>
      <c r="D57" s="20">
        <v>28611.45</v>
      </c>
      <c r="I57" s="99" t="s">
        <v>355</v>
      </c>
      <c r="J57" s="98" t="s">
        <v>356</v>
      </c>
      <c r="K57" s="108">
        <v>-8357</v>
      </c>
      <c r="N57" s="99" t="s">
        <v>355</v>
      </c>
      <c r="O57" s="98" t="s">
        <v>356</v>
      </c>
      <c r="P57" s="110">
        <v>-8357</v>
      </c>
      <c r="S57" s="99" t="s">
        <v>87</v>
      </c>
      <c r="T57" s="98" t="s">
        <v>88</v>
      </c>
      <c r="U57" s="108">
        <v>-11439.07</v>
      </c>
      <c r="Y57" s="99" t="s">
        <v>87</v>
      </c>
      <c r="Z57" s="98" t="s">
        <v>88</v>
      </c>
      <c r="AA57" s="108">
        <v>8939.07</v>
      </c>
      <c r="AE57" s="99" t="s">
        <v>355</v>
      </c>
      <c r="AF57" s="98" t="s">
        <v>356</v>
      </c>
      <c r="AG57" s="108">
        <v>0</v>
      </c>
      <c r="AK57" s="99" t="s">
        <v>85</v>
      </c>
      <c r="AL57" s="98" t="s">
        <v>86</v>
      </c>
      <c r="AM57" s="108">
        <v>-13733.1</v>
      </c>
    </row>
    <row r="58" spans="2:39">
      <c r="B58" s="11" t="s">
        <v>361</v>
      </c>
      <c r="C58" s="12" t="s">
        <v>362</v>
      </c>
      <c r="D58" s="21" t="s">
        <v>15</v>
      </c>
      <c r="I58" s="99" t="s">
        <v>357</v>
      </c>
      <c r="J58" s="98" t="s">
        <v>358</v>
      </c>
      <c r="K58" s="108">
        <v>0</v>
      </c>
      <c r="N58" s="99" t="s">
        <v>357</v>
      </c>
      <c r="O58" s="98" t="s">
        <v>358</v>
      </c>
      <c r="P58" s="110">
        <v>-2946.06</v>
      </c>
      <c r="S58" s="99" t="s">
        <v>355</v>
      </c>
      <c r="T58" s="98" t="s">
        <v>356</v>
      </c>
      <c r="U58" s="108">
        <v>0</v>
      </c>
      <c r="Y58" s="99" t="s">
        <v>355</v>
      </c>
      <c r="Z58" s="98" t="s">
        <v>356</v>
      </c>
      <c r="AA58" s="108">
        <v>8357</v>
      </c>
      <c r="AE58" s="99" t="s">
        <v>357</v>
      </c>
      <c r="AF58" s="98" t="s">
        <v>358</v>
      </c>
      <c r="AG58" s="108">
        <v>-14009.87</v>
      </c>
      <c r="AK58" s="99" t="s">
        <v>87</v>
      </c>
      <c r="AL58" s="98" t="s">
        <v>88</v>
      </c>
      <c r="AM58" s="108">
        <v>-40000</v>
      </c>
    </row>
    <row r="59" spans="2:39">
      <c r="B59" s="11" t="s">
        <v>101</v>
      </c>
      <c r="C59" s="12" t="s">
        <v>102</v>
      </c>
      <c r="D59" s="21">
        <v>27.03</v>
      </c>
      <c r="I59" s="99" t="s">
        <v>359</v>
      </c>
      <c r="J59" s="98" t="s">
        <v>360</v>
      </c>
      <c r="K59" s="108">
        <v>-10132</v>
      </c>
      <c r="N59" s="99" t="s">
        <v>359</v>
      </c>
      <c r="O59" s="98" t="s">
        <v>360</v>
      </c>
      <c r="P59" s="110">
        <v>4868</v>
      </c>
      <c r="S59" s="99" t="s">
        <v>357</v>
      </c>
      <c r="T59" s="98" t="s">
        <v>358</v>
      </c>
      <c r="U59" s="108">
        <v>0</v>
      </c>
      <c r="Y59" s="99" t="s">
        <v>357</v>
      </c>
      <c r="Z59" s="98" t="s">
        <v>358</v>
      </c>
      <c r="AA59" s="108">
        <v>0</v>
      </c>
      <c r="AE59" s="99" t="s">
        <v>359</v>
      </c>
      <c r="AF59" s="98" t="s">
        <v>360</v>
      </c>
      <c r="AG59" s="108">
        <v>-22075.919999999998</v>
      </c>
      <c r="AK59" s="99" t="s">
        <v>355</v>
      </c>
      <c r="AL59" s="98" t="s">
        <v>356</v>
      </c>
      <c r="AM59" s="108">
        <v>0</v>
      </c>
    </row>
    <row r="60" spans="2:39">
      <c r="B60" s="11" t="s">
        <v>103</v>
      </c>
      <c r="C60" s="12" t="s">
        <v>104</v>
      </c>
      <c r="D60" s="21">
        <v>19.149999999999999</v>
      </c>
      <c r="I60" s="99" t="s">
        <v>89</v>
      </c>
      <c r="J60" s="98" t="s">
        <v>90</v>
      </c>
      <c r="K60" s="108">
        <v>0</v>
      </c>
      <c r="N60" s="99" t="s">
        <v>93</v>
      </c>
      <c r="O60" s="98" t="s">
        <v>94</v>
      </c>
      <c r="P60" s="110">
        <v>-37370.82</v>
      </c>
      <c r="S60" s="99" t="s">
        <v>359</v>
      </c>
      <c r="T60" s="98" t="s">
        <v>360</v>
      </c>
      <c r="U60" s="108">
        <v>0</v>
      </c>
      <c r="Y60" s="99" t="s">
        <v>359</v>
      </c>
      <c r="Z60" s="98" t="s">
        <v>360</v>
      </c>
      <c r="AA60" s="108">
        <v>-34200</v>
      </c>
      <c r="AE60" s="99" t="s">
        <v>93</v>
      </c>
      <c r="AF60" s="98" t="s">
        <v>94</v>
      </c>
      <c r="AG60" s="108">
        <v>-24723.45</v>
      </c>
      <c r="AK60" s="99" t="s">
        <v>357</v>
      </c>
      <c r="AL60" s="98" t="s">
        <v>358</v>
      </c>
      <c r="AM60" s="108">
        <v>-16955.93</v>
      </c>
    </row>
    <row r="61" spans="2:39">
      <c r="B61" s="11" t="s">
        <v>105</v>
      </c>
      <c r="C61" s="12" t="s">
        <v>106</v>
      </c>
      <c r="D61" s="21">
        <v>-414490.94</v>
      </c>
      <c r="I61" s="99" t="s">
        <v>91</v>
      </c>
      <c r="J61" s="98" t="s">
        <v>92</v>
      </c>
      <c r="K61" s="108">
        <v>0</v>
      </c>
      <c r="N61" s="99" t="s">
        <v>95</v>
      </c>
      <c r="O61" s="98" t="s">
        <v>96</v>
      </c>
      <c r="P61" s="110">
        <v>0</v>
      </c>
      <c r="S61" s="99" t="s">
        <v>93</v>
      </c>
      <c r="T61" s="98" t="s">
        <v>94</v>
      </c>
      <c r="U61" s="108">
        <v>-21694.41</v>
      </c>
      <c r="Y61" s="99" t="s">
        <v>93</v>
      </c>
      <c r="Z61" s="98" t="s">
        <v>94</v>
      </c>
      <c r="AA61" s="108">
        <v>28677.759999999998</v>
      </c>
      <c r="AE61" s="99" t="s">
        <v>95</v>
      </c>
      <c r="AF61" s="98" t="s">
        <v>96</v>
      </c>
      <c r="AG61" s="108">
        <v>0</v>
      </c>
      <c r="AK61" s="99" t="s">
        <v>359</v>
      </c>
      <c r="AL61" s="98" t="s">
        <v>360</v>
      </c>
      <c r="AM61" s="108">
        <v>-51407.92</v>
      </c>
    </row>
    <row r="62" spans="2:39">
      <c r="B62" s="11" t="s">
        <v>107</v>
      </c>
      <c r="C62" s="12" t="s">
        <v>108</v>
      </c>
      <c r="D62" s="21">
        <v>24201.71</v>
      </c>
      <c r="I62" s="99" t="s">
        <v>93</v>
      </c>
      <c r="J62" s="98" t="s">
        <v>94</v>
      </c>
      <c r="K62" s="108">
        <v>-42488.08</v>
      </c>
      <c r="N62" s="99" t="s">
        <v>99</v>
      </c>
      <c r="O62" s="98" t="s">
        <v>100</v>
      </c>
      <c r="P62" s="110">
        <v>56032.85</v>
      </c>
      <c r="S62" s="99" t="s">
        <v>95</v>
      </c>
      <c r="T62" s="98" t="s">
        <v>96</v>
      </c>
      <c r="U62" s="108">
        <v>0</v>
      </c>
      <c r="Y62" s="99" t="s">
        <v>95</v>
      </c>
      <c r="Z62" s="98" t="s">
        <v>96</v>
      </c>
      <c r="AA62" s="108">
        <v>0</v>
      </c>
      <c r="AE62" s="99" t="s">
        <v>99</v>
      </c>
      <c r="AF62" s="98" t="s">
        <v>100</v>
      </c>
      <c r="AG62" s="108">
        <v>1734.04</v>
      </c>
      <c r="AK62" s="99" t="s">
        <v>93</v>
      </c>
      <c r="AL62" s="98" t="s">
        <v>94</v>
      </c>
      <c r="AM62" s="108">
        <v>-55110.92</v>
      </c>
    </row>
    <row r="63" spans="2:39">
      <c r="B63" s="11" t="s">
        <v>109</v>
      </c>
      <c r="C63" s="12" t="s">
        <v>110</v>
      </c>
      <c r="D63" s="20">
        <v>-1441.34</v>
      </c>
      <c r="I63" s="99" t="s">
        <v>95</v>
      </c>
      <c r="J63" s="98" t="s">
        <v>96</v>
      </c>
      <c r="K63" s="108">
        <v>0</v>
      </c>
      <c r="N63" s="99" t="s">
        <v>101</v>
      </c>
      <c r="O63" s="98" t="s">
        <v>102</v>
      </c>
      <c r="P63" s="110">
        <v>0</v>
      </c>
      <c r="S63" s="99" t="s">
        <v>99</v>
      </c>
      <c r="T63" s="98" t="s">
        <v>100</v>
      </c>
      <c r="U63" s="108">
        <v>1154.3800000000001</v>
      </c>
      <c r="Y63" s="99" t="s">
        <v>99</v>
      </c>
      <c r="Z63" s="98" t="s">
        <v>100</v>
      </c>
      <c r="AA63" s="108">
        <v>-841.07</v>
      </c>
      <c r="AE63" s="99" t="s">
        <v>101</v>
      </c>
      <c r="AF63" s="98" t="s">
        <v>102</v>
      </c>
      <c r="AG63" s="108">
        <v>0</v>
      </c>
      <c r="AK63" s="99" t="s">
        <v>95</v>
      </c>
      <c r="AL63" s="98" t="s">
        <v>96</v>
      </c>
      <c r="AM63" s="108">
        <v>0</v>
      </c>
    </row>
    <row r="64" spans="2:39">
      <c r="B64" s="11" t="s">
        <v>111</v>
      </c>
      <c r="C64" s="12" t="s">
        <v>112</v>
      </c>
      <c r="D64" s="20">
        <v>-159926.6</v>
      </c>
      <c r="I64" s="99" t="s">
        <v>97</v>
      </c>
      <c r="J64" s="98" t="s">
        <v>98</v>
      </c>
      <c r="K64" s="108">
        <v>0</v>
      </c>
      <c r="N64" s="99" t="s">
        <v>103</v>
      </c>
      <c r="O64" s="98" t="s">
        <v>104</v>
      </c>
      <c r="P64" s="110">
        <v>-94.55</v>
      </c>
      <c r="S64" s="99" t="s">
        <v>101</v>
      </c>
      <c r="T64" s="98" t="s">
        <v>102</v>
      </c>
      <c r="U64" s="108">
        <v>0.53</v>
      </c>
      <c r="Y64" s="99" t="s">
        <v>101</v>
      </c>
      <c r="Z64" s="98" t="s">
        <v>102</v>
      </c>
      <c r="AA64" s="108">
        <v>0</v>
      </c>
      <c r="AE64" s="99" t="s">
        <v>103</v>
      </c>
      <c r="AF64" s="98" t="s">
        <v>104</v>
      </c>
      <c r="AG64" s="108">
        <v>-6.93</v>
      </c>
      <c r="AK64" s="99" t="s">
        <v>99</v>
      </c>
      <c r="AL64" s="98" t="s">
        <v>100</v>
      </c>
      <c r="AM64" s="108">
        <v>58080.2</v>
      </c>
    </row>
    <row r="65" spans="2:39">
      <c r="B65" s="11" t="s">
        <v>113</v>
      </c>
      <c r="C65" s="12" t="s">
        <v>114</v>
      </c>
      <c r="D65" s="21">
        <v>-11775.61</v>
      </c>
      <c r="I65" s="99" t="s">
        <v>99</v>
      </c>
      <c r="J65" s="98" t="s">
        <v>100</v>
      </c>
      <c r="K65" s="108">
        <v>61147.9</v>
      </c>
      <c r="N65" s="99" t="s">
        <v>105</v>
      </c>
      <c r="O65" s="98" t="s">
        <v>106</v>
      </c>
      <c r="P65" s="110">
        <v>-463511.34</v>
      </c>
      <c r="S65" s="99" t="s">
        <v>103</v>
      </c>
      <c r="T65" s="98" t="s">
        <v>104</v>
      </c>
      <c r="U65" s="108">
        <v>46.62</v>
      </c>
      <c r="Y65" s="99" t="s">
        <v>103</v>
      </c>
      <c r="Z65" s="98" t="s">
        <v>104</v>
      </c>
      <c r="AA65" s="108">
        <v>54.86</v>
      </c>
      <c r="AE65" s="99" t="s">
        <v>105</v>
      </c>
      <c r="AF65" s="98" t="s">
        <v>106</v>
      </c>
      <c r="AG65" s="108">
        <v>-68113.240000000005</v>
      </c>
      <c r="AK65" s="99" t="s">
        <v>101</v>
      </c>
      <c r="AL65" s="98" t="s">
        <v>102</v>
      </c>
      <c r="AM65" s="108">
        <v>0.53</v>
      </c>
    </row>
    <row r="66" spans="2:39">
      <c r="B66" s="11" t="s">
        <v>115</v>
      </c>
      <c r="C66" s="12" t="s">
        <v>116</v>
      </c>
      <c r="D66" s="21">
        <v>-2184.5</v>
      </c>
      <c r="I66" s="99" t="s">
        <v>101</v>
      </c>
      <c r="J66" s="98" t="s">
        <v>102</v>
      </c>
      <c r="K66" s="108">
        <v>27.03</v>
      </c>
      <c r="N66" s="99" t="s">
        <v>107</v>
      </c>
      <c r="O66" s="98" t="s">
        <v>108</v>
      </c>
      <c r="P66" s="110">
        <v>22864.73</v>
      </c>
      <c r="S66" s="99" t="s">
        <v>105</v>
      </c>
      <c r="T66" s="98" t="s">
        <v>106</v>
      </c>
      <c r="U66" s="108">
        <v>-54574.31</v>
      </c>
      <c r="Y66" s="99" t="s">
        <v>105</v>
      </c>
      <c r="Z66" s="98" t="s">
        <v>106</v>
      </c>
      <c r="AA66" s="108">
        <v>-15482.47</v>
      </c>
      <c r="AE66" s="99" t="s">
        <v>107</v>
      </c>
      <c r="AF66" s="98" t="s">
        <v>108</v>
      </c>
      <c r="AG66" s="108">
        <v>1076.08</v>
      </c>
      <c r="AK66" s="99" t="s">
        <v>103</v>
      </c>
      <c r="AL66" s="98" t="s">
        <v>104</v>
      </c>
      <c r="AM66" s="108">
        <v>0</v>
      </c>
    </row>
    <row r="67" spans="2:39">
      <c r="B67" s="11" t="s">
        <v>117</v>
      </c>
      <c r="C67" s="12" t="s">
        <v>118</v>
      </c>
      <c r="D67" s="21">
        <v>-60449.86</v>
      </c>
      <c r="I67" s="99" t="s">
        <v>103</v>
      </c>
      <c r="J67" s="98" t="s">
        <v>104</v>
      </c>
      <c r="K67" s="108">
        <v>0</v>
      </c>
      <c r="N67" s="99" t="s">
        <v>109</v>
      </c>
      <c r="O67" s="98" t="s">
        <v>110</v>
      </c>
      <c r="P67" s="110">
        <v>-1441.34</v>
      </c>
      <c r="S67" s="99" t="s">
        <v>107</v>
      </c>
      <c r="T67" s="98" t="s">
        <v>108</v>
      </c>
      <c r="U67" s="108">
        <v>1075.3499999999999</v>
      </c>
      <c r="Y67" s="99" t="s">
        <v>107</v>
      </c>
      <c r="Z67" s="98" t="s">
        <v>108</v>
      </c>
      <c r="AA67" s="108">
        <v>1806.2</v>
      </c>
      <c r="AE67" s="99" t="s">
        <v>109</v>
      </c>
      <c r="AF67" s="98" t="s">
        <v>110</v>
      </c>
      <c r="AG67" s="108">
        <v>0</v>
      </c>
      <c r="AK67" s="99" t="s">
        <v>105</v>
      </c>
      <c r="AL67" s="98" t="s">
        <v>106</v>
      </c>
      <c r="AM67" s="108">
        <v>-601681.36</v>
      </c>
    </row>
    <row r="68" spans="2:39">
      <c r="B68" s="11" t="s">
        <v>363</v>
      </c>
      <c r="C68" s="12" t="s">
        <v>364</v>
      </c>
      <c r="D68" s="21">
        <v>-15396</v>
      </c>
      <c r="I68" s="99" t="s">
        <v>105</v>
      </c>
      <c r="J68" s="98" t="s">
        <v>106</v>
      </c>
      <c r="K68" s="108">
        <v>-569479.81999999995</v>
      </c>
      <c r="N68" s="99" t="s">
        <v>599</v>
      </c>
      <c r="O68" s="98" t="s">
        <v>600</v>
      </c>
      <c r="P68" s="110">
        <v>-10107.75</v>
      </c>
      <c r="S68" s="99" t="s">
        <v>109</v>
      </c>
      <c r="T68" s="98" t="s">
        <v>110</v>
      </c>
      <c r="U68" s="108">
        <v>0</v>
      </c>
      <c r="Y68" s="99" t="s">
        <v>109</v>
      </c>
      <c r="Z68" s="98" t="s">
        <v>110</v>
      </c>
      <c r="AA68" s="108">
        <v>0</v>
      </c>
      <c r="AE68" s="99" t="s">
        <v>599</v>
      </c>
      <c r="AF68" s="98" t="s">
        <v>600</v>
      </c>
      <c r="AG68" s="108">
        <v>0</v>
      </c>
      <c r="AK68" s="99" t="s">
        <v>107</v>
      </c>
      <c r="AL68" s="98" t="s">
        <v>108</v>
      </c>
      <c r="AM68" s="108">
        <v>23022.36</v>
      </c>
    </row>
    <row r="69" spans="2:39">
      <c r="B69" s="11" t="s">
        <v>119</v>
      </c>
      <c r="C69" s="12" t="s">
        <v>120</v>
      </c>
      <c r="D69" s="20">
        <v>1167</v>
      </c>
      <c r="I69" s="99" t="s">
        <v>107</v>
      </c>
      <c r="J69" s="98" t="s">
        <v>108</v>
      </c>
      <c r="K69" s="108">
        <v>21322.65</v>
      </c>
      <c r="N69" s="99" t="s">
        <v>111</v>
      </c>
      <c r="O69" s="98" t="s">
        <v>112</v>
      </c>
      <c r="P69" s="110">
        <v>-206445.41</v>
      </c>
      <c r="S69" s="99" t="s">
        <v>599</v>
      </c>
      <c r="T69" s="98" t="s">
        <v>600</v>
      </c>
      <c r="U69" s="108">
        <v>0</v>
      </c>
      <c r="Y69" s="99" t="s">
        <v>599</v>
      </c>
      <c r="Z69" s="98" t="s">
        <v>600</v>
      </c>
      <c r="AA69" s="108">
        <v>0</v>
      </c>
      <c r="AE69" s="99" t="s">
        <v>111</v>
      </c>
      <c r="AF69" s="98" t="s">
        <v>112</v>
      </c>
      <c r="AG69" s="108">
        <v>61322.89</v>
      </c>
      <c r="AK69" s="99" t="s">
        <v>109</v>
      </c>
      <c r="AL69" s="98" t="s">
        <v>110</v>
      </c>
      <c r="AM69" s="108">
        <v>-1441.34</v>
      </c>
    </row>
    <row r="70" spans="2:39">
      <c r="B70" s="11" t="s">
        <v>121</v>
      </c>
      <c r="C70" s="12" t="s">
        <v>122</v>
      </c>
      <c r="D70" s="21">
        <v>-785</v>
      </c>
      <c r="I70" s="99" t="s">
        <v>109</v>
      </c>
      <c r="J70" s="98" t="s">
        <v>110</v>
      </c>
      <c r="K70" s="108">
        <v>-1441.34</v>
      </c>
      <c r="N70" s="99" t="s">
        <v>113</v>
      </c>
      <c r="O70" s="98" t="s">
        <v>114</v>
      </c>
      <c r="P70" s="110">
        <v>-21074.22</v>
      </c>
      <c r="S70" s="99" t="s">
        <v>111</v>
      </c>
      <c r="T70" s="98" t="s">
        <v>112</v>
      </c>
      <c r="U70" s="108">
        <v>46218.04</v>
      </c>
      <c r="Y70" s="99" t="s">
        <v>111</v>
      </c>
      <c r="Z70" s="98" t="s">
        <v>112</v>
      </c>
      <c r="AA70" s="108">
        <v>-29700.39</v>
      </c>
      <c r="AE70" s="99" t="s">
        <v>113</v>
      </c>
      <c r="AF70" s="98" t="s">
        <v>114</v>
      </c>
      <c r="AG70" s="108">
        <v>-1755.2</v>
      </c>
      <c r="AK70" s="99" t="s">
        <v>599</v>
      </c>
      <c r="AL70" s="98" t="s">
        <v>600</v>
      </c>
      <c r="AM70" s="108">
        <v>-10107.75</v>
      </c>
    </row>
    <row r="71" spans="2:39">
      <c r="B71" s="11" t="s">
        <v>123</v>
      </c>
      <c r="C71" s="12" t="s">
        <v>124</v>
      </c>
      <c r="D71" s="21">
        <v>153213.32999999999</v>
      </c>
      <c r="I71" s="99" t="s">
        <v>599</v>
      </c>
      <c r="J71" s="98" t="s">
        <v>600</v>
      </c>
      <c r="K71" s="108">
        <v>-10107.75</v>
      </c>
      <c r="N71" s="99" t="s">
        <v>115</v>
      </c>
      <c r="O71" s="98" t="s">
        <v>116</v>
      </c>
      <c r="P71" s="110">
        <v>-8457.4599999999991</v>
      </c>
      <c r="S71" s="99" t="s">
        <v>113</v>
      </c>
      <c r="T71" s="98" t="s">
        <v>114</v>
      </c>
      <c r="U71" s="108">
        <v>-1932.6</v>
      </c>
      <c r="Y71" s="99" t="s">
        <v>113</v>
      </c>
      <c r="Z71" s="98" t="s">
        <v>114</v>
      </c>
      <c r="AA71" s="108">
        <v>-1809.78</v>
      </c>
      <c r="AE71" s="99" t="s">
        <v>115</v>
      </c>
      <c r="AF71" s="98" t="s">
        <v>116</v>
      </c>
      <c r="AG71" s="108">
        <v>-2581.2600000000002</v>
      </c>
      <c r="AK71" s="99" t="s">
        <v>111</v>
      </c>
      <c r="AL71" s="98" t="s">
        <v>112</v>
      </c>
      <c r="AM71" s="108">
        <v>-128604.87</v>
      </c>
    </row>
    <row r="72" spans="2:39">
      <c r="B72" s="11" t="s">
        <v>125</v>
      </c>
      <c r="C72" s="12" t="s">
        <v>126</v>
      </c>
      <c r="D72" s="21">
        <v>15358.82</v>
      </c>
      <c r="I72" s="99" t="s">
        <v>111</v>
      </c>
      <c r="J72" s="98" t="s">
        <v>112</v>
      </c>
      <c r="K72" s="108">
        <v>-97943.13</v>
      </c>
      <c r="N72" s="99" t="s">
        <v>117</v>
      </c>
      <c r="O72" s="98" t="s">
        <v>118</v>
      </c>
      <c r="P72" s="110">
        <v>-69017.34</v>
      </c>
      <c r="S72" s="99" t="s">
        <v>115</v>
      </c>
      <c r="T72" s="98" t="s">
        <v>116</v>
      </c>
      <c r="U72" s="108">
        <v>-2842.1</v>
      </c>
      <c r="Y72" s="99" t="s">
        <v>115</v>
      </c>
      <c r="Z72" s="98" t="s">
        <v>116</v>
      </c>
      <c r="AA72" s="108">
        <v>-2661.51</v>
      </c>
      <c r="AE72" s="99" t="s">
        <v>117</v>
      </c>
      <c r="AF72" s="98" t="s">
        <v>118</v>
      </c>
      <c r="AG72" s="108">
        <v>-1161.56</v>
      </c>
      <c r="AK72" s="99" t="s">
        <v>113</v>
      </c>
      <c r="AL72" s="98" t="s">
        <v>114</v>
      </c>
      <c r="AM72" s="108">
        <v>-26571.8</v>
      </c>
    </row>
    <row r="73" spans="2:39">
      <c r="B73" s="11" t="s">
        <v>127</v>
      </c>
      <c r="C73" s="12" t="s">
        <v>128</v>
      </c>
      <c r="D73" s="20">
        <v>88708.33</v>
      </c>
      <c r="I73" s="99" t="s">
        <v>113</v>
      </c>
      <c r="J73" s="98" t="s">
        <v>114</v>
      </c>
      <c r="K73" s="108">
        <v>-34677</v>
      </c>
      <c r="N73" s="99" t="s">
        <v>363</v>
      </c>
      <c r="O73" s="98" t="s">
        <v>364</v>
      </c>
      <c r="P73" s="110">
        <v>-10000</v>
      </c>
      <c r="S73" s="99" t="s">
        <v>117</v>
      </c>
      <c r="T73" s="98" t="s">
        <v>118</v>
      </c>
      <c r="U73" s="108">
        <v>-1278.97</v>
      </c>
      <c r="Y73" s="99" t="s">
        <v>117</v>
      </c>
      <c r="Z73" s="98" t="s">
        <v>118</v>
      </c>
      <c r="AA73" s="108">
        <v>-1197.6500000000001</v>
      </c>
      <c r="AE73" s="99" t="s">
        <v>363</v>
      </c>
      <c r="AF73" s="98" t="s">
        <v>364</v>
      </c>
      <c r="AG73" s="108">
        <v>-3333.33</v>
      </c>
      <c r="AK73" s="99" t="s">
        <v>115</v>
      </c>
      <c r="AL73" s="98" t="s">
        <v>116</v>
      </c>
      <c r="AM73" s="108">
        <v>-16542.330000000002</v>
      </c>
    </row>
    <row r="74" spans="2:39">
      <c r="B74" s="11" t="s">
        <v>129</v>
      </c>
      <c r="C74" s="12" t="s">
        <v>130</v>
      </c>
      <c r="D74" s="21" t="s">
        <v>15</v>
      </c>
      <c r="I74" s="99" t="s">
        <v>115</v>
      </c>
      <c r="J74" s="98" t="s">
        <v>116</v>
      </c>
      <c r="K74" s="108">
        <v>-37569.4</v>
      </c>
      <c r="N74" s="99" t="s">
        <v>119</v>
      </c>
      <c r="O74" s="98" t="s">
        <v>120</v>
      </c>
      <c r="P74" s="110">
        <v>0</v>
      </c>
      <c r="S74" s="99" t="s">
        <v>363</v>
      </c>
      <c r="T74" s="98" t="s">
        <v>364</v>
      </c>
      <c r="U74" s="108">
        <v>-3333.33</v>
      </c>
      <c r="Y74" s="99" t="s">
        <v>363</v>
      </c>
      <c r="Z74" s="98" t="s">
        <v>364</v>
      </c>
      <c r="AA74" s="108">
        <v>-3333.33</v>
      </c>
      <c r="AE74" s="99" t="s">
        <v>119</v>
      </c>
      <c r="AF74" s="98" t="s">
        <v>120</v>
      </c>
      <c r="AG74" s="108">
        <v>0</v>
      </c>
      <c r="AK74" s="99" t="s">
        <v>117</v>
      </c>
      <c r="AL74" s="98" t="s">
        <v>118</v>
      </c>
      <c r="AM74" s="108">
        <v>-72655.520000000004</v>
      </c>
    </row>
    <row r="75" spans="2:39">
      <c r="B75" s="11" t="s">
        <v>131</v>
      </c>
      <c r="C75" s="12" t="s">
        <v>132</v>
      </c>
      <c r="D75" s="21">
        <v>-15653.65</v>
      </c>
      <c r="I75" s="99" t="s">
        <v>117</v>
      </c>
      <c r="J75" s="98" t="s">
        <v>118</v>
      </c>
      <c r="K75" s="108">
        <v>-65211.360000000001</v>
      </c>
      <c r="N75" s="99" t="s">
        <v>121</v>
      </c>
      <c r="O75" s="98" t="s">
        <v>122</v>
      </c>
      <c r="P75" s="110">
        <v>-145767.64000000001</v>
      </c>
      <c r="S75" s="99" t="s">
        <v>119</v>
      </c>
      <c r="T75" s="98" t="s">
        <v>120</v>
      </c>
      <c r="U75" s="108">
        <v>0</v>
      </c>
      <c r="Y75" s="99" t="s">
        <v>119</v>
      </c>
      <c r="Z75" s="98" t="s">
        <v>120</v>
      </c>
      <c r="AA75" s="108">
        <v>0</v>
      </c>
      <c r="AE75" s="99" t="s">
        <v>121</v>
      </c>
      <c r="AF75" s="98" t="s">
        <v>122</v>
      </c>
      <c r="AG75" s="108">
        <v>-5276.58</v>
      </c>
      <c r="AK75" s="99" t="s">
        <v>363</v>
      </c>
      <c r="AL75" s="98" t="s">
        <v>364</v>
      </c>
      <c r="AM75" s="108">
        <v>-19999.990000000002</v>
      </c>
    </row>
    <row r="76" spans="2:39">
      <c r="B76" s="11" t="s">
        <v>133</v>
      </c>
      <c r="C76" s="12" t="s">
        <v>134</v>
      </c>
      <c r="D76" s="21">
        <v>14500</v>
      </c>
      <c r="I76" s="99" t="s">
        <v>363</v>
      </c>
      <c r="J76" s="98" t="s">
        <v>364</v>
      </c>
      <c r="K76" s="108">
        <v>-43920</v>
      </c>
      <c r="N76" s="99" t="s">
        <v>123</v>
      </c>
      <c r="O76" s="98" t="s">
        <v>124</v>
      </c>
      <c r="P76" s="110">
        <v>234613.33</v>
      </c>
      <c r="S76" s="99" t="s">
        <v>121</v>
      </c>
      <c r="T76" s="98" t="s">
        <v>122</v>
      </c>
      <c r="U76" s="108">
        <v>-7778.08</v>
      </c>
      <c r="Y76" s="99" t="s">
        <v>121</v>
      </c>
      <c r="Z76" s="98" t="s">
        <v>122</v>
      </c>
      <c r="AA76" s="108">
        <v>-3613.09</v>
      </c>
      <c r="AE76" s="99" t="s">
        <v>123</v>
      </c>
      <c r="AF76" s="98" t="s">
        <v>124</v>
      </c>
      <c r="AG76" s="108">
        <v>17000</v>
      </c>
      <c r="AK76" s="99" t="s">
        <v>119</v>
      </c>
      <c r="AL76" s="98" t="s">
        <v>120</v>
      </c>
      <c r="AM76" s="108">
        <v>0</v>
      </c>
    </row>
    <row r="77" spans="2:39">
      <c r="B77" s="11" t="s">
        <v>135</v>
      </c>
      <c r="C77" s="12" t="s">
        <v>136</v>
      </c>
      <c r="D77" s="21">
        <v>45751.8</v>
      </c>
      <c r="I77" s="99" t="s">
        <v>119</v>
      </c>
      <c r="J77" s="98" t="s">
        <v>120</v>
      </c>
      <c r="K77" s="108">
        <v>-569</v>
      </c>
      <c r="N77" s="99" t="s">
        <v>125</v>
      </c>
      <c r="O77" s="98" t="s">
        <v>126</v>
      </c>
      <c r="P77" s="110">
        <v>273.08999999999997</v>
      </c>
      <c r="S77" s="99" t="s">
        <v>123</v>
      </c>
      <c r="T77" s="98" t="s">
        <v>124</v>
      </c>
      <c r="U77" s="108">
        <v>17000</v>
      </c>
      <c r="Y77" s="99" t="s">
        <v>123</v>
      </c>
      <c r="Z77" s="98" t="s">
        <v>124</v>
      </c>
      <c r="AA77" s="108">
        <v>17000</v>
      </c>
      <c r="AE77" s="99" t="s">
        <v>125</v>
      </c>
      <c r="AF77" s="98" t="s">
        <v>126</v>
      </c>
      <c r="AG77" s="108">
        <v>8282.4599999999991</v>
      </c>
      <c r="AK77" s="99" t="s">
        <v>121</v>
      </c>
      <c r="AL77" s="98" t="s">
        <v>122</v>
      </c>
      <c r="AM77" s="108">
        <v>-162435.39000000001</v>
      </c>
    </row>
    <row r="78" spans="2:39">
      <c r="B78" s="11" t="s">
        <v>137</v>
      </c>
      <c r="C78" s="12" t="s">
        <v>138</v>
      </c>
      <c r="D78" s="21">
        <v>133292.74</v>
      </c>
      <c r="I78" s="99" t="s">
        <v>121</v>
      </c>
      <c r="J78" s="98" t="s">
        <v>122</v>
      </c>
      <c r="K78" s="108">
        <v>-122433.39</v>
      </c>
      <c r="N78" s="99" t="s">
        <v>127</v>
      </c>
      <c r="O78" s="98" t="s">
        <v>128</v>
      </c>
      <c r="P78" s="110">
        <v>106308.33</v>
      </c>
      <c r="S78" s="99" t="s">
        <v>125</v>
      </c>
      <c r="T78" s="98" t="s">
        <v>126</v>
      </c>
      <c r="U78" s="108">
        <v>7698.72</v>
      </c>
      <c r="Y78" s="99" t="s">
        <v>125</v>
      </c>
      <c r="Z78" s="98" t="s">
        <v>126</v>
      </c>
      <c r="AA78" s="108">
        <v>10088.52</v>
      </c>
      <c r="AE78" s="99" t="s">
        <v>127</v>
      </c>
      <c r="AF78" s="98" t="s">
        <v>128</v>
      </c>
      <c r="AG78" s="108">
        <v>0</v>
      </c>
      <c r="AK78" s="99" t="s">
        <v>123</v>
      </c>
      <c r="AL78" s="98" t="s">
        <v>124</v>
      </c>
      <c r="AM78" s="108">
        <v>285613.33</v>
      </c>
    </row>
    <row r="79" spans="2:39">
      <c r="B79" s="11" t="s">
        <v>139</v>
      </c>
      <c r="C79" s="12" t="s">
        <v>140</v>
      </c>
      <c r="D79" s="21">
        <v>180</v>
      </c>
      <c r="I79" s="99" t="s">
        <v>123</v>
      </c>
      <c r="J79" s="98" t="s">
        <v>124</v>
      </c>
      <c r="K79" s="108">
        <v>183613.33</v>
      </c>
      <c r="N79" s="99" t="s">
        <v>601</v>
      </c>
      <c r="O79" s="98" t="s">
        <v>602</v>
      </c>
      <c r="P79" s="110">
        <v>-1439.62</v>
      </c>
      <c r="S79" s="99" t="s">
        <v>127</v>
      </c>
      <c r="T79" s="98" t="s">
        <v>128</v>
      </c>
      <c r="U79" s="108">
        <v>0</v>
      </c>
      <c r="Y79" s="99" t="s">
        <v>127</v>
      </c>
      <c r="Z79" s="98" t="s">
        <v>128</v>
      </c>
      <c r="AA79" s="108">
        <v>0</v>
      </c>
      <c r="AE79" s="99" t="s">
        <v>601</v>
      </c>
      <c r="AF79" s="98" t="s">
        <v>602</v>
      </c>
      <c r="AG79" s="108">
        <v>0</v>
      </c>
      <c r="AK79" s="99" t="s">
        <v>125</v>
      </c>
      <c r="AL79" s="98" t="s">
        <v>126</v>
      </c>
      <c r="AM79" s="108">
        <v>26342.79</v>
      </c>
    </row>
    <row r="80" spans="2:39">
      <c r="B80" s="11" t="s">
        <v>141</v>
      </c>
      <c r="C80" s="12" t="s">
        <v>142</v>
      </c>
      <c r="D80" s="21" t="s">
        <v>15</v>
      </c>
      <c r="I80" s="99" t="s">
        <v>125</v>
      </c>
      <c r="J80" s="98" t="s">
        <v>126</v>
      </c>
      <c r="K80" s="108">
        <v>51240.05</v>
      </c>
      <c r="N80" s="99" t="s">
        <v>129</v>
      </c>
      <c r="O80" s="98" t="s">
        <v>130</v>
      </c>
      <c r="P80" s="110">
        <v>1439.62</v>
      </c>
      <c r="S80" s="99" t="s">
        <v>601</v>
      </c>
      <c r="T80" s="98" t="s">
        <v>602</v>
      </c>
      <c r="U80" s="108">
        <v>0</v>
      </c>
      <c r="Y80" s="99" t="s">
        <v>601</v>
      </c>
      <c r="Z80" s="98" t="s">
        <v>602</v>
      </c>
      <c r="AA80" s="108">
        <v>0</v>
      </c>
      <c r="AE80" s="99" t="s">
        <v>129</v>
      </c>
      <c r="AF80" s="98" t="s">
        <v>130</v>
      </c>
      <c r="AG80" s="108">
        <v>0</v>
      </c>
      <c r="AK80" s="99" t="s">
        <v>127</v>
      </c>
      <c r="AL80" s="98" t="s">
        <v>128</v>
      </c>
      <c r="AM80" s="108">
        <v>106308.33</v>
      </c>
    </row>
    <row r="81" spans="2:39">
      <c r="B81" s="11" t="s">
        <v>143</v>
      </c>
      <c r="C81" s="12" t="s">
        <v>144</v>
      </c>
      <c r="D81" s="21" t="s">
        <v>15</v>
      </c>
      <c r="I81" s="99" t="s">
        <v>127</v>
      </c>
      <c r="J81" s="98" t="s">
        <v>128</v>
      </c>
      <c r="K81" s="108">
        <v>106308.33</v>
      </c>
      <c r="N81" s="99" t="s">
        <v>131</v>
      </c>
      <c r="O81" s="98" t="s">
        <v>132</v>
      </c>
      <c r="P81" s="110">
        <v>5000</v>
      </c>
      <c r="S81" s="99" t="s">
        <v>129</v>
      </c>
      <c r="T81" s="98" t="s">
        <v>130</v>
      </c>
      <c r="U81" s="108">
        <v>0</v>
      </c>
      <c r="Y81" s="99" t="s">
        <v>129</v>
      </c>
      <c r="Z81" s="98" t="s">
        <v>130</v>
      </c>
      <c r="AA81" s="108">
        <v>0</v>
      </c>
      <c r="AE81" s="99" t="s">
        <v>684</v>
      </c>
      <c r="AF81" s="98" t="s">
        <v>685</v>
      </c>
      <c r="AG81" s="108">
        <v>-3000</v>
      </c>
      <c r="AK81" s="99" t="s">
        <v>601</v>
      </c>
      <c r="AL81" s="98" t="s">
        <v>602</v>
      </c>
      <c r="AM81" s="108">
        <v>-1439.62</v>
      </c>
    </row>
    <row r="82" spans="2:39">
      <c r="B82" s="11" t="s">
        <v>145</v>
      </c>
      <c r="C82" s="12" t="s">
        <v>146</v>
      </c>
      <c r="D82" s="21">
        <v>260677.78</v>
      </c>
      <c r="I82" s="99" t="s">
        <v>601</v>
      </c>
      <c r="J82" s="98" t="s">
        <v>602</v>
      </c>
      <c r="K82" s="108">
        <v>-1439.62</v>
      </c>
      <c r="N82" s="99" t="s">
        <v>135</v>
      </c>
      <c r="O82" s="98" t="s">
        <v>136</v>
      </c>
      <c r="P82" s="110">
        <v>68049.91</v>
      </c>
      <c r="S82" s="99" t="s">
        <v>135</v>
      </c>
      <c r="T82" s="98" t="s">
        <v>136</v>
      </c>
      <c r="U82" s="108">
        <v>16944.68</v>
      </c>
      <c r="Y82" s="99" t="s">
        <v>131</v>
      </c>
      <c r="Z82" s="98" t="s">
        <v>132</v>
      </c>
      <c r="AA82" s="108">
        <v>5000</v>
      </c>
      <c r="AE82" s="99" t="s">
        <v>135</v>
      </c>
      <c r="AF82" s="98" t="s">
        <v>136</v>
      </c>
      <c r="AG82" s="108">
        <v>3282.07</v>
      </c>
      <c r="AK82" s="99" t="s">
        <v>129</v>
      </c>
      <c r="AL82" s="98" t="s">
        <v>130</v>
      </c>
      <c r="AM82" s="108">
        <v>1439.62</v>
      </c>
    </row>
    <row r="83" spans="2:39">
      <c r="B83" s="11" t="s">
        <v>147</v>
      </c>
      <c r="C83" s="12" t="s">
        <v>148</v>
      </c>
      <c r="D83" s="21">
        <v>-33687.5</v>
      </c>
      <c r="I83" s="99" t="s">
        <v>129</v>
      </c>
      <c r="J83" s="98" t="s">
        <v>130</v>
      </c>
      <c r="K83" s="108">
        <v>1439.62</v>
      </c>
      <c r="N83" s="99" t="s">
        <v>137</v>
      </c>
      <c r="O83" s="98" t="s">
        <v>138</v>
      </c>
      <c r="P83" s="110">
        <v>38840.1</v>
      </c>
      <c r="S83" s="99" t="s">
        <v>137</v>
      </c>
      <c r="T83" s="98" t="s">
        <v>138</v>
      </c>
      <c r="U83" s="108">
        <v>-1640.1</v>
      </c>
      <c r="Y83" s="99" t="s">
        <v>135</v>
      </c>
      <c r="Z83" s="98" t="s">
        <v>136</v>
      </c>
      <c r="AA83" s="108">
        <v>-94760.71</v>
      </c>
      <c r="AE83" s="99" t="s">
        <v>137</v>
      </c>
      <c r="AF83" s="98" t="s">
        <v>138</v>
      </c>
      <c r="AG83" s="108">
        <v>0</v>
      </c>
      <c r="AK83" s="99" t="s">
        <v>131</v>
      </c>
      <c r="AL83" s="98" t="s">
        <v>132</v>
      </c>
      <c r="AM83" s="108">
        <v>10000</v>
      </c>
    </row>
    <row r="84" spans="2:39">
      <c r="B84" s="11" t="s">
        <v>149</v>
      </c>
      <c r="C84" s="12" t="s">
        <v>150</v>
      </c>
      <c r="D84" s="21">
        <v>-20883.330000000002</v>
      </c>
      <c r="I84" s="99" t="s">
        <v>131</v>
      </c>
      <c r="J84" s="98" t="s">
        <v>132</v>
      </c>
      <c r="K84" s="108">
        <v>0</v>
      </c>
      <c r="N84" s="99" t="s">
        <v>139</v>
      </c>
      <c r="O84" s="98" t="s">
        <v>140</v>
      </c>
      <c r="P84" s="110">
        <v>180</v>
      </c>
      <c r="S84" s="99" t="s">
        <v>686</v>
      </c>
      <c r="T84" s="98" t="s">
        <v>687</v>
      </c>
      <c r="U84" s="108">
        <v>27900</v>
      </c>
      <c r="Y84" s="99" t="s">
        <v>137</v>
      </c>
      <c r="Z84" s="98" t="s">
        <v>138</v>
      </c>
      <c r="AA84" s="108">
        <v>-54194</v>
      </c>
      <c r="AE84" s="99" t="s">
        <v>139</v>
      </c>
      <c r="AF84" s="98" t="s">
        <v>140</v>
      </c>
      <c r="AG84" s="108">
        <v>0</v>
      </c>
      <c r="AK84" s="99" t="s">
        <v>684</v>
      </c>
      <c r="AL84" s="98" t="s">
        <v>685</v>
      </c>
      <c r="AM84" s="108">
        <v>0</v>
      </c>
    </row>
    <row r="85" spans="2:39">
      <c r="B85" s="11" t="s">
        <v>151</v>
      </c>
      <c r="C85" s="12" t="s">
        <v>152</v>
      </c>
      <c r="D85" s="20">
        <v>156443.19</v>
      </c>
      <c r="I85" s="99" t="s">
        <v>133</v>
      </c>
      <c r="J85" s="98" t="s">
        <v>134</v>
      </c>
      <c r="K85" s="108">
        <v>0</v>
      </c>
      <c r="N85" s="99" t="s">
        <v>143</v>
      </c>
      <c r="O85" s="98" t="s">
        <v>144</v>
      </c>
      <c r="P85" s="110">
        <v>0</v>
      </c>
      <c r="S85" s="99" t="s">
        <v>139</v>
      </c>
      <c r="T85" s="98" t="s">
        <v>140</v>
      </c>
      <c r="U85" s="108">
        <v>0</v>
      </c>
      <c r="Y85" s="99" t="s">
        <v>686</v>
      </c>
      <c r="Z85" s="98" t="s">
        <v>687</v>
      </c>
      <c r="AA85" s="108">
        <v>23505</v>
      </c>
      <c r="AE85" s="99" t="s">
        <v>143</v>
      </c>
      <c r="AF85" s="98" t="s">
        <v>144</v>
      </c>
      <c r="AG85" s="108">
        <v>903.25</v>
      </c>
      <c r="AK85" s="99" t="s">
        <v>135</v>
      </c>
      <c r="AL85" s="98" t="s">
        <v>136</v>
      </c>
      <c r="AM85" s="108">
        <v>-6484.05</v>
      </c>
    </row>
    <row r="86" spans="2:39">
      <c r="B86" s="11" t="s">
        <v>153</v>
      </c>
      <c r="C86" s="12" t="s">
        <v>154</v>
      </c>
      <c r="D86" s="21">
        <v>-116658.43</v>
      </c>
      <c r="I86" s="99" t="s">
        <v>135</v>
      </c>
      <c r="J86" s="98" t="s">
        <v>136</v>
      </c>
      <c r="K86" s="108">
        <v>61356.08</v>
      </c>
      <c r="N86" s="99" t="s">
        <v>145</v>
      </c>
      <c r="O86" s="98" t="s">
        <v>146</v>
      </c>
      <c r="P86" s="110">
        <v>222752.81</v>
      </c>
      <c r="S86" s="99" t="s">
        <v>143</v>
      </c>
      <c r="T86" s="98" t="s">
        <v>144</v>
      </c>
      <c r="U86" s="108">
        <v>23</v>
      </c>
      <c r="Y86" s="99" t="s">
        <v>139</v>
      </c>
      <c r="Z86" s="98" t="s">
        <v>140</v>
      </c>
      <c r="AA86" s="108">
        <v>-22109.65</v>
      </c>
      <c r="AE86" s="99" t="s">
        <v>145</v>
      </c>
      <c r="AF86" s="98" t="s">
        <v>146</v>
      </c>
      <c r="AG86" s="108">
        <v>249759.31</v>
      </c>
      <c r="AK86" s="99" t="s">
        <v>137</v>
      </c>
      <c r="AL86" s="98" t="s">
        <v>138</v>
      </c>
      <c r="AM86" s="108">
        <v>-16994</v>
      </c>
    </row>
    <row r="87" spans="2:39">
      <c r="B87" s="11" t="s">
        <v>155</v>
      </c>
      <c r="C87" s="12" t="s">
        <v>156</v>
      </c>
      <c r="D87" s="21" t="s">
        <v>15</v>
      </c>
      <c r="I87" s="99" t="s">
        <v>137</v>
      </c>
      <c r="J87" s="98" t="s">
        <v>138</v>
      </c>
      <c r="K87" s="108">
        <v>36765.440000000002</v>
      </c>
      <c r="N87" s="99" t="s">
        <v>147</v>
      </c>
      <c r="O87" s="98" t="s">
        <v>148</v>
      </c>
      <c r="P87" s="110">
        <v>-290</v>
      </c>
      <c r="S87" s="99" t="s">
        <v>145</v>
      </c>
      <c r="T87" s="98" t="s">
        <v>146</v>
      </c>
      <c r="U87" s="108">
        <v>-57470.64</v>
      </c>
      <c r="Y87" s="99" t="s">
        <v>143</v>
      </c>
      <c r="Z87" s="98" t="s">
        <v>144</v>
      </c>
      <c r="AA87" s="108">
        <v>-926.25</v>
      </c>
      <c r="AE87" s="99" t="s">
        <v>147</v>
      </c>
      <c r="AF87" s="98" t="s">
        <v>148</v>
      </c>
      <c r="AG87" s="108">
        <v>-55076.01</v>
      </c>
      <c r="AK87" s="99" t="s">
        <v>686</v>
      </c>
      <c r="AL87" s="98" t="s">
        <v>687</v>
      </c>
      <c r="AM87" s="108">
        <v>51405</v>
      </c>
    </row>
    <row r="88" spans="2:39">
      <c r="B88" s="11" t="s">
        <v>365</v>
      </c>
      <c r="C88" s="12" t="s">
        <v>366</v>
      </c>
      <c r="D88" s="21">
        <v>-49674.41</v>
      </c>
      <c r="I88" s="99" t="s">
        <v>139</v>
      </c>
      <c r="J88" s="98" t="s">
        <v>140</v>
      </c>
      <c r="K88" s="108">
        <v>0</v>
      </c>
      <c r="N88" s="99" t="s">
        <v>149</v>
      </c>
      <c r="O88" s="98" t="s">
        <v>150</v>
      </c>
      <c r="P88" s="110">
        <v>-20883.330000000002</v>
      </c>
      <c r="S88" s="99" t="s">
        <v>147</v>
      </c>
      <c r="T88" s="98" t="s">
        <v>148</v>
      </c>
      <c r="U88" s="108">
        <v>-14877.5</v>
      </c>
      <c r="Y88" s="99" t="s">
        <v>145</v>
      </c>
      <c r="Z88" s="98" t="s">
        <v>146</v>
      </c>
      <c r="AA88" s="108">
        <v>-37465.81</v>
      </c>
      <c r="AE88" s="99" t="s">
        <v>149</v>
      </c>
      <c r="AF88" s="98" t="s">
        <v>150</v>
      </c>
      <c r="AG88" s="108">
        <v>0</v>
      </c>
      <c r="AK88" s="99" t="s">
        <v>139</v>
      </c>
      <c r="AL88" s="98" t="s">
        <v>140</v>
      </c>
      <c r="AM88" s="108">
        <v>-21929.65</v>
      </c>
    </row>
    <row r="89" spans="2:39">
      <c r="B89" s="11" t="s">
        <v>157</v>
      </c>
      <c r="C89" s="12" t="s">
        <v>158</v>
      </c>
      <c r="D89" s="21">
        <v>-66646.399999999994</v>
      </c>
      <c r="I89" s="99" t="s">
        <v>141</v>
      </c>
      <c r="J89" s="98" t="s">
        <v>142</v>
      </c>
      <c r="K89" s="108">
        <v>180</v>
      </c>
      <c r="N89" s="99" t="s">
        <v>151</v>
      </c>
      <c r="O89" s="98" t="s">
        <v>152</v>
      </c>
      <c r="P89" s="110">
        <v>96679.28</v>
      </c>
      <c r="S89" s="99" t="s">
        <v>149</v>
      </c>
      <c r="T89" s="98" t="s">
        <v>150</v>
      </c>
      <c r="U89" s="108">
        <v>0</v>
      </c>
      <c r="Y89" s="99" t="s">
        <v>147</v>
      </c>
      <c r="Z89" s="98" t="s">
        <v>148</v>
      </c>
      <c r="AA89" s="108">
        <v>-12340.36</v>
      </c>
      <c r="AE89" s="99" t="s">
        <v>688</v>
      </c>
      <c r="AF89" s="98" t="s">
        <v>689</v>
      </c>
      <c r="AG89" s="108">
        <v>10369.780000000001</v>
      </c>
      <c r="AK89" s="99" t="s">
        <v>143</v>
      </c>
      <c r="AL89" s="98" t="s">
        <v>144</v>
      </c>
      <c r="AM89" s="108">
        <v>13872</v>
      </c>
    </row>
    <row r="90" spans="2:39">
      <c r="B90" s="11" t="s">
        <v>159</v>
      </c>
      <c r="C90" s="12" t="s">
        <v>160</v>
      </c>
      <c r="D90" s="21">
        <v>-66646.33</v>
      </c>
      <c r="I90" s="99" t="s">
        <v>145</v>
      </c>
      <c r="J90" s="98" t="s">
        <v>146</v>
      </c>
      <c r="K90" s="108">
        <v>169947.59</v>
      </c>
      <c r="N90" s="99" t="s">
        <v>153</v>
      </c>
      <c r="O90" s="98" t="s">
        <v>154</v>
      </c>
      <c r="P90" s="110">
        <v>-44285.120000000003</v>
      </c>
      <c r="S90" s="99" t="s">
        <v>688</v>
      </c>
      <c r="T90" s="98" t="s">
        <v>689</v>
      </c>
      <c r="U90" s="108">
        <v>10472.67</v>
      </c>
      <c r="Y90" s="99" t="s">
        <v>149</v>
      </c>
      <c r="Z90" s="98" t="s">
        <v>150</v>
      </c>
      <c r="AA90" s="108">
        <v>0</v>
      </c>
      <c r="AE90" s="99" t="s">
        <v>151</v>
      </c>
      <c r="AF90" s="98" t="s">
        <v>152</v>
      </c>
      <c r="AG90" s="108">
        <v>-41636.18</v>
      </c>
      <c r="AK90" s="99" t="s">
        <v>145</v>
      </c>
      <c r="AL90" s="98" t="s">
        <v>146</v>
      </c>
      <c r="AM90" s="108">
        <v>377575.67</v>
      </c>
    </row>
    <row r="91" spans="2:39">
      <c r="B91" s="11" t="s">
        <v>161</v>
      </c>
      <c r="C91" s="12" t="s">
        <v>162</v>
      </c>
      <c r="D91" s="21">
        <v>30000</v>
      </c>
      <c r="I91" s="99" t="s">
        <v>147</v>
      </c>
      <c r="J91" s="98" t="s">
        <v>148</v>
      </c>
      <c r="K91" s="108">
        <v>-31404.17</v>
      </c>
      <c r="N91" s="99" t="s">
        <v>155</v>
      </c>
      <c r="O91" s="98" t="s">
        <v>156</v>
      </c>
      <c r="P91" s="110">
        <v>0</v>
      </c>
      <c r="S91" s="99" t="s">
        <v>151</v>
      </c>
      <c r="T91" s="98" t="s">
        <v>152</v>
      </c>
      <c r="U91" s="108">
        <v>-153404.82999999999</v>
      </c>
      <c r="Y91" s="99" t="s">
        <v>688</v>
      </c>
      <c r="Z91" s="98" t="s">
        <v>689</v>
      </c>
      <c r="AA91" s="108">
        <v>10425.43</v>
      </c>
      <c r="AE91" s="99" t="s">
        <v>153</v>
      </c>
      <c r="AF91" s="98" t="s">
        <v>154</v>
      </c>
      <c r="AG91" s="108">
        <v>78471.22</v>
      </c>
      <c r="AK91" s="99" t="s">
        <v>147</v>
      </c>
      <c r="AL91" s="98" t="s">
        <v>148</v>
      </c>
      <c r="AM91" s="108">
        <v>-82583.87</v>
      </c>
    </row>
    <row r="92" spans="2:39">
      <c r="B92" s="11" t="s">
        <v>163</v>
      </c>
      <c r="C92" s="12" t="s">
        <v>164</v>
      </c>
      <c r="D92" s="21">
        <v>-2160.29</v>
      </c>
      <c r="I92" s="99" t="s">
        <v>149</v>
      </c>
      <c r="J92" s="98" t="s">
        <v>150</v>
      </c>
      <c r="K92" s="108">
        <v>-20883.330000000002</v>
      </c>
      <c r="N92" s="99" t="s">
        <v>365</v>
      </c>
      <c r="O92" s="98" t="s">
        <v>366</v>
      </c>
      <c r="P92" s="110">
        <v>-18824.46</v>
      </c>
      <c r="S92" s="99" t="s">
        <v>153</v>
      </c>
      <c r="T92" s="98" t="s">
        <v>154</v>
      </c>
      <c r="U92" s="108">
        <v>-30767.55</v>
      </c>
      <c r="Y92" s="99" t="s">
        <v>151</v>
      </c>
      <c r="Z92" s="98" t="s">
        <v>152</v>
      </c>
      <c r="AA92" s="108">
        <v>31603.86</v>
      </c>
      <c r="AE92" s="99" t="s">
        <v>155</v>
      </c>
      <c r="AF92" s="98" t="s">
        <v>156</v>
      </c>
      <c r="AG92" s="108">
        <v>0</v>
      </c>
      <c r="AK92" s="99" t="s">
        <v>149</v>
      </c>
      <c r="AL92" s="98" t="s">
        <v>150</v>
      </c>
      <c r="AM92" s="108">
        <v>-20883.330000000002</v>
      </c>
    </row>
    <row r="93" spans="2:39">
      <c r="B93" s="11" t="s">
        <v>367</v>
      </c>
      <c r="C93" s="12" t="s">
        <v>368</v>
      </c>
      <c r="D93" s="21" t="s">
        <v>15</v>
      </c>
      <c r="I93" s="99" t="s">
        <v>151</v>
      </c>
      <c r="J93" s="98" t="s">
        <v>152</v>
      </c>
      <c r="K93" s="108">
        <v>10315.620000000001</v>
      </c>
      <c r="N93" s="99" t="s">
        <v>603</v>
      </c>
      <c r="O93" s="98" t="s">
        <v>604</v>
      </c>
      <c r="P93" s="110">
        <v>43529.89</v>
      </c>
      <c r="S93" s="99" t="s">
        <v>155</v>
      </c>
      <c r="T93" s="98" t="s">
        <v>156</v>
      </c>
      <c r="U93" s="108">
        <v>0</v>
      </c>
      <c r="Y93" s="99" t="s">
        <v>153</v>
      </c>
      <c r="Z93" s="98" t="s">
        <v>154</v>
      </c>
      <c r="AA93" s="108">
        <v>-50273.88</v>
      </c>
      <c r="AE93" s="99" t="s">
        <v>365</v>
      </c>
      <c r="AF93" s="98" t="s">
        <v>366</v>
      </c>
      <c r="AG93" s="108">
        <v>59820.43</v>
      </c>
      <c r="AK93" s="99" t="s">
        <v>688</v>
      </c>
      <c r="AL93" s="98" t="s">
        <v>689</v>
      </c>
      <c r="AM93" s="108">
        <v>31267.88</v>
      </c>
    </row>
    <row r="94" spans="2:39">
      <c r="B94" s="11" t="s">
        <v>165</v>
      </c>
      <c r="C94" s="12" t="s">
        <v>166</v>
      </c>
      <c r="D94" s="24">
        <v>2956.3</v>
      </c>
      <c r="E94" s="7" t="s">
        <v>488</v>
      </c>
      <c r="I94" s="99" t="s">
        <v>153</v>
      </c>
      <c r="J94" s="98" t="s">
        <v>154</v>
      </c>
      <c r="K94" s="108">
        <v>-119992.21</v>
      </c>
      <c r="N94" s="99" t="s">
        <v>659</v>
      </c>
      <c r="O94" s="98" t="s">
        <v>660</v>
      </c>
      <c r="P94" s="110">
        <v>43120.67</v>
      </c>
      <c r="S94" s="99" t="s">
        <v>365</v>
      </c>
      <c r="T94" s="98" t="s">
        <v>366</v>
      </c>
      <c r="U94" s="108">
        <v>-49684.29</v>
      </c>
      <c r="Y94" s="99" t="s">
        <v>155</v>
      </c>
      <c r="Z94" s="98" t="s">
        <v>156</v>
      </c>
      <c r="AA94" s="108">
        <v>0</v>
      </c>
      <c r="AE94" s="99" t="s">
        <v>603</v>
      </c>
      <c r="AF94" s="98" t="s">
        <v>604</v>
      </c>
      <c r="AG94" s="108">
        <v>124.57</v>
      </c>
      <c r="AK94" s="99" t="s">
        <v>151</v>
      </c>
      <c r="AL94" s="98" t="s">
        <v>152</v>
      </c>
      <c r="AM94" s="108">
        <v>-66757.87</v>
      </c>
    </row>
    <row r="95" spans="2:39">
      <c r="B95" s="11" t="s">
        <v>167</v>
      </c>
      <c r="C95" s="12" t="s">
        <v>168</v>
      </c>
      <c r="D95" s="24">
        <v>389310.76</v>
      </c>
      <c r="E95" s="73" t="s">
        <v>551</v>
      </c>
      <c r="I95" s="99" t="s">
        <v>155</v>
      </c>
      <c r="J95" s="98" t="s">
        <v>156</v>
      </c>
      <c r="K95" s="108">
        <v>0</v>
      </c>
      <c r="N95" s="99" t="s">
        <v>157</v>
      </c>
      <c r="O95" s="98" t="s">
        <v>158</v>
      </c>
      <c r="P95" s="110">
        <v>-22211.41</v>
      </c>
      <c r="S95" s="99" t="s">
        <v>603</v>
      </c>
      <c r="T95" s="98" t="s">
        <v>604</v>
      </c>
      <c r="U95" s="108">
        <v>-788.52</v>
      </c>
      <c r="Y95" s="99" t="s">
        <v>365</v>
      </c>
      <c r="Z95" s="98" t="s">
        <v>366</v>
      </c>
      <c r="AA95" s="108">
        <v>-7720.92</v>
      </c>
      <c r="AE95" s="99" t="s">
        <v>659</v>
      </c>
      <c r="AF95" s="98" t="s">
        <v>660</v>
      </c>
      <c r="AG95" s="108">
        <v>70126.37</v>
      </c>
      <c r="AK95" s="99" t="s">
        <v>153</v>
      </c>
      <c r="AL95" s="98" t="s">
        <v>154</v>
      </c>
      <c r="AM95" s="108">
        <v>-46855.33</v>
      </c>
    </row>
    <row r="96" spans="2:39">
      <c r="B96" s="11" t="s">
        <v>169</v>
      </c>
      <c r="C96" s="12" t="s">
        <v>170</v>
      </c>
      <c r="D96" s="24">
        <v>180628.04</v>
      </c>
      <c r="E96" s="73" t="s">
        <v>551</v>
      </c>
      <c r="I96" s="99" t="s">
        <v>365</v>
      </c>
      <c r="J96" s="98" t="s">
        <v>366</v>
      </c>
      <c r="K96" s="108">
        <v>-115830.28</v>
      </c>
      <c r="N96" s="99" t="s">
        <v>159</v>
      </c>
      <c r="O96" s="98" t="s">
        <v>160</v>
      </c>
      <c r="P96" s="110">
        <v>-22211.33</v>
      </c>
      <c r="S96" s="99" t="s">
        <v>659</v>
      </c>
      <c r="T96" s="98" t="s">
        <v>660</v>
      </c>
      <c r="U96" s="108">
        <v>-10031.92</v>
      </c>
      <c r="Y96" s="99" t="s">
        <v>603</v>
      </c>
      <c r="Z96" s="98" t="s">
        <v>604</v>
      </c>
      <c r="AA96" s="108">
        <v>-40418.46</v>
      </c>
      <c r="AE96" s="99" t="s">
        <v>690</v>
      </c>
      <c r="AF96" s="98" t="s">
        <v>691</v>
      </c>
      <c r="AG96" s="108">
        <v>-44939.55</v>
      </c>
      <c r="AK96" s="99" t="s">
        <v>155</v>
      </c>
      <c r="AL96" s="98" t="s">
        <v>156</v>
      </c>
      <c r="AM96" s="108">
        <v>0</v>
      </c>
    </row>
    <row r="97" spans="2:40">
      <c r="B97" s="11" t="s">
        <v>369</v>
      </c>
      <c r="C97" s="12" t="s">
        <v>370</v>
      </c>
      <c r="D97" s="24">
        <v>16355</v>
      </c>
      <c r="E97" s="7" t="s">
        <v>488</v>
      </c>
      <c r="I97" s="99" t="s">
        <v>603</v>
      </c>
      <c r="J97" s="98" t="s">
        <v>604</v>
      </c>
      <c r="K97" s="108">
        <v>43499.67</v>
      </c>
      <c r="N97" s="99" t="s">
        <v>161</v>
      </c>
      <c r="O97" s="98" t="s">
        <v>162</v>
      </c>
      <c r="P97" s="110">
        <v>30000</v>
      </c>
      <c r="S97" s="99" t="s">
        <v>690</v>
      </c>
      <c r="T97" s="98" t="s">
        <v>691</v>
      </c>
      <c r="U97" s="108">
        <v>-30886.91</v>
      </c>
      <c r="Y97" s="99" t="s">
        <v>659</v>
      </c>
      <c r="Z97" s="98" t="s">
        <v>660</v>
      </c>
      <c r="AA97" s="108">
        <v>-116955.71</v>
      </c>
      <c r="AE97" s="99" t="s">
        <v>157</v>
      </c>
      <c r="AF97" s="98" t="s">
        <v>158</v>
      </c>
      <c r="AG97" s="108">
        <v>0</v>
      </c>
      <c r="AK97" s="99" t="s">
        <v>365</v>
      </c>
      <c r="AL97" s="98" t="s">
        <v>366</v>
      </c>
      <c r="AM97" s="108">
        <v>-16409.240000000002</v>
      </c>
    </row>
    <row r="98" spans="2:40">
      <c r="B98" s="11" t="s">
        <v>371</v>
      </c>
      <c r="C98" s="12" t="s">
        <v>372</v>
      </c>
      <c r="D98" s="24">
        <v>3940.45</v>
      </c>
      <c r="E98" s="7" t="s">
        <v>477</v>
      </c>
      <c r="I98" s="99" t="s">
        <v>157</v>
      </c>
      <c r="J98" s="98" t="s">
        <v>158</v>
      </c>
      <c r="K98" s="108">
        <v>-17325.25</v>
      </c>
      <c r="N98" s="99" t="s">
        <v>163</v>
      </c>
      <c r="O98" s="98" t="s">
        <v>164</v>
      </c>
      <c r="P98" s="110">
        <v>-1350.77</v>
      </c>
      <c r="S98" s="99" t="s">
        <v>157</v>
      </c>
      <c r="T98" s="98" t="s">
        <v>158</v>
      </c>
      <c r="U98" s="108">
        <v>10061.549999999999</v>
      </c>
      <c r="Y98" s="99" t="s">
        <v>690</v>
      </c>
      <c r="Z98" s="98" t="s">
        <v>691</v>
      </c>
      <c r="AA98" s="108">
        <v>-53908.13</v>
      </c>
      <c r="AE98" s="99" t="s">
        <v>159</v>
      </c>
      <c r="AF98" s="98" t="s">
        <v>160</v>
      </c>
      <c r="AG98" s="108">
        <v>0</v>
      </c>
      <c r="AK98" s="99" t="s">
        <v>603</v>
      </c>
      <c r="AL98" s="98" t="s">
        <v>604</v>
      </c>
      <c r="AM98" s="108">
        <v>2447.48</v>
      </c>
    </row>
    <row r="99" spans="2:40">
      <c r="B99" s="11" t="s">
        <v>171</v>
      </c>
      <c r="C99" s="12" t="s">
        <v>172</v>
      </c>
      <c r="D99" s="24">
        <v>15287.17</v>
      </c>
      <c r="E99" s="7" t="s">
        <v>554</v>
      </c>
      <c r="I99" s="99" t="s">
        <v>159</v>
      </c>
      <c r="J99" s="98" t="s">
        <v>160</v>
      </c>
      <c r="K99" s="108">
        <v>-17325.18</v>
      </c>
      <c r="N99" s="99" t="s">
        <v>367</v>
      </c>
      <c r="O99" s="98" t="s">
        <v>368</v>
      </c>
      <c r="P99" s="110">
        <v>0</v>
      </c>
      <c r="S99" s="99" t="s">
        <v>159</v>
      </c>
      <c r="T99" s="98" t="s">
        <v>160</v>
      </c>
      <c r="U99" s="108">
        <v>10061.549999999999</v>
      </c>
      <c r="Y99" s="99" t="s">
        <v>157</v>
      </c>
      <c r="Z99" s="98" t="s">
        <v>158</v>
      </c>
      <c r="AA99" s="108">
        <v>19926.82</v>
      </c>
      <c r="AE99" s="99" t="s">
        <v>161</v>
      </c>
      <c r="AF99" s="98" t="s">
        <v>162</v>
      </c>
      <c r="AG99" s="108">
        <v>0</v>
      </c>
      <c r="AK99" s="99" t="s">
        <v>659</v>
      </c>
      <c r="AL99" s="98" t="s">
        <v>660</v>
      </c>
      <c r="AM99" s="108">
        <v>-13933.79</v>
      </c>
    </row>
    <row r="100" spans="2:40">
      <c r="B100" s="11" t="s">
        <v>173</v>
      </c>
      <c r="C100" s="12" t="s">
        <v>174</v>
      </c>
      <c r="D100" s="24">
        <v>1612.57</v>
      </c>
      <c r="E100" s="7" t="s">
        <v>554</v>
      </c>
      <c r="I100" s="99" t="s">
        <v>161</v>
      </c>
      <c r="J100" s="98" t="s">
        <v>162</v>
      </c>
      <c r="K100" s="108">
        <v>30000</v>
      </c>
      <c r="N100" s="99" t="s">
        <v>165</v>
      </c>
      <c r="O100" s="98" t="s">
        <v>166</v>
      </c>
      <c r="P100" s="110">
        <v>17.079999999999998</v>
      </c>
      <c r="Q100" s="7" t="s">
        <v>488</v>
      </c>
      <c r="S100" s="99" t="s">
        <v>161</v>
      </c>
      <c r="T100" s="98" t="s">
        <v>162</v>
      </c>
      <c r="U100" s="108">
        <v>0</v>
      </c>
      <c r="Y100" s="99" t="s">
        <v>159</v>
      </c>
      <c r="Z100" s="98" t="s">
        <v>160</v>
      </c>
      <c r="AA100" s="108">
        <v>19926.830000000002</v>
      </c>
      <c r="AE100" s="99" t="s">
        <v>692</v>
      </c>
      <c r="AF100" s="98" t="s">
        <v>693</v>
      </c>
      <c r="AG100" s="108">
        <v>-31419.94</v>
      </c>
      <c r="AK100" s="99" t="s">
        <v>690</v>
      </c>
      <c r="AL100" s="98" t="s">
        <v>691</v>
      </c>
      <c r="AM100" s="108">
        <v>-129734.59</v>
      </c>
    </row>
    <row r="101" spans="2:40">
      <c r="B101" s="11" t="s">
        <v>175</v>
      </c>
      <c r="C101" s="12" t="s">
        <v>176</v>
      </c>
      <c r="D101" s="24">
        <v>18491.599999999999</v>
      </c>
      <c r="E101" s="7" t="s">
        <v>488</v>
      </c>
      <c r="I101" s="99" t="s">
        <v>163</v>
      </c>
      <c r="J101" s="98" t="s">
        <v>164</v>
      </c>
      <c r="K101" s="108">
        <v>-2111</v>
      </c>
      <c r="N101" s="99" t="s">
        <v>167</v>
      </c>
      <c r="O101" s="98" t="s">
        <v>168</v>
      </c>
      <c r="P101" s="110">
        <v>100178.34</v>
      </c>
      <c r="Q101" s="7" t="s">
        <v>551</v>
      </c>
      <c r="S101" s="99" t="s">
        <v>692</v>
      </c>
      <c r="T101" s="98" t="s">
        <v>693</v>
      </c>
      <c r="U101" s="108">
        <v>-22320</v>
      </c>
      <c r="Y101" s="99" t="s">
        <v>161</v>
      </c>
      <c r="Z101" s="98" t="s">
        <v>162</v>
      </c>
      <c r="AA101" s="108">
        <v>0</v>
      </c>
      <c r="AE101" s="99" t="s">
        <v>706</v>
      </c>
      <c r="AF101" s="98" t="s">
        <v>707</v>
      </c>
      <c r="AG101" s="108">
        <v>81024</v>
      </c>
      <c r="AK101" s="99" t="s">
        <v>157</v>
      </c>
      <c r="AL101" s="98" t="s">
        <v>158</v>
      </c>
      <c r="AM101" s="108">
        <v>7776.96</v>
      </c>
    </row>
    <row r="102" spans="2:40">
      <c r="B102" s="11" t="s">
        <v>177</v>
      </c>
      <c r="C102" s="12" t="s">
        <v>178</v>
      </c>
      <c r="D102" s="24">
        <v>33937.47</v>
      </c>
      <c r="E102" s="7" t="s">
        <v>488</v>
      </c>
      <c r="I102" s="99" t="s">
        <v>165</v>
      </c>
      <c r="J102" s="98" t="s">
        <v>166</v>
      </c>
      <c r="K102" s="108">
        <v>6095.1</v>
      </c>
      <c r="L102" s="7" t="str">
        <f>VLOOKUP(I102,$B$94:$E$232,4,FALSE)</f>
        <v>Frais courants</v>
      </c>
      <c r="N102" s="99" t="s">
        <v>169</v>
      </c>
      <c r="O102" s="98" t="s">
        <v>170</v>
      </c>
      <c r="P102" s="110">
        <v>12840.04</v>
      </c>
      <c r="Q102" s="7" t="s">
        <v>551</v>
      </c>
      <c r="S102" s="99" t="s">
        <v>163</v>
      </c>
      <c r="T102" s="98" t="s">
        <v>164</v>
      </c>
      <c r="U102" s="108">
        <v>256.72000000000003</v>
      </c>
      <c r="Y102" s="99" t="s">
        <v>692</v>
      </c>
      <c r="Z102" s="98" t="s">
        <v>693</v>
      </c>
      <c r="AA102" s="108">
        <v>-18804</v>
      </c>
      <c r="AE102" s="99" t="s">
        <v>163</v>
      </c>
      <c r="AF102" s="98" t="s">
        <v>164</v>
      </c>
      <c r="AG102" s="108">
        <v>-231.13</v>
      </c>
      <c r="AK102" s="99" t="s">
        <v>159</v>
      </c>
      <c r="AL102" s="98" t="s">
        <v>160</v>
      </c>
      <c r="AM102" s="108">
        <v>7777.05</v>
      </c>
    </row>
    <row r="103" spans="2:40">
      <c r="B103" s="11" t="s">
        <v>179</v>
      </c>
      <c r="C103" s="12" t="s">
        <v>180</v>
      </c>
      <c r="D103" s="24">
        <v>10136.84</v>
      </c>
      <c r="E103" s="7" t="s">
        <v>488</v>
      </c>
      <c r="I103" s="99" t="s">
        <v>167</v>
      </c>
      <c r="J103" s="98" t="s">
        <v>168</v>
      </c>
      <c r="K103" s="108">
        <v>519525.92</v>
      </c>
      <c r="L103" s="7" t="str">
        <f t="shared" ref="L103:L165" si="0">VLOOKUP(I103,$B$94:$E$232,4,FALSE)</f>
        <v>Aucun impact puisque refacturation</v>
      </c>
      <c r="N103" s="99" t="s">
        <v>371</v>
      </c>
      <c r="O103" s="98" t="s">
        <v>372</v>
      </c>
      <c r="P103" s="110">
        <v>555.71</v>
      </c>
      <c r="Q103" s="7" t="s">
        <v>477</v>
      </c>
      <c r="S103" s="99" t="s">
        <v>367</v>
      </c>
      <c r="T103" s="98" t="s">
        <v>368</v>
      </c>
      <c r="U103" s="108">
        <v>0</v>
      </c>
      <c r="V103" s="7" t="s">
        <v>703</v>
      </c>
      <c r="Y103" s="99" t="s">
        <v>706</v>
      </c>
      <c r="Z103" s="98" t="s">
        <v>707</v>
      </c>
      <c r="AA103" s="108">
        <v>-81024</v>
      </c>
      <c r="AE103" s="99" t="s">
        <v>367</v>
      </c>
      <c r="AF103" s="98" t="s">
        <v>368</v>
      </c>
      <c r="AG103" s="108">
        <v>0</v>
      </c>
      <c r="AH103" s="7" t="s">
        <v>703</v>
      </c>
      <c r="AK103" s="99" t="s">
        <v>161</v>
      </c>
      <c r="AL103" s="98" t="s">
        <v>162</v>
      </c>
      <c r="AM103" s="108">
        <v>30000</v>
      </c>
    </row>
    <row r="104" spans="2:40">
      <c r="B104" s="11" t="s">
        <v>181</v>
      </c>
      <c r="C104" s="12" t="s">
        <v>182</v>
      </c>
      <c r="D104" s="24">
        <v>361032.6</v>
      </c>
      <c r="E104" s="28" t="s">
        <v>554</v>
      </c>
      <c r="I104" s="99" t="s">
        <v>169</v>
      </c>
      <c r="J104" s="98" t="s">
        <v>170</v>
      </c>
      <c r="K104" s="108">
        <v>221225.93</v>
      </c>
      <c r="L104" s="7" t="str">
        <f t="shared" si="0"/>
        <v>Aucun impact puisque refacturation</v>
      </c>
      <c r="N104" s="99" t="s">
        <v>171</v>
      </c>
      <c r="O104" s="98" t="s">
        <v>172</v>
      </c>
      <c r="P104" s="110">
        <v>-2316.41</v>
      </c>
      <c r="Q104" s="7" t="s">
        <v>554</v>
      </c>
      <c r="S104" s="99" t="s">
        <v>165</v>
      </c>
      <c r="T104" s="98" t="s">
        <v>166</v>
      </c>
      <c r="U104" s="108">
        <v>0</v>
      </c>
      <c r="V104" s="7" t="str">
        <f>VLOOKUP(S104,$N$100:$Q$221,4,FALSE)</f>
        <v>Frais courants</v>
      </c>
      <c r="Y104" s="99" t="s">
        <v>163</v>
      </c>
      <c r="Z104" s="98" t="s">
        <v>164</v>
      </c>
      <c r="AA104" s="108">
        <v>-667.95</v>
      </c>
      <c r="AE104" s="99" t="s">
        <v>165</v>
      </c>
      <c r="AF104" s="98" t="s">
        <v>166</v>
      </c>
      <c r="AG104" s="108">
        <v>1372.4</v>
      </c>
      <c r="AH104" s="7" t="str">
        <f>VLOOKUP(AE104,$Y$106:$AB$232,4,FALSE)</f>
        <v>Frais courants</v>
      </c>
      <c r="AK104" s="99" t="s">
        <v>692</v>
      </c>
      <c r="AL104" s="98" t="s">
        <v>693</v>
      </c>
      <c r="AM104" s="108">
        <v>-72543.94</v>
      </c>
    </row>
    <row r="105" spans="2:40">
      <c r="B105" s="11" t="s">
        <v>183</v>
      </c>
      <c r="C105" s="12" t="s">
        <v>184</v>
      </c>
      <c r="D105" s="24">
        <v>2925.23</v>
      </c>
      <c r="E105" s="7" t="s">
        <v>554</v>
      </c>
      <c r="I105" s="99" t="s">
        <v>369</v>
      </c>
      <c r="J105" s="98" t="s">
        <v>370</v>
      </c>
      <c r="K105" s="108">
        <v>17326</v>
      </c>
      <c r="L105" s="7" t="str">
        <f t="shared" si="0"/>
        <v>Frais courants</v>
      </c>
      <c r="N105" s="99" t="s">
        <v>173</v>
      </c>
      <c r="O105" s="98" t="s">
        <v>174</v>
      </c>
      <c r="P105" s="110">
        <v>-2129.16</v>
      </c>
      <c r="Q105" s="7" t="s">
        <v>554</v>
      </c>
      <c r="S105" s="99" t="s">
        <v>167</v>
      </c>
      <c r="T105" s="98" t="s">
        <v>168</v>
      </c>
      <c r="U105" s="108">
        <v>74522.5</v>
      </c>
      <c r="V105" s="7" t="str">
        <f t="shared" ref="V105:V168" si="1">VLOOKUP(S105,$N$100:$Q$221,4,FALSE)</f>
        <v>Aucun impact puisque refacturation</v>
      </c>
      <c r="Y105" s="99" t="s">
        <v>367</v>
      </c>
      <c r="Z105" s="98" t="s">
        <v>368</v>
      </c>
      <c r="AA105" s="108">
        <v>0</v>
      </c>
      <c r="AB105" s="7" t="s">
        <v>703</v>
      </c>
      <c r="AE105" s="99" t="s">
        <v>167</v>
      </c>
      <c r="AF105" s="98" t="s">
        <v>168</v>
      </c>
      <c r="AG105" s="108">
        <v>15210</v>
      </c>
      <c r="AH105" s="7" t="str">
        <f t="shared" ref="AH105:AH168" si="2">VLOOKUP(AE105,$Y$106:$AB$232,4,FALSE)</f>
        <v>Aucun impact puisque refacturation</v>
      </c>
      <c r="AK105" s="99" t="s">
        <v>706</v>
      </c>
      <c r="AL105" s="98" t="s">
        <v>707</v>
      </c>
      <c r="AM105" s="108">
        <v>0</v>
      </c>
    </row>
    <row r="106" spans="2:40">
      <c r="B106" s="11" t="s">
        <v>373</v>
      </c>
      <c r="C106" s="12" t="s">
        <v>374</v>
      </c>
      <c r="D106" s="24">
        <v>9012.09</v>
      </c>
      <c r="E106" s="7" t="s">
        <v>489</v>
      </c>
      <c r="I106" s="99" t="s">
        <v>371</v>
      </c>
      <c r="J106" s="98" t="s">
        <v>372</v>
      </c>
      <c r="K106" s="108">
        <v>5416.2</v>
      </c>
      <c r="L106" s="7" t="str">
        <f t="shared" si="0"/>
        <v>Déplacements</v>
      </c>
      <c r="N106" s="99" t="s">
        <v>175</v>
      </c>
      <c r="O106" s="98" t="s">
        <v>176</v>
      </c>
      <c r="P106" s="110">
        <v>6427.99</v>
      </c>
      <c r="Q106" s="7" t="s">
        <v>488</v>
      </c>
      <c r="S106" s="99" t="s">
        <v>169</v>
      </c>
      <c r="T106" s="98" t="s">
        <v>170</v>
      </c>
      <c r="U106" s="108">
        <v>7218.64</v>
      </c>
      <c r="V106" s="7" t="str">
        <f t="shared" si="1"/>
        <v>Aucun impact puisque refacturation</v>
      </c>
      <c r="Y106" s="99" t="s">
        <v>165</v>
      </c>
      <c r="Z106" s="98" t="s">
        <v>166</v>
      </c>
      <c r="AA106" s="108">
        <v>0</v>
      </c>
      <c r="AB106" s="7" t="str">
        <f>VLOOKUP(Y106,$S$104:$V$250,4,FALSE)</f>
        <v>Frais courants</v>
      </c>
      <c r="AE106" s="99" t="s">
        <v>169</v>
      </c>
      <c r="AF106" s="98" t="s">
        <v>170</v>
      </c>
      <c r="AG106" s="108">
        <v>12029.63</v>
      </c>
      <c r="AH106" s="7" t="str">
        <f t="shared" si="2"/>
        <v>Aucun impact puisque refacturation</v>
      </c>
      <c r="AK106" s="99" t="s">
        <v>163</v>
      </c>
      <c r="AL106" s="98" t="s">
        <v>164</v>
      </c>
      <c r="AM106" s="108">
        <v>-1993.13</v>
      </c>
    </row>
    <row r="107" spans="2:40">
      <c r="B107" s="11" t="s">
        <v>185</v>
      </c>
      <c r="C107" s="12" t="s">
        <v>186</v>
      </c>
      <c r="D107" s="24">
        <v>3922.6</v>
      </c>
      <c r="E107" s="7" t="s">
        <v>489</v>
      </c>
      <c r="I107" s="99" t="s">
        <v>171</v>
      </c>
      <c r="J107" s="98" t="s">
        <v>172</v>
      </c>
      <c r="K107" s="108">
        <v>15137.48</v>
      </c>
      <c r="L107" s="7" t="str">
        <f t="shared" si="0"/>
        <v>Immobilier</v>
      </c>
      <c r="N107" s="99" t="s">
        <v>177</v>
      </c>
      <c r="O107" s="98" t="s">
        <v>178</v>
      </c>
      <c r="P107" s="110">
        <v>3100.02</v>
      </c>
      <c r="Q107" s="7" t="s">
        <v>488</v>
      </c>
      <c r="S107" s="99" t="s">
        <v>369</v>
      </c>
      <c r="T107" s="98" t="s">
        <v>370</v>
      </c>
      <c r="U107" s="108">
        <v>0</v>
      </c>
      <c r="Y107" s="99" t="s">
        <v>167</v>
      </c>
      <c r="Z107" s="98" t="s">
        <v>168</v>
      </c>
      <c r="AA107" s="108">
        <v>62568.35</v>
      </c>
      <c r="AB107" s="7" t="str">
        <f t="shared" ref="AB107:AB170" si="3">VLOOKUP(Y107,$S$104:$V$250,4,FALSE)</f>
        <v>Aucun impact puisque refacturation</v>
      </c>
      <c r="AE107" s="99" t="s">
        <v>369</v>
      </c>
      <c r="AF107" s="98" t="s">
        <v>370</v>
      </c>
      <c r="AG107" s="108">
        <v>0</v>
      </c>
      <c r="AH107" s="7">
        <f t="shared" si="2"/>
        <v>0</v>
      </c>
      <c r="AK107" s="99" t="s">
        <v>367</v>
      </c>
      <c r="AL107" s="98" t="s">
        <v>368</v>
      </c>
      <c r="AM107" s="108">
        <v>0</v>
      </c>
      <c r="AN107" s="7" t="s">
        <v>703</v>
      </c>
    </row>
    <row r="108" spans="2:40">
      <c r="B108" s="11" t="s">
        <v>187</v>
      </c>
      <c r="C108" s="12" t="s">
        <v>188</v>
      </c>
      <c r="D108" s="24">
        <v>5895.08</v>
      </c>
      <c r="E108" s="73" t="s">
        <v>541</v>
      </c>
      <c r="I108" s="99" t="s">
        <v>173</v>
      </c>
      <c r="J108" s="98" t="s">
        <v>174</v>
      </c>
      <c r="K108" s="108">
        <v>1932.02</v>
      </c>
      <c r="L108" s="7" t="str">
        <f t="shared" si="0"/>
        <v>Immobilier</v>
      </c>
      <c r="N108" s="99" t="s">
        <v>179</v>
      </c>
      <c r="O108" s="98" t="s">
        <v>180</v>
      </c>
      <c r="P108" s="110">
        <v>2150.41</v>
      </c>
      <c r="Q108" s="7" t="s">
        <v>488</v>
      </c>
      <c r="S108" s="99" t="s">
        <v>371</v>
      </c>
      <c r="T108" s="98" t="s">
        <v>372</v>
      </c>
      <c r="U108" s="108">
        <v>302.13</v>
      </c>
      <c r="V108" s="7" t="str">
        <f t="shared" si="1"/>
        <v>Déplacements</v>
      </c>
      <c r="Y108" s="99" t="s">
        <v>169</v>
      </c>
      <c r="Z108" s="98" t="s">
        <v>170</v>
      </c>
      <c r="AA108" s="108">
        <v>64803.91</v>
      </c>
      <c r="AB108" s="7" t="str">
        <f t="shared" si="3"/>
        <v>Aucun impact puisque refacturation</v>
      </c>
      <c r="AE108" s="99" t="s">
        <v>371</v>
      </c>
      <c r="AF108" s="98" t="s">
        <v>372</v>
      </c>
      <c r="AG108" s="108">
        <v>290.99</v>
      </c>
      <c r="AH108" s="7" t="str">
        <f t="shared" si="2"/>
        <v>Déplacements</v>
      </c>
      <c r="AK108" s="99" t="s">
        <v>165</v>
      </c>
      <c r="AL108" s="98" t="s">
        <v>166</v>
      </c>
      <c r="AM108" s="108">
        <v>1389.48</v>
      </c>
      <c r="AN108" s="7" t="str">
        <f>VLOOKUP(AK108,$N$100:$Q$221,4,FALSE)</f>
        <v>Frais courants</v>
      </c>
    </row>
    <row r="109" spans="2:40">
      <c r="B109" s="11" t="s">
        <v>189</v>
      </c>
      <c r="C109" s="12" t="s">
        <v>190</v>
      </c>
      <c r="D109" s="24">
        <v>11868</v>
      </c>
      <c r="E109" s="7" t="s">
        <v>489</v>
      </c>
      <c r="I109" s="99" t="s">
        <v>175</v>
      </c>
      <c r="J109" s="98" t="s">
        <v>176</v>
      </c>
      <c r="K109" s="108">
        <v>21159.279999999999</v>
      </c>
      <c r="L109" s="7" t="str">
        <f t="shared" si="0"/>
        <v>Frais courants</v>
      </c>
      <c r="N109" s="99" t="s">
        <v>605</v>
      </c>
      <c r="O109" s="98" t="s">
        <v>606</v>
      </c>
      <c r="P109" s="110">
        <v>4054.5</v>
      </c>
      <c r="Q109" s="7" t="s">
        <v>554</v>
      </c>
      <c r="S109" s="99" t="s">
        <v>171</v>
      </c>
      <c r="T109" s="98" t="s">
        <v>172</v>
      </c>
      <c r="U109" s="108">
        <v>0</v>
      </c>
      <c r="V109" s="7" t="str">
        <f t="shared" si="1"/>
        <v>Immobilier</v>
      </c>
      <c r="Y109" s="99" t="s">
        <v>369</v>
      </c>
      <c r="Z109" s="98" t="s">
        <v>370</v>
      </c>
      <c r="AA109" s="108">
        <v>0</v>
      </c>
      <c r="AB109" s="7">
        <f t="shared" si="3"/>
        <v>0</v>
      </c>
      <c r="AE109" s="99" t="s">
        <v>171</v>
      </c>
      <c r="AF109" s="98" t="s">
        <v>172</v>
      </c>
      <c r="AG109" s="108">
        <v>1269.1199999999999</v>
      </c>
      <c r="AH109" s="7" t="str">
        <f t="shared" si="2"/>
        <v>Immobilier</v>
      </c>
      <c r="AK109" s="99" t="s">
        <v>167</v>
      </c>
      <c r="AL109" s="98" t="s">
        <v>168</v>
      </c>
      <c r="AM109" s="108">
        <v>252479.19</v>
      </c>
      <c r="AN109" s="7" t="str">
        <f t="shared" ref="AN109:AN172" si="4">VLOOKUP(AK109,$N$100:$Q$221,4,FALSE)</f>
        <v>Aucun impact puisque refacturation</v>
      </c>
    </row>
    <row r="110" spans="2:40">
      <c r="B110" s="11" t="s">
        <v>375</v>
      </c>
      <c r="C110" s="12" t="s">
        <v>376</v>
      </c>
      <c r="D110" s="24">
        <v>5062.8</v>
      </c>
      <c r="E110" s="7" t="s">
        <v>489</v>
      </c>
      <c r="I110" s="99" t="s">
        <v>177</v>
      </c>
      <c r="J110" s="98" t="s">
        <v>178</v>
      </c>
      <c r="K110" s="108">
        <v>41249</v>
      </c>
      <c r="L110" s="7" t="str">
        <f t="shared" si="0"/>
        <v>Frais courants</v>
      </c>
      <c r="N110" s="99" t="s">
        <v>181</v>
      </c>
      <c r="O110" s="98" t="s">
        <v>182</v>
      </c>
      <c r="P110" s="110">
        <v>98981.1</v>
      </c>
      <c r="Q110" s="7" t="s">
        <v>554</v>
      </c>
      <c r="S110" s="99" t="s">
        <v>173</v>
      </c>
      <c r="T110" s="98" t="s">
        <v>174</v>
      </c>
      <c r="U110" s="108">
        <v>0</v>
      </c>
      <c r="V110" s="7" t="str">
        <f t="shared" si="1"/>
        <v>Immobilier</v>
      </c>
      <c r="Y110" s="99" t="s">
        <v>371</v>
      </c>
      <c r="Z110" s="98" t="s">
        <v>372</v>
      </c>
      <c r="AA110" s="108">
        <v>2242.75</v>
      </c>
      <c r="AB110" s="7" t="str">
        <f t="shared" si="3"/>
        <v>Déplacements</v>
      </c>
      <c r="AE110" s="99" t="s">
        <v>173</v>
      </c>
      <c r="AF110" s="98" t="s">
        <v>174</v>
      </c>
      <c r="AG110" s="108">
        <v>0</v>
      </c>
      <c r="AH110" s="7" t="str">
        <f t="shared" si="2"/>
        <v>Immobilier</v>
      </c>
      <c r="AK110" s="99" t="s">
        <v>169</v>
      </c>
      <c r="AL110" s="98" t="s">
        <v>170</v>
      </c>
      <c r="AM110" s="108">
        <v>96892.22</v>
      </c>
      <c r="AN110" s="7" t="str">
        <f t="shared" si="4"/>
        <v>Aucun impact puisque refacturation</v>
      </c>
    </row>
    <row r="111" spans="2:40">
      <c r="B111" s="11" t="s">
        <v>191</v>
      </c>
      <c r="C111" s="12" t="s">
        <v>192</v>
      </c>
      <c r="D111" s="24">
        <v>4592.5200000000004</v>
      </c>
      <c r="E111" s="73" t="s">
        <v>541</v>
      </c>
      <c r="I111" s="99" t="s">
        <v>179</v>
      </c>
      <c r="J111" s="98" t="s">
        <v>180</v>
      </c>
      <c r="K111" s="108">
        <v>13989.95</v>
      </c>
      <c r="L111" s="7" t="str">
        <f t="shared" si="0"/>
        <v>Frais courants</v>
      </c>
      <c r="N111" s="99" t="s">
        <v>183</v>
      </c>
      <c r="O111" s="98" t="s">
        <v>184</v>
      </c>
      <c r="P111" s="110">
        <v>784.67</v>
      </c>
      <c r="Q111" s="7" t="s">
        <v>554</v>
      </c>
      <c r="S111" s="99" t="s">
        <v>175</v>
      </c>
      <c r="T111" s="98" t="s">
        <v>176</v>
      </c>
      <c r="U111" s="108">
        <v>37.06</v>
      </c>
      <c r="V111" s="7" t="str">
        <f t="shared" si="1"/>
        <v>Frais courants</v>
      </c>
      <c r="Y111" s="99" t="s">
        <v>171</v>
      </c>
      <c r="Z111" s="98" t="s">
        <v>172</v>
      </c>
      <c r="AA111" s="108">
        <v>0</v>
      </c>
      <c r="AB111" s="7" t="str">
        <f t="shared" si="3"/>
        <v>Immobilier</v>
      </c>
      <c r="AE111" s="99" t="s">
        <v>175</v>
      </c>
      <c r="AF111" s="98" t="s">
        <v>176</v>
      </c>
      <c r="AG111" s="108">
        <v>-4286.3999999999996</v>
      </c>
      <c r="AH111" s="7" t="str">
        <f t="shared" si="2"/>
        <v>Frais courants</v>
      </c>
      <c r="AK111" s="99" t="s">
        <v>369</v>
      </c>
      <c r="AL111" s="98" t="s">
        <v>370</v>
      </c>
      <c r="AM111" s="108">
        <v>0</v>
      </c>
      <c r="AN111" s="7">
        <v>0</v>
      </c>
    </row>
    <row r="112" spans="2:40">
      <c r="B112" s="11" t="s">
        <v>193</v>
      </c>
      <c r="C112" s="12" t="s">
        <v>194</v>
      </c>
      <c r="D112" s="24">
        <v>1153.3499999999999</v>
      </c>
      <c r="E112" s="73" t="s">
        <v>541</v>
      </c>
      <c r="I112" s="99" t="s">
        <v>605</v>
      </c>
      <c r="J112" s="98" t="s">
        <v>606</v>
      </c>
      <c r="K112" s="108">
        <v>4054.5</v>
      </c>
      <c r="L112" s="7" t="s">
        <v>554</v>
      </c>
      <c r="N112" s="99" t="s">
        <v>607</v>
      </c>
      <c r="O112" s="98" t="s">
        <v>608</v>
      </c>
      <c r="P112" s="110">
        <v>1500</v>
      </c>
      <c r="Q112" s="7" t="s">
        <v>489</v>
      </c>
      <c r="S112" s="99" t="s">
        <v>177</v>
      </c>
      <c r="T112" s="98" t="s">
        <v>178</v>
      </c>
      <c r="U112" s="108">
        <v>200.5</v>
      </c>
      <c r="V112" s="7" t="str">
        <f t="shared" si="1"/>
        <v>Frais courants</v>
      </c>
      <c r="Y112" s="99" t="s">
        <v>173</v>
      </c>
      <c r="Z112" s="98" t="s">
        <v>174</v>
      </c>
      <c r="AA112" s="108">
        <v>0</v>
      </c>
      <c r="AB112" s="7" t="str">
        <f t="shared" si="3"/>
        <v>Immobilier</v>
      </c>
      <c r="AE112" s="99" t="s">
        <v>177</v>
      </c>
      <c r="AF112" s="98" t="s">
        <v>178</v>
      </c>
      <c r="AG112" s="108">
        <v>1445.11</v>
      </c>
      <c r="AH112" s="7" t="str">
        <f t="shared" si="2"/>
        <v>Frais courants</v>
      </c>
      <c r="AK112" s="99" t="s">
        <v>371</v>
      </c>
      <c r="AL112" s="98" t="s">
        <v>372</v>
      </c>
      <c r="AM112" s="108">
        <v>3391.58</v>
      </c>
      <c r="AN112" s="7" t="str">
        <f t="shared" si="4"/>
        <v>Déplacements</v>
      </c>
    </row>
    <row r="113" spans="2:40">
      <c r="B113" s="11" t="s">
        <v>195</v>
      </c>
      <c r="C113" s="12" t="s">
        <v>196</v>
      </c>
      <c r="D113" s="24">
        <v>1210.05</v>
      </c>
      <c r="E113" s="73" t="s">
        <v>541</v>
      </c>
      <c r="I113" s="99" t="s">
        <v>181</v>
      </c>
      <c r="J113" s="98" t="s">
        <v>182</v>
      </c>
      <c r="K113" s="108">
        <v>523384.47</v>
      </c>
      <c r="L113" s="7" t="str">
        <f t="shared" si="0"/>
        <v>Immobilier</v>
      </c>
      <c r="N113" s="99" t="s">
        <v>185</v>
      </c>
      <c r="O113" s="98" t="s">
        <v>186</v>
      </c>
      <c r="P113" s="110">
        <v>1322.97</v>
      </c>
      <c r="Q113" s="7" t="s">
        <v>489</v>
      </c>
      <c r="S113" s="99" t="s">
        <v>179</v>
      </c>
      <c r="T113" s="98" t="s">
        <v>180</v>
      </c>
      <c r="U113" s="108">
        <v>191.62</v>
      </c>
      <c r="V113" s="7" t="str">
        <f t="shared" si="1"/>
        <v>Frais courants</v>
      </c>
      <c r="Y113" s="99" t="s">
        <v>175</v>
      </c>
      <c r="Z113" s="98" t="s">
        <v>176</v>
      </c>
      <c r="AA113" s="108">
        <v>9426.15</v>
      </c>
      <c r="AB113" s="7" t="str">
        <f t="shared" si="3"/>
        <v>Frais courants</v>
      </c>
      <c r="AE113" s="99" t="s">
        <v>179</v>
      </c>
      <c r="AF113" s="98" t="s">
        <v>180</v>
      </c>
      <c r="AG113" s="108">
        <v>782.68</v>
      </c>
      <c r="AH113" s="7" t="str">
        <f t="shared" si="2"/>
        <v>Frais courants</v>
      </c>
      <c r="AK113" s="99" t="s">
        <v>171</v>
      </c>
      <c r="AL113" s="98" t="s">
        <v>172</v>
      </c>
      <c r="AM113" s="108">
        <v>-1047.29</v>
      </c>
      <c r="AN113" s="7" t="str">
        <f t="shared" si="4"/>
        <v>Immobilier</v>
      </c>
    </row>
    <row r="114" spans="2:40">
      <c r="B114" s="11" t="s">
        <v>197</v>
      </c>
      <c r="C114" s="12" t="s">
        <v>198</v>
      </c>
      <c r="D114" s="24">
        <v>1750.05</v>
      </c>
      <c r="E114" s="73" t="s">
        <v>541</v>
      </c>
      <c r="I114" s="99" t="s">
        <v>183</v>
      </c>
      <c r="J114" s="98" t="s">
        <v>184</v>
      </c>
      <c r="K114" s="108">
        <v>4477.5200000000004</v>
      </c>
      <c r="L114" s="7" t="str">
        <f t="shared" si="0"/>
        <v>Immobilier</v>
      </c>
      <c r="N114" s="99" t="s">
        <v>187</v>
      </c>
      <c r="O114" s="98" t="s">
        <v>188</v>
      </c>
      <c r="P114" s="110">
        <v>4077.97</v>
      </c>
      <c r="Q114" s="7" t="s">
        <v>541</v>
      </c>
      <c r="S114" s="99" t="s">
        <v>605</v>
      </c>
      <c r="T114" s="98" t="s">
        <v>606</v>
      </c>
      <c r="U114" s="108">
        <v>4054.5</v>
      </c>
      <c r="V114" s="7" t="str">
        <f t="shared" si="1"/>
        <v>Immobilier</v>
      </c>
      <c r="Y114" s="99" t="s">
        <v>177</v>
      </c>
      <c r="Z114" s="98" t="s">
        <v>178</v>
      </c>
      <c r="AA114" s="108">
        <v>15380.2</v>
      </c>
      <c r="AB114" s="7" t="str">
        <f t="shared" si="3"/>
        <v>Frais courants</v>
      </c>
      <c r="AE114" s="99" t="s">
        <v>605</v>
      </c>
      <c r="AF114" s="98" t="s">
        <v>606</v>
      </c>
      <c r="AG114" s="108">
        <v>0</v>
      </c>
      <c r="AH114" s="7" t="str">
        <f t="shared" si="2"/>
        <v>Immobilier</v>
      </c>
      <c r="AK114" s="99" t="s">
        <v>173</v>
      </c>
      <c r="AL114" s="98" t="s">
        <v>174</v>
      </c>
      <c r="AM114" s="108">
        <v>-2129.16</v>
      </c>
      <c r="AN114" s="7" t="str">
        <f t="shared" si="4"/>
        <v>Immobilier</v>
      </c>
    </row>
    <row r="115" spans="2:40">
      <c r="B115" s="11" t="s">
        <v>199</v>
      </c>
      <c r="C115" s="12" t="s">
        <v>200</v>
      </c>
      <c r="D115" s="24">
        <v>1153.3499999999999</v>
      </c>
      <c r="E115" s="73" t="s">
        <v>541</v>
      </c>
      <c r="I115" s="99" t="s">
        <v>373</v>
      </c>
      <c r="J115" s="98" t="s">
        <v>374</v>
      </c>
      <c r="K115" s="108">
        <v>9012.09</v>
      </c>
      <c r="L115" s="7" t="str">
        <f t="shared" si="0"/>
        <v>Locations</v>
      </c>
      <c r="N115" s="99" t="s">
        <v>189</v>
      </c>
      <c r="O115" s="98" t="s">
        <v>190</v>
      </c>
      <c r="P115" s="110">
        <v>2967</v>
      </c>
      <c r="Q115" s="7" t="s">
        <v>489</v>
      </c>
      <c r="S115" s="99" t="s">
        <v>181</v>
      </c>
      <c r="T115" s="98" t="s">
        <v>182</v>
      </c>
      <c r="U115" s="108">
        <v>42993.7</v>
      </c>
      <c r="V115" s="7" t="str">
        <f t="shared" si="1"/>
        <v>Immobilier</v>
      </c>
      <c r="Y115" s="99" t="s">
        <v>179</v>
      </c>
      <c r="Z115" s="98" t="s">
        <v>180</v>
      </c>
      <c r="AA115" s="108">
        <v>424.1</v>
      </c>
      <c r="AB115" s="7" t="str">
        <f t="shared" si="3"/>
        <v>Frais courants</v>
      </c>
      <c r="AE115" s="99" t="s">
        <v>181</v>
      </c>
      <c r="AF115" s="98" t="s">
        <v>182</v>
      </c>
      <c r="AG115" s="108">
        <v>41487.199999999997</v>
      </c>
      <c r="AH115" s="7" t="str">
        <f t="shared" si="2"/>
        <v>Immobilier</v>
      </c>
      <c r="AK115" s="99" t="s">
        <v>175</v>
      </c>
      <c r="AL115" s="98" t="s">
        <v>176</v>
      </c>
      <c r="AM115" s="108">
        <v>22054.799999999999</v>
      </c>
      <c r="AN115" s="7" t="str">
        <f t="shared" si="4"/>
        <v>Frais courants</v>
      </c>
    </row>
    <row r="116" spans="2:40">
      <c r="B116" s="11" t="s">
        <v>201</v>
      </c>
      <c r="C116" s="12" t="s">
        <v>202</v>
      </c>
      <c r="D116" s="24">
        <v>4090.83</v>
      </c>
      <c r="E116" s="73" t="s">
        <v>541</v>
      </c>
      <c r="I116" s="99" t="s">
        <v>607</v>
      </c>
      <c r="J116" s="98" t="s">
        <v>608</v>
      </c>
      <c r="K116" s="108">
        <v>6000</v>
      </c>
      <c r="L116" s="7" t="s">
        <v>489</v>
      </c>
      <c r="N116" s="99" t="s">
        <v>203</v>
      </c>
      <c r="O116" s="98" t="s">
        <v>204</v>
      </c>
      <c r="P116" s="110">
        <v>182.46</v>
      </c>
      <c r="Q116" s="7" t="s">
        <v>541</v>
      </c>
      <c r="S116" s="99" t="s">
        <v>183</v>
      </c>
      <c r="T116" s="98" t="s">
        <v>184</v>
      </c>
      <c r="U116" s="108">
        <v>401.97</v>
      </c>
      <c r="V116" s="7" t="str">
        <f t="shared" si="1"/>
        <v>Immobilier</v>
      </c>
      <c r="Y116" s="99" t="s">
        <v>605</v>
      </c>
      <c r="Z116" s="98" t="s">
        <v>606</v>
      </c>
      <c r="AA116" s="108">
        <v>0</v>
      </c>
      <c r="AB116" s="7" t="str">
        <f t="shared" si="3"/>
        <v>Immobilier</v>
      </c>
      <c r="AE116" s="99" t="s">
        <v>183</v>
      </c>
      <c r="AF116" s="98" t="s">
        <v>184</v>
      </c>
      <c r="AG116" s="108">
        <v>251.88</v>
      </c>
      <c r="AH116" s="7" t="str">
        <f t="shared" si="2"/>
        <v>Immobilier</v>
      </c>
      <c r="AK116" s="99" t="s">
        <v>177</v>
      </c>
      <c r="AL116" s="98" t="s">
        <v>178</v>
      </c>
      <c r="AM116" s="108">
        <v>20125.830000000002</v>
      </c>
      <c r="AN116" s="7" t="str">
        <f t="shared" si="4"/>
        <v>Frais courants</v>
      </c>
    </row>
    <row r="117" spans="2:40">
      <c r="B117" s="11" t="s">
        <v>203</v>
      </c>
      <c r="C117" s="12" t="s">
        <v>204</v>
      </c>
      <c r="D117" s="25">
        <v>182.46</v>
      </c>
      <c r="E117" s="73" t="s">
        <v>541</v>
      </c>
      <c r="I117" s="99" t="s">
        <v>185</v>
      </c>
      <c r="J117" s="98" t="s">
        <v>186</v>
      </c>
      <c r="K117" s="108">
        <v>4908.1000000000004</v>
      </c>
      <c r="L117" s="7" t="str">
        <f t="shared" si="0"/>
        <v>Locations</v>
      </c>
      <c r="N117" s="99" t="s">
        <v>207</v>
      </c>
      <c r="O117" s="98" t="s">
        <v>208</v>
      </c>
      <c r="P117" s="110">
        <v>1823.62</v>
      </c>
      <c r="Q117" s="7" t="s">
        <v>489</v>
      </c>
      <c r="S117" s="99" t="s">
        <v>373</v>
      </c>
      <c r="T117" s="98" t="s">
        <v>374</v>
      </c>
      <c r="U117" s="108">
        <v>1700</v>
      </c>
      <c r="V117" s="7" t="s">
        <v>489</v>
      </c>
      <c r="Y117" s="99" t="s">
        <v>181</v>
      </c>
      <c r="Z117" s="98" t="s">
        <v>182</v>
      </c>
      <c r="AA117" s="108">
        <v>-1145.95</v>
      </c>
      <c r="AB117" s="7" t="str">
        <f t="shared" si="3"/>
        <v>Immobilier</v>
      </c>
      <c r="AE117" s="99" t="s">
        <v>607</v>
      </c>
      <c r="AF117" s="98" t="s">
        <v>608</v>
      </c>
      <c r="AG117" s="108">
        <v>500</v>
      </c>
      <c r="AH117" s="7" t="str">
        <f t="shared" si="2"/>
        <v>Locations</v>
      </c>
      <c r="AK117" s="99" t="s">
        <v>179</v>
      </c>
      <c r="AL117" s="98" t="s">
        <v>180</v>
      </c>
      <c r="AM117" s="108">
        <v>3548.81</v>
      </c>
      <c r="AN117" s="7" t="str">
        <f t="shared" si="4"/>
        <v>Frais courants</v>
      </c>
    </row>
    <row r="118" spans="2:40">
      <c r="B118" s="11" t="s">
        <v>205</v>
      </c>
      <c r="C118" s="12" t="s">
        <v>206</v>
      </c>
      <c r="D118" s="24">
        <v>11388</v>
      </c>
      <c r="E118" s="73" t="s">
        <v>541</v>
      </c>
      <c r="I118" s="99" t="s">
        <v>187</v>
      </c>
      <c r="J118" s="98" t="s">
        <v>188</v>
      </c>
      <c r="K118" s="108">
        <v>7889.44</v>
      </c>
      <c r="L118" s="7" t="str">
        <f t="shared" si="0"/>
        <v>Absent sur nouvel exercice</v>
      </c>
      <c r="N118" s="99" t="s">
        <v>209</v>
      </c>
      <c r="O118" s="98" t="s">
        <v>210</v>
      </c>
      <c r="P118" s="110">
        <v>10428.92</v>
      </c>
      <c r="Q118" s="7" t="s">
        <v>489</v>
      </c>
      <c r="S118" s="99" t="s">
        <v>607</v>
      </c>
      <c r="T118" s="98" t="s">
        <v>608</v>
      </c>
      <c r="U118" s="108">
        <v>500</v>
      </c>
      <c r="V118" s="7" t="str">
        <f t="shared" si="1"/>
        <v>Locations</v>
      </c>
      <c r="Y118" s="99" t="s">
        <v>183</v>
      </c>
      <c r="Z118" s="98" t="s">
        <v>184</v>
      </c>
      <c r="AA118" s="108">
        <v>415.38</v>
      </c>
      <c r="AB118" s="7" t="str">
        <f t="shared" si="3"/>
        <v>Immobilier</v>
      </c>
      <c r="AE118" s="99" t="s">
        <v>185</v>
      </c>
      <c r="AF118" s="98" t="s">
        <v>186</v>
      </c>
      <c r="AG118" s="108">
        <v>0</v>
      </c>
      <c r="AH118" s="7" t="str">
        <f t="shared" si="2"/>
        <v>Locations</v>
      </c>
      <c r="AK118" s="99" t="s">
        <v>605</v>
      </c>
      <c r="AL118" s="98" t="s">
        <v>606</v>
      </c>
      <c r="AM118" s="108">
        <v>8109</v>
      </c>
      <c r="AN118" s="7" t="str">
        <f t="shared" si="4"/>
        <v>Immobilier</v>
      </c>
    </row>
    <row r="119" spans="2:40">
      <c r="B119" s="11" t="s">
        <v>207</v>
      </c>
      <c r="C119" s="12" t="s">
        <v>208</v>
      </c>
      <c r="D119" s="24">
        <v>11450.52</v>
      </c>
      <c r="E119" s="7" t="s">
        <v>489</v>
      </c>
      <c r="I119" s="99" t="s">
        <v>189</v>
      </c>
      <c r="J119" s="98" t="s">
        <v>190</v>
      </c>
      <c r="K119" s="108">
        <v>15802.5</v>
      </c>
      <c r="L119" s="7" t="str">
        <f t="shared" si="0"/>
        <v>Locations</v>
      </c>
      <c r="N119" s="99" t="s">
        <v>377</v>
      </c>
      <c r="O119" s="98" t="s">
        <v>378</v>
      </c>
      <c r="P119" s="110">
        <v>5947.71</v>
      </c>
      <c r="Q119" s="7" t="s">
        <v>488</v>
      </c>
      <c r="S119" s="99" t="s">
        <v>185</v>
      </c>
      <c r="T119" s="98" t="s">
        <v>186</v>
      </c>
      <c r="U119" s="108">
        <v>0</v>
      </c>
      <c r="V119" s="7" t="str">
        <f t="shared" si="1"/>
        <v>Locations</v>
      </c>
      <c r="Y119" s="99" t="s">
        <v>607</v>
      </c>
      <c r="Z119" s="98" t="s">
        <v>608</v>
      </c>
      <c r="AA119" s="108">
        <v>500</v>
      </c>
      <c r="AB119" s="7" t="str">
        <f t="shared" si="3"/>
        <v>Locations</v>
      </c>
      <c r="AE119" s="99" t="s">
        <v>187</v>
      </c>
      <c r="AF119" s="98" t="s">
        <v>188</v>
      </c>
      <c r="AG119" s="108">
        <v>1376</v>
      </c>
      <c r="AH119" s="7" t="str">
        <f t="shared" si="2"/>
        <v>Absent sur nouvel exercice</v>
      </c>
      <c r="AK119" s="99" t="s">
        <v>181</v>
      </c>
      <c r="AL119" s="98" t="s">
        <v>182</v>
      </c>
      <c r="AM119" s="108">
        <v>182316.05</v>
      </c>
      <c r="AN119" s="7" t="str">
        <f t="shared" si="4"/>
        <v>Immobilier</v>
      </c>
    </row>
    <row r="120" spans="2:40">
      <c r="B120" s="11" t="s">
        <v>209</v>
      </c>
      <c r="C120" s="12" t="s">
        <v>210</v>
      </c>
      <c r="D120" s="24">
        <v>27917.58</v>
      </c>
      <c r="E120" s="7" t="s">
        <v>489</v>
      </c>
      <c r="I120" s="99" t="s">
        <v>375</v>
      </c>
      <c r="J120" s="98" t="s">
        <v>376</v>
      </c>
      <c r="K120" s="108">
        <v>5542.68</v>
      </c>
      <c r="L120" s="7" t="str">
        <f t="shared" si="0"/>
        <v>Locations</v>
      </c>
      <c r="N120" s="99" t="s">
        <v>379</v>
      </c>
      <c r="O120" s="98" t="s">
        <v>380</v>
      </c>
      <c r="P120" s="110">
        <v>1627.73</v>
      </c>
      <c r="Q120" s="7" t="s">
        <v>488</v>
      </c>
      <c r="S120" s="99" t="s">
        <v>187</v>
      </c>
      <c r="T120" s="98" t="s">
        <v>188</v>
      </c>
      <c r="U120" s="108">
        <v>1364</v>
      </c>
      <c r="V120" s="7" t="str">
        <f t="shared" si="1"/>
        <v>Absent sur nouvel exercice</v>
      </c>
      <c r="Y120" s="99" t="s">
        <v>185</v>
      </c>
      <c r="Z120" s="98" t="s">
        <v>186</v>
      </c>
      <c r="AA120" s="108">
        <v>2822.11</v>
      </c>
      <c r="AB120" s="7" t="str">
        <f t="shared" si="3"/>
        <v>Locations</v>
      </c>
      <c r="AE120" s="99" t="s">
        <v>708</v>
      </c>
      <c r="AF120" s="98" t="s">
        <v>709</v>
      </c>
      <c r="AG120" s="108">
        <v>226.83</v>
      </c>
      <c r="AH120" s="7" t="str">
        <f t="shared" si="2"/>
        <v>Locations</v>
      </c>
      <c r="AK120" s="99" t="s">
        <v>183</v>
      </c>
      <c r="AL120" s="98" t="s">
        <v>184</v>
      </c>
      <c r="AM120" s="108">
        <v>1853.9</v>
      </c>
      <c r="AN120" s="7" t="str">
        <f t="shared" si="4"/>
        <v>Immobilier</v>
      </c>
    </row>
    <row r="121" spans="2:40">
      <c r="B121" s="11" t="s">
        <v>377</v>
      </c>
      <c r="C121" s="12" t="s">
        <v>378</v>
      </c>
      <c r="D121" s="24">
        <v>19668.080000000002</v>
      </c>
      <c r="E121" s="7" t="s">
        <v>488</v>
      </c>
      <c r="I121" s="99" t="s">
        <v>191</v>
      </c>
      <c r="J121" s="98" t="s">
        <v>192</v>
      </c>
      <c r="K121" s="108">
        <v>4592.5200000000004</v>
      </c>
      <c r="L121" s="7" t="str">
        <f t="shared" si="0"/>
        <v>Absent sur nouvel exercice</v>
      </c>
      <c r="N121" s="99" t="s">
        <v>211</v>
      </c>
      <c r="O121" s="98" t="s">
        <v>212</v>
      </c>
      <c r="P121" s="110">
        <v>4733.8</v>
      </c>
      <c r="Q121" s="7" t="s">
        <v>488</v>
      </c>
      <c r="S121" s="99" t="s">
        <v>189</v>
      </c>
      <c r="T121" s="98" t="s">
        <v>190</v>
      </c>
      <c r="U121" s="108">
        <v>978.13</v>
      </c>
      <c r="V121" s="7" t="str">
        <f t="shared" si="1"/>
        <v>Locations</v>
      </c>
      <c r="Y121" s="99" t="s">
        <v>187</v>
      </c>
      <c r="Z121" s="98" t="s">
        <v>188</v>
      </c>
      <c r="AA121" s="108">
        <v>1356</v>
      </c>
      <c r="AB121" s="7" t="str">
        <f t="shared" si="3"/>
        <v>Absent sur nouvel exercice</v>
      </c>
      <c r="AE121" s="99" t="s">
        <v>189</v>
      </c>
      <c r="AF121" s="98" t="s">
        <v>190</v>
      </c>
      <c r="AG121" s="108">
        <v>978.13</v>
      </c>
      <c r="AH121" s="7" t="str">
        <f t="shared" si="2"/>
        <v>Locations</v>
      </c>
      <c r="AK121" s="99" t="s">
        <v>373</v>
      </c>
      <c r="AL121" s="98" t="s">
        <v>374</v>
      </c>
      <c r="AM121" s="108">
        <v>1700</v>
      </c>
      <c r="AN121" s="7" t="s">
        <v>489</v>
      </c>
    </row>
    <row r="122" spans="2:40">
      <c r="B122" s="11" t="s">
        <v>379</v>
      </c>
      <c r="C122" s="12" t="s">
        <v>380</v>
      </c>
      <c r="D122" s="24">
        <v>1030.56</v>
      </c>
      <c r="E122" s="7" t="s">
        <v>488</v>
      </c>
      <c r="I122" s="99" t="s">
        <v>193</v>
      </c>
      <c r="J122" s="98" t="s">
        <v>194</v>
      </c>
      <c r="K122" s="108">
        <v>1153.3499999999999</v>
      </c>
      <c r="L122" s="7" t="str">
        <f t="shared" si="0"/>
        <v>Absent sur nouvel exercice</v>
      </c>
      <c r="N122" s="99" t="s">
        <v>213</v>
      </c>
      <c r="O122" s="98" t="s">
        <v>214</v>
      </c>
      <c r="P122" s="110">
        <v>2513.25</v>
      </c>
      <c r="Q122" s="7" t="s">
        <v>540</v>
      </c>
      <c r="S122" s="99" t="s">
        <v>375</v>
      </c>
      <c r="T122" s="98" t="s">
        <v>376</v>
      </c>
      <c r="U122" s="108">
        <v>3095.04</v>
      </c>
      <c r="V122" s="7" t="s">
        <v>489</v>
      </c>
      <c r="Y122" s="99" t="s">
        <v>708</v>
      </c>
      <c r="Z122" s="98" t="s">
        <v>709</v>
      </c>
      <c r="AA122" s="108">
        <v>317.56</v>
      </c>
      <c r="AB122" s="7" t="s">
        <v>489</v>
      </c>
      <c r="AE122" s="99" t="s">
        <v>375</v>
      </c>
      <c r="AF122" s="98" t="s">
        <v>376</v>
      </c>
      <c r="AG122" s="108">
        <v>0</v>
      </c>
      <c r="AH122" s="7" t="str">
        <f t="shared" si="2"/>
        <v>Locations</v>
      </c>
      <c r="AK122" s="99" t="s">
        <v>607</v>
      </c>
      <c r="AL122" s="98" t="s">
        <v>608</v>
      </c>
      <c r="AM122" s="108">
        <v>3000</v>
      </c>
      <c r="AN122" s="7" t="str">
        <f t="shared" si="4"/>
        <v>Locations</v>
      </c>
    </row>
    <row r="123" spans="2:40">
      <c r="B123" s="11" t="s">
        <v>211</v>
      </c>
      <c r="C123" s="12" t="s">
        <v>212</v>
      </c>
      <c r="D123" s="24">
        <v>18738.05</v>
      </c>
      <c r="E123" s="7" t="s">
        <v>488</v>
      </c>
      <c r="I123" s="99" t="s">
        <v>195</v>
      </c>
      <c r="J123" s="98" t="s">
        <v>196</v>
      </c>
      <c r="K123" s="108">
        <v>1210.05</v>
      </c>
      <c r="L123" s="7" t="str">
        <f t="shared" si="0"/>
        <v>Absent sur nouvel exercice</v>
      </c>
      <c r="N123" s="99" t="s">
        <v>215</v>
      </c>
      <c r="O123" s="98" t="s">
        <v>216</v>
      </c>
      <c r="P123" s="110">
        <v>6214.73</v>
      </c>
      <c r="Q123" s="7" t="s">
        <v>488</v>
      </c>
      <c r="S123" s="99" t="s">
        <v>203</v>
      </c>
      <c r="T123" s="98" t="s">
        <v>204</v>
      </c>
      <c r="U123" s="108">
        <v>0</v>
      </c>
      <c r="V123" s="7" t="str">
        <f t="shared" si="1"/>
        <v>Absent sur nouvel exercice</v>
      </c>
      <c r="Y123" s="99" t="s">
        <v>189</v>
      </c>
      <c r="Z123" s="98" t="s">
        <v>190</v>
      </c>
      <c r="AA123" s="108">
        <v>1010.74</v>
      </c>
      <c r="AB123" s="7" t="str">
        <f t="shared" si="3"/>
        <v>Locations</v>
      </c>
      <c r="AE123" s="99" t="s">
        <v>203</v>
      </c>
      <c r="AF123" s="98" t="s">
        <v>204</v>
      </c>
      <c r="AG123" s="108">
        <v>0</v>
      </c>
      <c r="AH123" s="7" t="str">
        <f t="shared" si="2"/>
        <v>Absent sur nouvel exercice</v>
      </c>
      <c r="AK123" s="99" t="s">
        <v>185</v>
      </c>
      <c r="AL123" s="98" t="s">
        <v>186</v>
      </c>
      <c r="AM123" s="108">
        <v>4145.08</v>
      </c>
      <c r="AN123" s="7" t="str">
        <f t="shared" si="4"/>
        <v>Locations</v>
      </c>
    </row>
    <row r="124" spans="2:40">
      <c r="B124" s="11" t="s">
        <v>213</v>
      </c>
      <c r="C124" s="12" t="s">
        <v>214</v>
      </c>
      <c r="D124" s="24">
        <v>37752.400000000001</v>
      </c>
      <c r="E124" s="7" t="s">
        <v>540</v>
      </c>
      <c r="F124" s="28">
        <f>D124-25000</f>
        <v>12752.400000000001</v>
      </c>
      <c r="I124" s="99" t="s">
        <v>197</v>
      </c>
      <c r="J124" s="98" t="s">
        <v>198</v>
      </c>
      <c r="K124" s="108">
        <v>1750.05</v>
      </c>
      <c r="L124" s="7" t="str">
        <f t="shared" si="0"/>
        <v>Absent sur nouvel exercice</v>
      </c>
      <c r="N124" s="99" t="s">
        <v>611</v>
      </c>
      <c r="O124" s="98" t="s">
        <v>612</v>
      </c>
      <c r="P124" s="110">
        <v>822.61</v>
      </c>
      <c r="Q124" s="7" t="s">
        <v>6</v>
      </c>
      <c r="S124" s="99" t="s">
        <v>205</v>
      </c>
      <c r="T124" s="98" t="s">
        <v>206</v>
      </c>
      <c r="U124" s="108">
        <v>0</v>
      </c>
      <c r="V124" s="7" t="s">
        <v>489</v>
      </c>
      <c r="Y124" s="99" t="s">
        <v>375</v>
      </c>
      <c r="Z124" s="98" t="s">
        <v>376</v>
      </c>
      <c r="AA124" s="108">
        <v>4318.92</v>
      </c>
      <c r="AB124" s="7" t="str">
        <f t="shared" si="3"/>
        <v>Locations</v>
      </c>
      <c r="AE124" s="99" t="s">
        <v>205</v>
      </c>
      <c r="AF124" s="98" t="s">
        <v>206</v>
      </c>
      <c r="AG124" s="108">
        <v>0</v>
      </c>
      <c r="AH124" s="7" t="str">
        <f t="shared" si="2"/>
        <v>Locations</v>
      </c>
      <c r="AK124" s="99" t="s">
        <v>187</v>
      </c>
      <c r="AL124" s="98" t="s">
        <v>188</v>
      </c>
      <c r="AM124" s="108">
        <v>8173.97</v>
      </c>
      <c r="AN124" s="7" t="s">
        <v>489</v>
      </c>
    </row>
    <row r="125" spans="2:40">
      <c r="B125" s="11" t="s">
        <v>215</v>
      </c>
      <c r="C125" s="12" t="s">
        <v>216</v>
      </c>
      <c r="D125" s="24">
        <v>34521.129999999997</v>
      </c>
      <c r="E125" s="7" t="s">
        <v>488</v>
      </c>
      <c r="I125" s="99" t="s">
        <v>199</v>
      </c>
      <c r="J125" s="98" t="s">
        <v>200</v>
      </c>
      <c r="K125" s="108">
        <v>1153.3499999999999</v>
      </c>
      <c r="L125" s="7" t="str">
        <f t="shared" si="0"/>
        <v>Absent sur nouvel exercice</v>
      </c>
      <c r="N125" s="99" t="s">
        <v>615</v>
      </c>
      <c r="O125" s="98" t="s">
        <v>616</v>
      </c>
      <c r="P125" s="110">
        <v>2.5</v>
      </c>
      <c r="Q125" s="7" t="s">
        <v>6</v>
      </c>
      <c r="S125" s="99" t="s">
        <v>609</v>
      </c>
      <c r="T125" s="98" t="s">
        <v>610</v>
      </c>
      <c r="U125" s="108">
        <v>0</v>
      </c>
      <c r="V125" s="7" t="s">
        <v>489</v>
      </c>
      <c r="Y125" s="99" t="s">
        <v>203</v>
      </c>
      <c r="Z125" s="98" t="s">
        <v>204</v>
      </c>
      <c r="AA125" s="108">
        <v>0</v>
      </c>
      <c r="AB125" s="7" t="str">
        <f t="shared" si="3"/>
        <v>Absent sur nouvel exercice</v>
      </c>
      <c r="AE125" s="99" t="s">
        <v>609</v>
      </c>
      <c r="AF125" s="98" t="s">
        <v>610</v>
      </c>
      <c r="AG125" s="108">
        <v>0</v>
      </c>
      <c r="AH125" s="7" t="str">
        <f t="shared" si="2"/>
        <v>Locations</v>
      </c>
      <c r="AK125" s="99" t="s">
        <v>708</v>
      </c>
      <c r="AL125" s="98" t="s">
        <v>709</v>
      </c>
      <c r="AM125" s="108">
        <v>544.39</v>
      </c>
      <c r="AN125" s="7" t="s">
        <v>489</v>
      </c>
    </row>
    <row r="126" spans="2:40">
      <c r="B126" s="11" t="s">
        <v>217</v>
      </c>
      <c r="C126" s="12" t="s">
        <v>218</v>
      </c>
      <c r="D126" s="24">
        <v>1759.77</v>
      </c>
      <c r="E126" s="7" t="s">
        <v>6</v>
      </c>
      <c r="I126" s="99" t="s">
        <v>201</v>
      </c>
      <c r="J126" s="98" t="s">
        <v>202</v>
      </c>
      <c r="K126" s="108">
        <v>4090.83</v>
      </c>
      <c r="L126" s="7" t="str">
        <f t="shared" si="0"/>
        <v>Absent sur nouvel exercice</v>
      </c>
      <c r="N126" s="99" t="s">
        <v>217</v>
      </c>
      <c r="O126" s="98" t="s">
        <v>218</v>
      </c>
      <c r="P126" s="110">
        <v>403.27</v>
      </c>
      <c r="Q126" s="7" t="s">
        <v>6</v>
      </c>
      <c r="S126" s="99" t="s">
        <v>207</v>
      </c>
      <c r="T126" s="98" t="s">
        <v>208</v>
      </c>
      <c r="U126" s="108">
        <v>476.71</v>
      </c>
      <c r="V126" s="7" t="str">
        <f t="shared" si="1"/>
        <v>Locations</v>
      </c>
      <c r="Y126" s="99" t="s">
        <v>205</v>
      </c>
      <c r="Z126" s="98" t="s">
        <v>206</v>
      </c>
      <c r="AA126" s="108">
        <v>0</v>
      </c>
      <c r="AB126" s="7" t="str">
        <f t="shared" si="3"/>
        <v>Locations</v>
      </c>
      <c r="AE126" s="99" t="s">
        <v>207</v>
      </c>
      <c r="AF126" s="98" t="s">
        <v>208</v>
      </c>
      <c r="AG126" s="108">
        <v>476.71</v>
      </c>
      <c r="AH126" s="7" t="str">
        <f t="shared" si="2"/>
        <v>Locations</v>
      </c>
      <c r="AK126" s="99" t="s">
        <v>189</v>
      </c>
      <c r="AL126" s="98" t="s">
        <v>190</v>
      </c>
      <c r="AM126" s="108">
        <v>5934</v>
      </c>
      <c r="AN126" s="7" t="str">
        <f t="shared" si="4"/>
        <v>Locations</v>
      </c>
    </row>
    <row r="127" spans="2:40">
      <c r="B127" s="11" t="s">
        <v>219</v>
      </c>
      <c r="C127" s="12" t="s">
        <v>220</v>
      </c>
      <c r="D127" s="24">
        <v>1133.0899999999999</v>
      </c>
      <c r="E127" s="7" t="s">
        <v>6</v>
      </c>
      <c r="I127" s="99" t="s">
        <v>203</v>
      </c>
      <c r="J127" s="98" t="s">
        <v>204</v>
      </c>
      <c r="K127" s="108">
        <v>547.38</v>
      </c>
      <c r="L127" s="7" t="str">
        <f t="shared" si="0"/>
        <v>Absent sur nouvel exercice</v>
      </c>
      <c r="N127" s="99" t="s">
        <v>219</v>
      </c>
      <c r="O127" s="98" t="s">
        <v>220</v>
      </c>
      <c r="P127" s="110">
        <v>139.94999999999999</v>
      </c>
      <c r="Q127" s="7" t="s">
        <v>6</v>
      </c>
      <c r="S127" s="99" t="s">
        <v>209</v>
      </c>
      <c r="T127" s="98" t="s">
        <v>210</v>
      </c>
      <c r="U127" s="108">
        <v>3732.28</v>
      </c>
      <c r="V127" s="7" t="str">
        <f t="shared" si="1"/>
        <v>Locations</v>
      </c>
      <c r="Y127" s="99" t="s">
        <v>609</v>
      </c>
      <c r="Z127" s="98" t="s">
        <v>610</v>
      </c>
      <c r="AA127" s="108">
        <v>0</v>
      </c>
      <c r="AB127" s="7" t="str">
        <f t="shared" si="3"/>
        <v>Locations</v>
      </c>
      <c r="AE127" s="99" t="s">
        <v>209</v>
      </c>
      <c r="AF127" s="98" t="s">
        <v>210</v>
      </c>
      <c r="AG127" s="108">
        <v>3360.89</v>
      </c>
      <c r="AH127" s="7" t="str">
        <f t="shared" si="2"/>
        <v>Locations</v>
      </c>
      <c r="AK127" s="99" t="s">
        <v>375</v>
      </c>
      <c r="AL127" s="98" t="s">
        <v>376</v>
      </c>
      <c r="AM127" s="108">
        <v>7413.96</v>
      </c>
      <c r="AN127" s="7" t="s">
        <v>489</v>
      </c>
    </row>
    <row r="128" spans="2:40">
      <c r="B128" s="11" t="s">
        <v>221</v>
      </c>
      <c r="C128" s="12" t="s">
        <v>222</v>
      </c>
      <c r="D128" s="24">
        <v>42750.22</v>
      </c>
      <c r="E128" s="7" t="s">
        <v>6</v>
      </c>
      <c r="I128" s="99" t="s">
        <v>205</v>
      </c>
      <c r="J128" s="98" t="s">
        <v>206</v>
      </c>
      <c r="K128" s="108">
        <v>12316.37</v>
      </c>
      <c r="L128" s="7" t="str">
        <f t="shared" si="0"/>
        <v>Absent sur nouvel exercice</v>
      </c>
      <c r="N128" s="99" t="s">
        <v>221</v>
      </c>
      <c r="O128" s="98" t="s">
        <v>222</v>
      </c>
      <c r="P128" s="110">
        <v>10233.02</v>
      </c>
      <c r="Q128" s="7" t="s">
        <v>6</v>
      </c>
      <c r="S128" s="99" t="s">
        <v>377</v>
      </c>
      <c r="T128" s="98" t="s">
        <v>378</v>
      </c>
      <c r="U128" s="108">
        <v>2956.5</v>
      </c>
      <c r="V128" s="7" t="str">
        <f t="shared" si="1"/>
        <v>Frais courants</v>
      </c>
      <c r="Y128" s="99" t="s">
        <v>207</v>
      </c>
      <c r="Z128" s="98" t="s">
        <v>208</v>
      </c>
      <c r="AA128" s="108">
        <v>492.61</v>
      </c>
      <c r="AB128" s="7" t="str">
        <f t="shared" si="3"/>
        <v>Locations</v>
      </c>
      <c r="AE128" s="99" t="s">
        <v>377</v>
      </c>
      <c r="AF128" s="98" t="s">
        <v>378</v>
      </c>
      <c r="AG128" s="108">
        <v>2356.5</v>
      </c>
      <c r="AH128" s="7" t="str">
        <f t="shared" si="2"/>
        <v>Frais courants</v>
      </c>
      <c r="AK128" s="99" t="s">
        <v>203</v>
      </c>
      <c r="AL128" s="98" t="s">
        <v>204</v>
      </c>
      <c r="AM128" s="108">
        <v>182.46</v>
      </c>
      <c r="AN128" s="7" t="str">
        <f t="shared" si="4"/>
        <v>Absent sur nouvel exercice</v>
      </c>
    </row>
    <row r="129" spans="2:40">
      <c r="B129" s="11" t="s">
        <v>223</v>
      </c>
      <c r="C129" s="12" t="s">
        <v>224</v>
      </c>
      <c r="D129" s="24">
        <v>679.91</v>
      </c>
      <c r="E129" s="7" t="s">
        <v>6</v>
      </c>
      <c r="I129" s="99" t="s">
        <v>609</v>
      </c>
      <c r="J129" s="98" t="s">
        <v>610</v>
      </c>
      <c r="K129" s="108">
        <v>482.64</v>
      </c>
      <c r="L129" s="7" t="s">
        <v>489</v>
      </c>
      <c r="N129" s="99" t="s">
        <v>223</v>
      </c>
      <c r="O129" s="98" t="s">
        <v>224</v>
      </c>
      <c r="P129" s="110">
        <v>167.8</v>
      </c>
      <c r="Q129" s="7" t="s">
        <v>6</v>
      </c>
      <c r="S129" s="99" t="s">
        <v>379</v>
      </c>
      <c r="T129" s="98" t="s">
        <v>380</v>
      </c>
      <c r="U129" s="108">
        <v>0</v>
      </c>
      <c r="V129" s="7" t="str">
        <f t="shared" si="1"/>
        <v>Frais courants</v>
      </c>
      <c r="Y129" s="99" t="s">
        <v>209</v>
      </c>
      <c r="Z129" s="98" t="s">
        <v>210</v>
      </c>
      <c r="AA129" s="108">
        <v>3639.89</v>
      </c>
      <c r="AB129" s="7" t="str">
        <f t="shared" si="3"/>
        <v>Locations</v>
      </c>
      <c r="AE129" s="99" t="s">
        <v>379</v>
      </c>
      <c r="AF129" s="98" t="s">
        <v>380</v>
      </c>
      <c r="AG129" s="108">
        <v>0</v>
      </c>
      <c r="AH129" s="7" t="str">
        <f t="shared" si="2"/>
        <v>Frais courants</v>
      </c>
      <c r="AK129" s="99" t="s">
        <v>205</v>
      </c>
      <c r="AL129" s="98" t="s">
        <v>206</v>
      </c>
      <c r="AM129" s="108">
        <v>0</v>
      </c>
      <c r="AN129" s="7" t="s">
        <v>489</v>
      </c>
    </row>
    <row r="130" spans="2:40">
      <c r="B130" s="11" t="s">
        <v>225</v>
      </c>
      <c r="C130" s="12" t="s">
        <v>226</v>
      </c>
      <c r="D130" s="24">
        <v>673.21</v>
      </c>
      <c r="E130" s="7" t="s">
        <v>6</v>
      </c>
      <c r="I130" s="99" t="s">
        <v>207</v>
      </c>
      <c r="J130" s="98" t="s">
        <v>208</v>
      </c>
      <c r="K130" s="108">
        <v>13803.69</v>
      </c>
      <c r="L130" s="7" t="str">
        <f t="shared" si="0"/>
        <v>Locations</v>
      </c>
      <c r="N130" s="99" t="s">
        <v>381</v>
      </c>
      <c r="O130" s="98" t="s">
        <v>382</v>
      </c>
      <c r="P130" s="110">
        <v>417.99</v>
      </c>
      <c r="Q130" s="7" t="s">
        <v>6</v>
      </c>
      <c r="S130" s="99" t="s">
        <v>211</v>
      </c>
      <c r="T130" s="98" t="s">
        <v>212</v>
      </c>
      <c r="U130" s="108">
        <v>4852.1099999999997</v>
      </c>
      <c r="V130" s="7" t="str">
        <f t="shared" si="1"/>
        <v>Frais courants</v>
      </c>
      <c r="Y130" s="99" t="s">
        <v>377</v>
      </c>
      <c r="Z130" s="98" t="s">
        <v>378</v>
      </c>
      <c r="AA130" s="108">
        <v>1482</v>
      </c>
      <c r="AB130" s="7" t="str">
        <f t="shared" si="3"/>
        <v>Frais courants</v>
      </c>
      <c r="AE130" s="99" t="s">
        <v>211</v>
      </c>
      <c r="AF130" s="98" t="s">
        <v>212</v>
      </c>
      <c r="AG130" s="108">
        <v>1413.43</v>
      </c>
      <c r="AH130" s="7" t="str">
        <f t="shared" si="2"/>
        <v>Frais courants</v>
      </c>
      <c r="AK130" s="99" t="s">
        <v>609</v>
      </c>
      <c r="AL130" s="98" t="s">
        <v>610</v>
      </c>
      <c r="AM130" s="108">
        <v>0</v>
      </c>
      <c r="AN130" s="7" t="s">
        <v>489</v>
      </c>
    </row>
    <row r="131" spans="2:40">
      <c r="B131" s="11" t="s">
        <v>381</v>
      </c>
      <c r="C131" s="12" t="s">
        <v>382</v>
      </c>
      <c r="D131" s="24">
        <v>17.5</v>
      </c>
      <c r="E131" s="7" t="s">
        <v>6</v>
      </c>
      <c r="I131" s="99" t="s">
        <v>209</v>
      </c>
      <c r="J131" s="98" t="s">
        <v>210</v>
      </c>
      <c r="K131" s="108">
        <v>42590.28</v>
      </c>
      <c r="L131" s="7" t="str">
        <f t="shared" si="0"/>
        <v>Locations</v>
      </c>
      <c r="N131" s="99" t="s">
        <v>227</v>
      </c>
      <c r="O131" s="98" t="s">
        <v>228</v>
      </c>
      <c r="P131" s="110">
        <v>651.92999999999995</v>
      </c>
      <c r="Q131" s="7" t="s">
        <v>6</v>
      </c>
      <c r="S131" s="99" t="s">
        <v>213</v>
      </c>
      <c r="T131" s="98" t="s">
        <v>214</v>
      </c>
      <c r="U131" s="108">
        <v>1282.75</v>
      </c>
      <c r="V131" s="7" t="str">
        <f t="shared" si="1"/>
        <v>IT</v>
      </c>
      <c r="Y131" s="99" t="s">
        <v>379</v>
      </c>
      <c r="Z131" s="98" t="s">
        <v>380</v>
      </c>
      <c r="AA131" s="108">
        <v>-915.41</v>
      </c>
      <c r="AB131" s="7" t="str">
        <f t="shared" si="3"/>
        <v>Frais courants</v>
      </c>
      <c r="AE131" s="99" t="s">
        <v>213</v>
      </c>
      <c r="AF131" s="98" t="s">
        <v>214</v>
      </c>
      <c r="AG131" s="108">
        <v>596.95000000000005</v>
      </c>
      <c r="AH131" s="7" t="str">
        <f t="shared" si="2"/>
        <v>IT</v>
      </c>
      <c r="AK131" s="99" t="s">
        <v>207</v>
      </c>
      <c r="AL131" s="98" t="s">
        <v>208</v>
      </c>
      <c r="AM131" s="108">
        <v>3269.65</v>
      </c>
      <c r="AN131" s="7" t="str">
        <f t="shared" si="4"/>
        <v>Locations</v>
      </c>
    </row>
    <row r="132" spans="2:40">
      <c r="B132" s="11" t="s">
        <v>227</v>
      </c>
      <c r="C132" s="12" t="s">
        <v>228</v>
      </c>
      <c r="D132" s="24">
        <v>5178.6000000000004</v>
      </c>
      <c r="E132" s="7" t="s">
        <v>6</v>
      </c>
      <c r="I132" s="99" t="s">
        <v>377</v>
      </c>
      <c r="J132" s="98" t="s">
        <v>378</v>
      </c>
      <c r="K132" s="108">
        <v>29363.29</v>
      </c>
      <c r="L132" s="7" t="str">
        <f t="shared" si="0"/>
        <v>Frais courants</v>
      </c>
      <c r="N132" s="99" t="s">
        <v>229</v>
      </c>
      <c r="O132" s="98" t="s">
        <v>230</v>
      </c>
      <c r="P132" s="110">
        <v>6673.01</v>
      </c>
      <c r="Q132" s="7" t="s">
        <v>465</v>
      </c>
      <c r="S132" s="99" t="s">
        <v>215</v>
      </c>
      <c r="T132" s="98" t="s">
        <v>216</v>
      </c>
      <c r="U132" s="108">
        <v>1778.06</v>
      </c>
      <c r="V132" s="7" t="str">
        <f t="shared" si="1"/>
        <v>Frais courants</v>
      </c>
      <c r="Y132" s="99" t="s">
        <v>211</v>
      </c>
      <c r="Z132" s="98" t="s">
        <v>212</v>
      </c>
      <c r="AA132" s="108">
        <v>3088.19</v>
      </c>
      <c r="AB132" s="7" t="str">
        <f t="shared" si="3"/>
        <v>Frais courants</v>
      </c>
      <c r="AE132" s="99" t="s">
        <v>215</v>
      </c>
      <c r="AF132" s="98" t="s">
        <v>216</v>
      </c>
      <c r="AG132" s="108">
        <v>4149.76</v>
      </c>
      <c r="AH132" s="7" t="str">
        <f t="shared" si="2"/>
        <v>Frais courants</v>
      </c>
      <c r="AK132" s="99" t="s">
        <v>209</v>
      </c>
      <c r="AL132" s="98" t="s">
        <v>210</v>
      </c>
      <c r="AM132" s="108">
        <v>21161.98</v>
      </c>
      <c r="AN132" s="7" t="str">
        <f t="shared" si="4"/>
        <v>Locations</v>
      </c>
    </row>
    <row r="133" spans="2:40">
      <c r="B133" s="11" t="s">
        <v>229</v>
      </c>
      <c r="C133" s="12" t="s">
        <v>230</v>
      </c>
      <c r="D133" s="24">
        <v>37273.019999999997</v>
      </c>
      <c r="E133" s="7" t="s">
        <v>465</v>
      </c>
      <c r="I133" s="99" t="s">
        <v>379</v>
      </c>
      <c r="J133" s="98" t="s">
        <v>380</v>
      </c>
      <c r="K133" s="108">
        <v>2189.0700000000002</v>
      </c>
      <c r="L133" s="7" t="str">
        <f t="shared" si="0"/>
        <v>Frais courants</v>
      </c>
      <c r="N133" s="99" t="s">
        <v>231</v>
      </c>
      <c r="O133" s="98" t="s">
        <v>232</v>
      </c>
      <c r="P133" s="110">
        <v>260.31</v>
      </c>
      <c r="Q133" s="7" t="s">
        <v>465</v>
      </c>
      <c r="S133" s="99" t="s">
        <v>611</v>
      </c>
      <c r="T133" s="98" t="s">
        <v>612</v>
      </c>
      <c r="U133" s="108">
        <v>164.16</v>
      </c>
      <c r="V133" s="7" t="str">
        <f t="shared" si="1"/>
        <v>Assurances</v>
      </c>
      <c r="Y133" s="99" t="s">
        <v>213</v>
      </c>
      <c r="Z133" s="98" t="s">
        <v>214</v>
      </c>
      <c r="AA133" s="108">
        <v>1652.63</v>
      </c>
      <c r="AB133" s="7" t="str">
        <f t="shared" si="3"/>
        <v>IT</v>
      </c>
      <c r="AE133" s="99" t="s">
        <v>611</v>
      </c>
      <c r="AF133" s="98" t="s">
        <v>612</v>
      </c>
      <c r="AG133" s="108">
        <v>0</v>
      </c>
      <c r="AH133" s="7" t="str">
        <f t="shared" si="2"/>
        <v>Assurances</v>
      </c>
      <c r="AK133" s="99" t="s">
        <v>377</v>
      </c>
      <c r="AL133" s="98" t="s">
        <v>378</v>
      </c>
      <c r="AM133" s="108">
        <v>12742.71</v>
      </c>
      <c r="AN133" s="7" t="str">
        <f t="shared" si="4"/>
        <v>Frais courants</v>
      </c>
    </row>
    <row r="134" spans="2:40">
      <c r="B134" s="11" t="s">
        <v>231</v>
      </c>
      <c r="C134" s="12" t="s">
        <v>232</v>
      </c>
      <c r="D134" s="24">
        <v>2711.3</v>
      </c>
      <c r="E134" s="7" t="s">
        <v>465</v>
      </c>
      <c r="I134" s="99" t="s">
        <v>211</v>
      </c>
      <c r="J134" s="98" t="s">
        <v>212</v>
      </c>
      <c r="K134" s="108">
        <v>26119.55</v>
      </c>
      <c r="L134" s="7" t="str">
        <f t="shared" si="0"/>
        <v>Frais courants</v>
      </c>
      <c r="N134" s="99" t="s">
        <v>233</v>
      </c>
      <c r="O134" s="98" t="s">
        <v>234</v>
      </c>
      <c r="P134" s="110">
        <v>1480</v>
      </c>
      <c r="Q134" s="7" t="s">
        <v>549</v>
      </c>
      <c r="S134" s="99" t="s">
        <v>613</v>
      </c>
      <c r="T134" s="98" t="s">
        <v>614</v>
      </c>
      <c r="U134" s="108">
        <v>0</v>
      </c>
      <c r="V134" s="7" t="s">
        <v>6</v>
      </c>
      <c r="Y134" s="99" t="s">
        <v>215</v>
      </c>
      <c r="Z134" s="98" t="s">
        <v>216</v>
      </c>
      <c r="AA134" s="108">
        <v>1108.18</v>
      </c>
      <c r="AB134" s="7" t="str">
        <f t="shared" si="3"/>
        <v>Frais courants</v>
      </c>
      <c r="AE134" s="99" t="s">
        <v>613</v>
      </c>
      <c r="AF134" s="98" t="s">
        <v>614</v>
      </c>
      <c r="AG134" s="108">
        <v>0</v>
      </c>
      <c r="AH134" s="7" t="str">
        <f t="shared" si="2"/>
        <v>Assurances</v>
      </c>
      <c r="AK134" s="99" t="s">
        <v>379</v>
      </c>
      <c r="AL134" s="98" t="s">
        <v>380</v>
      </c>
      <c r="AM134" s="108">
        <v>712.32</v>
      </c>
      <c r="AN134" s="7" t="str">
        <f t="shared" si="4"/>
        <v>Frais courants</v>
      </c>
    </row>
    <row r="135" spans="2:40">
      <c r="B135" s="11" t="s">
        <v>233</v>
      </c>
      <c r="C135" s="12" t="s">
        <v>234</v>
      </c>
      <c r="D135" s="24">
        <v>19363.560000000001</v>
      </c>
      <c r="E135" s="7" t="s">
        <v>549</v>
      </c>
      <c r="I135" s="99" t="s">
        <v>213</v>
      </c>
      <c r="J135" s="98" t="s">
        <v>214</v>
      </c>
      <c r="K135" s="108">
        <v>43930.9</v>
      </c>
      <c r="L135" s="7" t="str">
        <f t="shared" si="0"/>
        <v>IT</v>
      </c>
      <c r="N135" s="99" t="s">
        <v>235</v>
      </c>
      <c r="O135" s="98" t="s">
        <v>236</v>
      </c>
      <c r="P135" s="110">
        <v>4141.47</v>
      </c>
      <c r="Q135" s="7" t="s">
        <v>563</v>
      </c>
      <c r="S135" s="99" t="s">
        <v>615</v>
      </c>
      <c r="T135" s="98" t="s">
        <v>616</v>
      </c>
      <c r="U135" s="108">
        <v>0</v>
      </c>
      <c r="V135" s="7" t="str">
        <f t="shared" si="1"/>
        <v>Assurances</v>
      </c>
      <c r="Y135" s="99" t="s">
        <v>611</v>
      </c>
      <c r="Z135" s="98" t="s">
        <v>612</v>
      </c>
      <c r="AA135" s="108">
        <v>0</v>
      </c>
      <c r="AB135" s="7" t="str">
        <f t="shared" si="3"/>
        <v>Assurances</v>
      </c>
      <c r="AE135" s="99" t="s">
        <v>615</v>
      </c>
      <c r="AF135" s="98" t="s">
        <v>616</v>
      </c>
      <c r="AG135" s="108">
        <v>0</v>
      </c>
      <c r="AH135" s="7" t="str">
        <f t="shared" si="2"/>
        <v>Assurances</v>
      </c>
      <c r="AK135" s="99" t="s">
        <v>211</v>
      </c>
      <c r="AL135" s="98" t="s">
        <v>212</v>
      </c>
      <c r="AM135" s="108">
        <v>14087.53</v>
      </c>
      <c r="AN135" s="7" t="str">
        <f t="shared" si="4"/>
        <v>Frais courants</v>
      </c>
    </row>
    <row r="136" spans="2:40">
      <c r="B136" s="11" t="s">
        <v>383</v>
      </c>
      <c r="C136" s="12" t="s">
        <v>384</v>
      </c>
      <c r="D136" s="24">
        <v>0</v>
      </c>
      <c r="I136" s="99" t="s">
        <v>215</v>
      </c>
      <c r="J136" s="98" t="s">
        <v>216</v>
      </c>
      <c r="K136" s="108">
        <v>45706.1</v>
      </c>
      <c r="L136" s="7" t="str">
        <f t="shared" si="0"/>
        <v>Frais courants</v>
      </c>
      <c r="N136" s="99" t="s">
        <v>237</v>
      </c>
      <c r="O136" s="98" t="s">
        <v>238</v>
      </c>
      <c r="P136" s="110">
        <v>-5043.55</v>
      </c>
      <c r="Q136" s="7" t="s">
        <v>564</v>
      </c>
      <c r="S136" s="99" t="s">
        <v>217</v>
      </c>
      <c r="T136" s="98" t="s">
        <v>218</v>
      </c>
      <c r="U136" s="108">
        <v>134.41999999999999</v>
      </c>
      <c r="V136" s="7" t="str">
        <f t="shared" si="1"/>
        <v>Assurances</v>
      </c>
      <c r="Y136" s="99" t="s">
        <v>613</v>
      </c>
      <c r="Z136" s="98" t="s">
        <v>614</v>
      </c>
      <c r="AA136" s="108">
        <v>0</v>
      </c>
      <c r="AB136" s="7" t="str">
        <f t="shared" si="3"/>
        <v>Assurances</v>
      </c>
      <c r="AE136" s="99" t="s">
        <v>217</v>
      </c>
      <c r="AF136" s="98" t="s">
        <v>218</v>
      </c>
      <c r="AG136" s="108">
        <v>194.16</v>
      </c>
      <c r="AH136" s="7" t="str">
        <f t="shared" si="2"/>
        <v>Assurances</v>
      </c>
      <c r="AK136" s="99" t="s">
        <v>213</v>
      </c>
      <c r="AL136" s="98" t="s">
        <v>214</v>
      </c>
      <c r="AM136" s="108">
        <v>7296.08</v>
      </c>
      <c r="AN136" s="7" t="str">
        <f t="shared" si="4"/>
        <v>IT</v>
      </c>
    </row>
    <row r="137" spans="2:40">
      <c r="B137" s="11" t="s">
        <v>235</v>
      </c>
      <c r="C137" s="12" t="s">
        <v>236</v>
      </c>
      <c r="D137" s="24">
        <v>23383.95</v>
      </c>
      <c r="E137" s="7" t="s">
        <v>563</v>
      </c>
      <c r="I137" s="99" t="s">
        <v>611</v>
      </c>
      <c r="J137" s="98" t="s">
        <v>612</v>
      </c>
      <c r="K137" s="108">
        <v>813.61</v>
      </c>
      <c r="L137" s="7" t="s">
        <v>6</v>
      </c>
      <c r="N137" s="99" t="s">
        <v>385</v>
      </c>
      <c r="O137" s="98" t="s">
        <v>386</v>
      </c>
      <c r="P137" s="110">
        <v>19790</v>
      </c>
      <c r="Q137" s="7" t="s">
        <v>565</v>
      </c>
      <c r="S137" s="99" t="s">
        <v>219</v>
      </c>
      <c r="T137" s="98" t="s">
        <v>220</v>
      </c>
      <c r="U137" s="108">
        <v>0</v>
      </c>
      <c r="V137" s="7" t="str">
        <f t="shared" si="1"/>
        <v>Assurances</v>
      </c>
      <c r="Y137" s="99" t="s">
        <v>615</v>
      </c>
      <c r="Z137" s="98" t="s">
        <v>616</v>
      </c>
      <c r="AA137" s="108">
        <v>0</v>
      </c>
      <c r="AB137" s="7" t="str">
        <f t="shared" si="3"/>
        <v>Assurances</v>
      </c>
      <c r="AE137" s="99" t="s">
        <v>219</v>
      </c>
      <c r="AF137" s="98" t="s">
        <v>220</v>
      </c>
      <c r="AG137" s="108">
        <v>0</v>
      </c>
      <c r="AH137" s="7" t="str">
        <f t="shared" si="2"/>
        <v>Assurances</v>
      </c>
      <c r="AK137" s="99" t="s">
        <v>215</v>
      </c>
      <c r="AL137" s="98" t="s">
        <v>216</v>
      </c>
      <c r="AM137" s="108">
        <v>12000.23</v>
      </c>
      <c r="AN137" s="7" t="str">
        <f t="shared" si="4"/>
        <v>Frais courants</v>
      </c>
    </row>
    <row r="138" spans="2:40">
      <c r="B138" s="11" t="s">
        <v>237</v>
      </c>
      <c r="C138" s="12" t="s">
        <v>238</v>
      </c>
      <c r="D138" s="24">
        <v>6336</v>
      </c>
      <c r="E138" s="7" t="s">
        <v>564</v>
      </c>
      <c r="I138" s="99" t="s">
        <v>613</v>
      </c>
      <c r="J138" s="98" t="s">
        <v>614</v>
      </c>
      <c r="K138" s="108">
        <v>5</v>
      </c>
      <c r="L138" s="7" t="s">
        <v>6</v>
      </c>
      <c r="N138" s="99" t="s">
        <v>387</v>
      </c>
      <c r="O138" s="98" t="s">
        <v>388</v>
      </c>
      <c r="P138" s="110">
        <v>9000</v>
      </c>
      <c r="Q138" s="7" t="s">
        <v>566</v>
      </c>
      <c r="S138" s="99" t="s">
        <v>221</v>
      </c>
      <c r="T138" s="98" t="s">
        <v>222</v>
      </c>
      <c r="U138" s="108">
        <v>13478.84</v>
      </c>
      <c r="V138" s="7" t="str">
        <f t="shared" si="1"/>
        <v>Assurances</v>
      </c>
      <c r="Y138" s="99" t="s">
        <v>217</v>
      </c>
      <c r="Z138" s="98" t="s">
        <v>218</v>
      </c>
      <c r="AA138" s="108">
        <v>1816.01</v>
      </c>
      <c r="AB138" s="7" t="str">
        <f t="shared" si="3"/>
        <v>Assurances</v>
      </c>
      <c r="AE138" s="99" t="s">
        <v>221</v>
      </c>
      <c r="AF138" s="98" t="s">
        <v>222</v>
      </c>
      <c r="AG138" s="108">
        <v>5907.16</v>
      </c>
      <c r="AH138" s="7" t="str">
        <f t="shared" si="2"/>
        <v>Assurances</v>
      </c>
      <c r="AK138" s="99" t="s">
        <v>611</v>
      </c>
      <c r="AL138" s="98" t="s">
        <v>612</v>
      </c>
      <c r="AM138" s="108">
        <v>986.77</v>
      </c>
      <c r="AN138" s="7" t="str">
        <f t="shared" si="4"/>
        <v>Assurances</v>
      </c>
    </row>
    <row r="139" spans="2:40">
      <c r="B139" s="11" t="s">
        <v>385</v>
      </c>
      <c r="C139" s="12" t="s">
        <v>386</v>
      </c>
      <c r="D139" s="25">
        <v>22521.56</v>
      </c>
      <c r="E139" s="7" t="s">
        <v>565</v>
      </c>
      <c r="I139" s="99" t="s">
        <v>615</v>
      </c>
      <c r="J139" s="98" t="s">
        <v>616</v>
      </c>
      <c r="K139" s="108">
        <v>7.5</v>
      </c>
      <c r="L139" s="7" t="s">
        <v>6</v>
      </c>
      <c r="N139" s="99" t="s">
        <v>239</v>
      </c>
      <c r="O139" s="98" t="s">
        <v>240</v>
      </c>
      <c r="P139" s="110">
        <v>44500</v>
      </c>
      <c r="Q139" s="7" t="s">
        <v>567</v>
      </c>
      <c r="S139" s="99" t="s">
        <v>223</v>
      </c>
      <c r="T139" s="98" t="s">
        <v>224</v>
      </c>
      <c r="U139" s="108">
        <v>55.94</v>
      </c>
      <c r="V139" s="7" t="str">
        <f t="shared" si="1"/>
        <v>Assurances</v>
      </c>
      <c r="Y139" s="99" t="s">
        <v>219</v>
      </c>
      <c r="Z139" s="98" t="s">
        <v>220</v>
      </c>
      <c r="AA139" s="108">
        <v>152.16999999999999</v>
      </c>
      <c r="AB139" s="7" t="str">
        <f t="shared" si="3"/>
        <v>Assurances</v>
      </c>
      <c r="AE139" s="99" t="s">
        <v>223</v>
      </c>
      <c r="AF139" s="98" t="s">
        <v>224</v>
      </c>
      <c r="AG139" s="108">
        <v>55.94</v>
      </c>
      <c r="AH139" s="7" t="str">
        <f t="shared" si="2"/>
        <v>Assurances</v>
      </c>
      <c r="AK139" s="99" t="s">
        <v>613</v>
      </c>
      <c r="AL139" s="98" t="s">
        <v>614</v>
      </c>
      <c r="AM139" s="108">
        <v>0</v>
      </c>
      <c r="AN139" s="7" t="s">
        <v>6</v>
      </c>
    </row>
    <row r="140" spans="2:40">
      <c r="B140" s="11" t="s">
        <v>387</v>
      </c>
      <c r="C140" s="12" t="s">
        <v>388</v>
      </c>
      <c r="D140" s="25">
        <v>35890</v>
      </c>
      <c r="E140" s="7" t="s">
        <v>566</v>
      </c>
      <c r="I140" s="99" t="s">
        <v>217</v>
      </c>
      <c r="J140" s="98" t="s">
        <v>218</v>
      </c>
      <c r="K140" s="108">
        <v>2289.87</v>
      </c>
      <c r="L140" s="7" t="str">
        <f t="shared" si="0"/>
        <v>Assurances</v>
      </c>
      <c r="N140" s="99" t="s">
        <v>241</v>
      </c>
      <c r="O140" s="98" t="s">
        <v>242</v>
      </c>
      <c r="P140" s="110">
        <v>17469.27</v>
      </c>
      <c r="Q140" s="7" t="s">
        <v>466</v>
      </c>
      <c r="S140" s="99" t="s">
        <v>381</v>
      </c>
      <c r="T140" s="98" t="s">
        <v>382</v>
      </c>
      <c r="U140" s="108">
        <v>99.04</v>
      </c>
      <c r="V140" s="7" t="str">
        <f t="shared" si="1"/>
        <v>Assurances</v>
      </c>
      <c r="Y140" s="99" t="s">
        <v>221</v>
      </c>
      <c r="Z140" s="98" t="s">
        <v>222</v>
      </c>
      <c r="AA140" s="108">
        <v>-7007.05</v>
      </c>
      <c r="AB140" s="7" t="str">
        <f t="shared" si="3"/>
        <v>Assurances</v>
      </c>
      <c r="AE140" s="99" t="s">
        <v>381</v>
      </c>
      <c r="AF140" s="98" t="s">
        <v>382</v>
      </c>
      <c r="AG140" s="108">
        <v>94.54</v>
      </c>
      <c r="AH140" s="7" t="str">
        <f t="shared" si="2"/>
        <v>Assurances</v>
      </c>
      <c r="AK140" s="99" t="s">
        <v>615</v>
      </c>
      <c r="AL140" s="98" t="s">
        <v>616</v>
      </c>
      <c r="AM140" s="108">
        <v>2.5</v>
      </c>
      <c r="AN140" s="7" t="str">
        <f t="shared" si="4"/>
        <v>Assurances</v>
      </c>
    </row>
    <row r="141" spans="2:40">
      <c r="B141" s="11" t="s">
        <v>239</v>
      </c>
      <c r="C141" s="12" t="s">
        <v>240</v>
      </c>
      <c r="D141" s="24">
        <v>165000</v>
      </c>
      <c r="E141" s="7" t="s">
        <v>567</v>
      </c>
      <c r="I141" s="99" t="s">
        <v>219</v>
      </c>
      <c r="J141" s="98" t="s">
        <v>220</v>
      </c>
      <c r="K141" s="108">
        <v>1092.99</v>
      </c>
      <c r="L141" s="7" t="str">
        <f t="shared" si="0"/>
        <v>Assurances</v>
      </c>
      <c r="N141" s="99" t="s">
        <v>243</v>
      </c>
      <c r="O141" s="98" t="s">
        <v>244</v>
      </c>
      <c r="P141" s="110">
        <v>13.21</v>
      </c>
      <c r="Q141" s="7" t="s">
        <v>466</v>
      </c>
      <c r="S141" s="99" t="s">
        <v>227</v>
      </c>
      <c r="T141" s="98" t="s">
        <v>228</v>
      </c>
      <c r="U141" s="108">
        <v>532.89</v>
      </c>
      <c r="V141" s="7" t="str">
        <f t="shared" si="1"/>
        <v>Assurances</v>
      </c>
      <c r="Y141" s="99" t="s">
        <v>223</v>
      </c>
      <c r="Z141" s="98" t="s">
        <v>224</v>
      </c>
      <c r="AA141" s="108">
        <v>57.79</v>
      </c>
      <c r="AB141" s="7" t="str">
        <f t="shared" si="3"/>
        <v>Assurances</v>
      </c>
      <c r="AE141" s="99" t="s">
        <v>227</v>
      </c>
      <c r="AF141" s="98" t="s">
        <v>228</v>
      </c>
      <c r="AG141" s="108">
        <v>124.38</v>
      </c>
      <c r="AH141" s="7" t="str">
        <f t="shared" si="2"/>
        <v>Assurances</v>
      </c>
      <c r="AK141" s="99" t="s">
        <v>217</v>
      </c>
      <c r="AL141" s="98" t="s">
        <v>218</v>
      </c>
      <c r="AM141" s="108">
        <v>2547.86</v>
      </c>
      <c r="AN141" s="7" t="str">
        <f t="shared" si="4"/>
        <v>Assurances</v>
      </c>
    </row>
    <row r="142" spans="2:40">
      <c r="B142" s="11" t="s">
        <v>241</v>
      </c>
      <c r="C142" s="12" t="s">
        <v>242</v>
      </c>
      <c r="D142" s="24">
        <v>103114.44</v>
      </c>
      <c r="E142" s="7" t="s">
        <v>466</v>
      </c>
      <c r="I142" s="99" t="s">
        <v>221</v>
      </c>
      <c r="J142" s="98" t="s">
        <v>222</v>
      </c>
      <c r="K142" s="108">
        <v>56824.17</v>
      </c>
      <c r="L142" s="7" t="str">
        <f t="shared" si="0"/>
        <v>Assurances</v>
      </c>
      <c r="N142" s="99" t="s">
        <v>245</v>
      </c>
      <c r="O142" s="98" t="s">
        <v>246</v>
      </c>
      <c r="P142" s="110">
        <v>3206.04</v>
      </c>
      <c r="Q142" s="7" t="s">
        <v>472</v>
      </c>
      <c r="S142" s="99" t="s">
        <v>229</v>
      </c>
      <c r="T142" s="98" t="s">
        <v>230</v>
      </c>
      <c r="U142" s="108">
        <v>1253.69</v>
      </c>
      <c r="V142" s="7" t="str">
        <f t="shared" si="1"/>
        <v>Documentation</v>
      </c>
      <c r="Y142" s="99" t="s">
        <v>381</v>
      </c>
      <c r="Z142" s="98" t="s">
        <v>382</v>
      </c>
      <c r="AA142" s="108">
        <v>96.8</v>
      </c>
      <c r="AB142" s="7" t="str">
        <f t="shared" si="3"/>
        <v>Assurances</v>
      </c>
      <c r="AE142" s="99" t="s">
        <v>229</v>
      </c>
      <c r="AF142" s="98" t="s">
        <v>230</v>
      </c>
      <c r="AG142" s="108">
        <v>588.77</v>
      </c>
      <c r="AH142" s="7" t="str">
        <f t="shared" si="2"/>
        <v>Documentation</v>
      </c>
      <c r="AK142" s="99" t="s">
        <v>219</v>
      </c>
      <c r="AL142" s="98" t="s">
        <v>220</v>
      </c>
      <c r="AM142" s="108">
        <v>292.12</v>
      </c>
      <c r="AN142" s="7" t="str">
        <f t="shared" si="4"/>
        <v>Assurances</v>
      </c>
    </row>
    <row r="143" spans="2:40">
      <c r="B143" s="11" t="s">
        <v>243</v>
      </c>
      <c r="C143" s="12" t="s">
        <v>244</v>
      </c>
      <c r="D143" s="25">
        <v>789.67</v>
      </c>
      <c r="E143" s="7" t="s">
        <v>466</v>
      </c>
      <c r="I143" s="99" t="s">
        <v>223</v>
      </c>
      <c r="J143" s="98" t="s">
        <v>224</v>
      </c>
      <c r="K143" s="108">
        <v>907.37</v>
      </c>
      <c r="L143" s="7" t="str">
        <f t="shared" si="0"/>
        <v>Assurances</v>
      </c>
      <c r="N143" s="99" t="s">
        <v>391</v>
      </c>
      <c r="O143" s="98" t="s">
        <v>392</v>
      </c>
      <c r="P143" s="110">
        <v>15020</v>
      </c>
      <c r="Q143" s="7" t="s">
        <v>547</v>
      </c>
      <c r="S143" s="99" t="s">
        <v>231</v>
      </c>
      <c r="T143" s="98" t="s">
        <v>232</v>
      </c>
      <c r="U143" s="108">
        <v>321.67</v>
      </c>
      <c r="V143" s="7" t="str">
        <f t="shared" si="1"/>
        <v>Documentation</v>
      </c>
      <c r="Y143" s="99" t="s">
        <v>227</v>
      </c>
      <c r="Z143" s="98" t="s">
        <v>228</v>
      </c>
      <c r="AA143" s="108">
        <v>588.4</v>
      </c>
      <c r="AB143" s="7" t="str">
        <f t="shared" si="3"/>
        <v>Assurances</v>
      </c>
      <c r="AE143" s="99" t="s">
        <v>231</v>
      </c>
      <c r="AF143" s="98" t="s">
        <v>232</v>
      </c>
      <c r="AG143" s="108">
        <v>121.97</v>
      </c>
      <c r="AH143" s="7" t="str">
        <f t="shared" si="2"/>
        <v>Documentation</v>
      </c>
      <c r="AK143" s="99" t="s">
        <v>221</v>
      </c>
      <c r="AL143" s="98" t="s">
        <v>222</v>
      </c>
      <c r="AM143" s="108">
        <v>22611.97</v>
      </c>
      <c r="AN143" s="7" t="str">
        <f t="shared" si="4"/>
        <v>Assurances</v>
      </c>
    </row>
    <row r="144" spans="2:40">
      <c r="B144" s="11" t="s">
        <v>389</v>
      </c>
      <c r="C144" s="12" t="s">
        <v>390</v>
      </c>
      <c r="D144" s="25">
        <v>12000</v>
      </c>
      <c r="E144" s="7" t="s">
        <v>472</v>
      </c>
      <c r="I144" s="99" t="s">
        <v>225</v>
      </c>
      <c r="J144" s="98" t="s">
        <v>226</v>
      </c>
      <c r="K144" s="108">
        <v>673.21</v>
      </c>
      <c r="L144" s="7" t="str">
        <f t="shared" si="0"/>
        <v>Assurances</v>
      </c>
      <c r="N144" s="99" t="s">
        <v>393</v>
      </c>
      <c r="O144" s="98" t="s">
        <v>394</v>
      </c>
      <c r="P144" s="110">
        <v>-40.700000000000003</v>
      </c>
      <c r="Q144" s="7" t="s">
        <v>488</v>
      </c>
      <c r="S144" s="99" t="s">
        <v>233</v>
      </c>
      <c r="T144" s="98" t="s">
        <v>234</v>
      </c>
      <c r="U144" s="108">
        <v>300</v>
      </c>
      <c r="V144" s="7" t="str">
        <f t="shared" si="1"/>
        <v>Formation et séminaire</v>
      </c>
      <c r="Y144" s="99" t="s">
        <v>229</v>
      </c>
      <c r="Z144" s="98" t="s">
        <v>230</v>
      </c>
      <c r="AA144" s="108">
        <v>7638.62</v>
      </c>
      <c r="AB144" s="7" t="str">
        <f t="shared" si="3"/>
        <v>Documentation</v>
      </c>
      <c r="AE144" s="99" t="s">
        <v>233</v>
      </c>
      <c r="AF144" s="98" t="s">
        <v>234</v>
      </c>
      <c r="AG144" s="108">
        <v>13156.27</v>
      </c>
      <c r="AH144" s="7" t="str">
        <f t="shared" si="2"/>
        <v>Formation et séminaire</v>
      </c>
      <c r="AK144" s="99" t="s">
        <v>223</v>
      </c>
      <c r="AL144" s="98" t="s">
        <v>224</v>
      </c>
      <c r="AM144" s="108">
        <v>337.47</v>
      </c>
      <c r="AN144" s="7" t="str">
        <f t="shared" si="4"/>
        <v>Assurances</v>
      </c>
    </row>
    <row r="145" spans="2:40">
      <c r="B145" s="11" t="s">
        <v>245</v>
      </c>
      <c r="C145" s="12" t="s">
        <v>246</v>
      </c>
      <c r="D145" s="24">
        <v>4049.83</v>
      </c>
      <c r="E145" s="7" t="s">
        <v>472</v>
      </c>
      <c r="I145" s="99" t="s">
        <v>381</v>
      </c>
      <c r="J145" s="98" t="s">
        <v>382</v>
      </c>
      <c r="K145" s="108">
        <v>384.5</v>
      </c>
      <c r="L145" s="7" t="str">
        <f t="shared" si="0"/>
        <v>Assurances</v>
      </c>
      <c r="N145" s="99" t="s">
        <v>617</v>
      </c>
      <c r="O145" s="98" t="s">
        <v>618</v>
      </c>
      <c r="P145" s="110">
        <v>3000</v>
      </c>
      <c r="Q145" s="7" t="s">
        <v>488</v>
      </c>
      <c r="S145" s="99" t="s">
        <v>235</v>
      </c>
      <c r="T145" s="98" t="s">
        <v>236</v>
      </c>
      <c r="U145" s="108">
        <v>3055.82</v>
      </c>
      <c r="V145" s="7" t="str">
        <f t="shared" si="1"/>
        <v>Honoraires EC</v>
      </c>
      <c r="Y145" s="99" t="s">
        <v>231</v>
      </c>
      <c r="Z145" s="98" t="s">
        <v>232</v>
      </c>
      <c r="AA145" s="108">
        <v>-73.66</v>
      </c>
      <c r="AB145" s="7" t="str">
        <f t="shared" si="3"/>
        <v>Documentation</v>
      </c>
      <c r="AE145" s="99" t="s">
        <v>719</v>
      </c>
      <c r="AF145" s="98" t="s">
        <v>720</v>
      </c>
      <c r="AG145" s="108">
        <v>8636.52</v>
      </c>
      <c r="AH145" s="7" t="s">
        <v>466</v>
      </c>
      <c r="AK145" s="99" t="s">
        <v>381</v>
      </c>
      <c r="AL145" s="98" t="s">
        <v>382</v>
      </c>
      <c r="AM145" s="108">
        <v>708.37</v>
      </c>
      <c r="AN145" s="7" t="str">
        <f t="shared" si="4"/>
        <v>Assurances</v>
      </c>
    </row>
    <row r="146" spans="2:40">
      <c r="B146" s="11" t="s">
        <v>247</v>
      </c>
      <c r="C146" s="12" t="s">
        <v>248</v>
      </c>
      <c r="D146" s="24">
        <v>12351</v>
      </c>
      <c r="E146" s="7" t="s">
        <v>472</v>
      </c>
      <c r="I146" s="99" t="s">
        <v>227</v>
      </c>
      <c r="J146" s="98" t="s">
        <v>228</v>
      </c>
      <c r="K146" s="108">
        <v>6075.7</v>
      </c>
      <c r="L146" s="7" t="str">
        <f t="shared" si="0"/>
        <v>Assurances</v>
      </c>
      <c r="N146" s="99" t="s">
        <v>619</v>
      </c>
      <c r="O146" s="98" t="s">
        <v>620</v>
      </c>
      <c r="P146" s="110">
        <v>282.2</v>
      </c>
      <c r="Q146" s="7" t="s">
        <v>477</v>
      </c>
      <c r="S146" s="99" t="s">
        <v>237</v>
      </c>
      <c r="T146" s="98" t="s">
        <v>238</v>
      </c>
      <c r="U146" s="108">
        <v>493.15</v>
      </c>
      <c r="V146" s="7" t="str">
        <f t="shared" si="1"/>
        <v>Honoraires CAC</v>
      </c>
      <c r="Y146" s="99" t="s">
        <v>233</v>
      </c>
      <c r="Z146" s="98" t="s">
        <v>234</v>
      </c>
      <c r="AA146" s="108">
        <v>2685.6</v>
      </c>
      <c r="AB146" s="7" t="str">
        <f t="shared" si="3"/>
        <v>Formation et séminaire</v>
      </c>
      <c r="AE146" s="99" t="s">
        <v>235</v>
      </c>
      <c r="AF146" s="98" t="s">
        <v>236</v>
      </c>
      <c r="AG146" s="108">
        <v>-97.18</v>
      </c>
      <c r="AH146" s="7" t="str">
        <f t="shared" si="2"/>
        <v>Honoraires EC</v>
      </c>
      <c r="AK146" s="99" t="s">
        <v>227</v>
      </c>
      <c r="AL146" s="98" t="s">
        <v>228</v>
      </c>
      <c r="AM146" s="108">
        <v>1897.6</v>
      </c>
      <c r="AN146" s="7" t="str">
        <f t="shared" si="4"/>
        <v>Assurances</v>
      </c>
    </row>
    <row r="147" spans="2:40">
      <c r="B147" s="11" t="s">
        <v>391</v>
      </c>
      <c r="C147" s="12" t="s">
        <v>392</v>
      </c>
      <c r="D147" s="25">
        <v>20338.240000000002</v>
      </c>
      <c r="E147" s="7" t="s">
        <v>547</v>
      </c>
      <c r="I147" s="99" t="s">
        <v>229</v>
      </c>
      <c r="J147" s="98" t="s">
        <v>230</v>
      </c>
      <c r="K147" s="108">
        <v>49765.35</v>
      </c>
      <c r="L147" s="7" t="str">
        <f t="shared" si="0"/>
        <v>Documentation</v>
      </c>
      <c r="N147" s="99" t="s">
        <v>249</v>
      </c>
      <c r="O147" s="98" t="s">
        <v>250</v>
      </c>
      <c r="P147" s="110">
        <v>31125.29</v>
      </c>
      <c r="Q147" s="7" t="s">
        <v>477</v>
      </c>
      <c r="S147" s="99" t="s">
        <v>385</v>
      </c>
      <c r="T147" s="98" t="s">
        <v>386</v>
      </c>
      <c r="U147" s="108">
        <v>12977.9</v>
      </c>
      <c r="V147" s="7" t="str">
        <f t="shared" si="1"/>
        <v>Honoraires Avocat</v>
      </c>
      <c r="Y147" s="99" t="s">
        <v>235</v>
      </c>
      <c r="Z147" s="98" t="s">
        <v>236</v>
      </c>
      <c r="AA147" s="108">
        <v>2362.85</v>
      </c>
      <c r="AB147" s="7" t="str">
        <f t="shared" si="3"/>
        <v>Honoraires EC</v>
      </c>
      <c r="AE147" s="99" t="s">
        <v>237</v>
      </c>
      <c r="AF147" s="98" t="s">
        <v>238</v>
      </c>
      <c r="AG147" s="108">
        <v>1293.1500000000001</v>
      </c>
      <c r="AH147" s="7" t="str">
        <f t="shared" si="2"/>
        <v>Honoraires CAC</v>
      </c>
      <c r="AK147" s="99" t="s">
        <v>229</v>
      </c>
      <c r="AL147" s="98" t="s">
        <v>230</v>
      </c>
      <c r="AM147" s="108">
        <v>16154.09</v>
      </c>
      <c r="AN147" s="7" t="str">
        <f t="shared" si="4"/>
        <v>Documentation</v>
      </c>
    </row>
    <row r="148" spans="2:40">
      <c r="B148" s="11" t="s">
        <v>393</v>
      </c>
      <c r="C148" s="12" t="s">
        <v>394</v>
      </c>
      <c r="D148" s="24">
        <v>559.64</v>
      </c>
      <c r="E148" s="7" t="s">
        <v>488</v>
      </c>
      <c r="I148" s="99" t="s">
        <v>231</v>
      </c>
      <c r="J148" s="98" t="s">
        <v>232</v>
      </c>
      <c r="K148" s="108">
        <v>3318.75</v>
      </c>
      <c r="L148" s="7" t="str">
        <f t="shared" si="0"/>
        <v>Documentation</v>
      </c>
      <c r="N148" s="99" t="s">
        <v>401</v>
      </c>
      <c r="O148" s="98" t="s">
        <v>402</v>
      </c>
      <c r="P148" s="110">
        <v>2716.76</v>
      </c>
      <c r="Q148" s="7" t="s">
        <v>477</v>
      </c>
      <c r="S148" s="99" t="s">
        <v>239</v>
      </c>
      <c r="T148" s="98" t="s">
        <v>240</v>
      </c>
      <c r="U148" s="108">
        <v>14000</v>
      </c>
      <c r="V148" s="7" t="str">
        <f t="shared" si="1"/>
        <v>Honoraires HM</v>
      </c>
      <c r="Y148" s="99" t="s">
        <v>237</v>
      </c>
      <c r="Z148" s="98" t="s">
        <v>238</v>
      </c>
      <c r="AA148" s="108">
        <v>509.59</v>
      </c>
      <c r="AB148" s="7" t="str">
        <f t="shared" si="3"/>
        <v>Honoraires CAC</v>
      </c>
      <c r="AE148" s="99" t="s">
        <v>385</v>
      </c>
      <c r="AF148" s="98" t="s">
        <v>386</v>
      </c>
      <c r="AG148" s="108">
        <v>1400</v>
      </c>
      <c r="AH148" s="7" t="str">
        <f t="shared" si="2"/>
        <v>Honoraires Avocat</v>
      </c>
      <c r="AK148" s="99" t="s">
        <v>231</v>
      </c>
      <c r="AL148" s="98" t="s">
        <v>232</v>
      </c>
      <c r="AM148" s="108">
        <v>630.29</v>
      </c>
      <c r="AN148" s="7" t="str">
        <f t="shared" si="4"/>
        <v>Documentation</v>
      </c>
    </row>
    <row r="149" spans="2:40">
      <c r="B149" s="11" t="s">
        <v>395</v>
      </c>
      <c r="C149" s="12" t="s">
        <v>396</v>
      </c>
      <c r="D149" s="24">
        <v>36578.620000000003</v>
      </c>
      <c r="E149" s="73" t="s">
        <v>541</v>
      </c>
      <c r="I149" s="99" t="s">
        <v>233</v>
      </c>
      <c r="J149" s="98" t="s">
        <v>234</v>
      </c>
      <c r="K149" s="108">
        <v>5288.56</v>
      </c>
      <c r="L149" s="7" t="str">
        <f t="shared" si="0"/>
        <v>Formation et séminaire</v>
      </c>
      <c r="N149" s="99" t="s">
        <v>251</v>
      </c>
      <c r="O149" s="98" t="s">
        <v>252</v>
      </c>
      <c r="P149" s="110">
        <v>23626.3</v>
      </c>
      <c r="Q149" s="7" t="s">
        <v>546</v>
      </c>
      <c r="S149" s="99" t="s">
        <v>241</v>
      </c>
      <c r="T149" s="98" t="s">
        <v>242</v>
      </c>
      <c r="U149" s="108">
        <v>22299.87</v>
      </c>
      <c r="V149" s="7" t="str">
        <f t="shared" si="1"/>
        <v>Honoraires</v>
      </c>
      <c r="Y149" s="99" t="s">
        <v>385</v>
      </c>
      <c r="Z149" s="98" t="s">
        <v>386</v>
      </c>
      <c r="AA149" s="108">
        <v>4800</v>
      </c>
      <c r="AB149" s="7" t="str">
        <f t="shared" si="3"/>
        <v>Honoraires Avocat</v>
      </c>
      <c r="AE149" s="99" t="s">
        <v>239</v>
      </c>
      <c r="AF149" s="98" t="s">
        <v>240</v>
      </c>
      <c r="AG149" s="108">
        <v>14000</v>
      </c>
      <c r="AH149" s="7" t="str">
        <f t="shared" si="2"/>
        <v>Honoraires HM</v>
      </c>
      <c r="AK149" s="99" t="s">
        <v>233</v>
      </c>
      <c r="AL149" s="98" t="s">
        <v>234</v>
      </c>
      <c r="AM149" s="108">
        <v>17621.87</v>
      </c>
      <c r="AN149" s="7" t="str">
        <f t="shared" si="4"/>
        <v>Formation et séminaire</v>
      </c>
    </row>
    <row r="150" spans="2:40">
      <c r="B150" s="11" t="s">
        <v>397</v>
      </c>
      <c r="C150" s="12" t="s">
        <v>398</v>
      </c>
      <c r="D150" s="24">
        <v>484</v>
      </c>
      <c r="E150" s="7" t="s">
        <v>488</v>
      </c>
      <c r="I150" s="99" t="s">
        <v>235</v>
      </c>
      <c r="J150" s="98" t="s">
        <v>236</v>
      </c>
      <c r="K150" s="108">
        <v>32832.400000000001</v>
      </c>
      <c r="L150" s="7" t="str">
        <f t="shared" si="0"/>
        <v>Honoraires EC</v>
      </c>
      <c r="N150" s="99" t="s">
        <v>253</v>
      </c>
      <c r="O150" s="98" t="s">
        <v>254</v>
      </c>
      <c r="P150" s="110">
        <v>12091.09</v>
      </c>
      <c r="Q150" s="7" t="s">
        <v>476</v>
      </c>
      <c r="S150" s="99" t="s">
        <v>243</v>
      </c>
      <c r="T150" s="98" t="s">
        <v>244</v>
      </c>
      <c r="U150" s="108">
        <v>0</v>
      </c>
      <c r="V150" s="7" t="str">
        <f t="shared" si="1"/>
        <v>Honoraires</v>
      </c>
      <c r="Y150" s="99" t="s">
        <v>239</v>
      </c>
      <c r="Z150" s="98" t="s">
        <v>240</v>
      </c>
      <c r="AA150" s="108">
        <v>14000</v>
      </c>
      <c r="AB150" s="7" t="str">
        <f t="shared" si="3"/>
        <v>Honoraires HM</v>
      </c>
      <c r="AE150" s="99" t="s">
        <v>241</v>
      </c>
      <c r="AF150" s="98" t="s">
        <v>242</v>
      </c>
      <c r="AG150" s="108">
        <v>15037.99</v>
      </c>
      <c r="AH150" s="7" t="str">
        <f t="shared" si="2"/>
        <v>Honoraires</v>
      </c>
      <c r="AK150" s="99" t="s">
        <v>719</v>
      </c>
      <c r="AL150" s="98" t="s">
        <v>720</v>
      </c>
      <c r="AM150" s="108">
        <v>8636.52</v>
      </c>
      <c r="AN150" s="7" t="s">
        <v>474</v>
      </c>
    </row>
    <row r="151" spans="2:40">
      <c r="B151" s="11" t="s">
        <v>399</v>
      </c>
      <c r="C151" s="12" t="s">
        <v>400</v>
      </c>
      <c r="D151" s="24">
        <v>45</v>
      </c>
      <c r="E151" s="7" t="s">
        <v>488</v>
      </c>
      <c r="I151" s="99" t="s">
        <v>237</v>
      </c>
      <c r="J151" s="98" t="s">
        <v>238</v>
      </c>
      <c r="K151" s="108">
        <v>7413</v>
      </c>
      <c r="L151" s="7" t="str">
        <f t="shared" si="0"/>
        <v>Honoraires CAC</v>
      </c>
      <c r="N151" s="99" t="s">
        <v>255</v>
      </c>
      <c r="O151" s="98" t="s">
        <v>256</v>
      </c>
      <c r="P151" s="110">
        <v>12150.18</v>
      </c>
      <c r="Q151" s="7" t="s">
        <v>548</v>
      </c>
      <c r="S151" s="99" t="s">
        <v>389</v>
      </c>
      <c r="T151" s="98" t="s">
        <v>390</v>
      </c>
      <c r="U151" s="108">
        <v>3000</v>
      </c>
      <c r="V151" s="7" t="s">
        <v>472</v>
      </c>
      <c r="Y151" s="99" t="s">
        <v>241</v>
      </c>
      <c r="Z151" s="98" t="s">
        <v>242</v>
      </c>
      <c r="AA151" s="108">
        <v>27686.21</v>
      </c>
      <c r="AB151" s="7" t="str">
        <f t="shared" si="3"/>
        <v>Honoraires</v>
      </c>
      <c r="AE151" s="99" t="s">
        <v>243</v>
      </c>
      <c r="AF151" s="98" t="s">
        <v>244</v>
      </c>
      <c r="AG151" s="108">
        <v>0</v>
      </c>
      <c r="AH151" s="7" t="str">
        <f t="shared" si="2"/>
        <v>Honoraires</v>
      </c>
      <c r="AK151" s="99" t="s">
        <v>235</v>
      </c>
      <c r="AL151" s="98" t="s">
        <v>236</v>
      </c>
      <c r="AM151" s="108">
        <v>9462.9599999999991</v>
      </c>
      <c r="AN151" s="7" t="str">
        <f t="shared" si="4"/>
        <v>Honoraires EC</v>
      </c>
    </row>
    <row r="152" spans="2:40">
      <c r="B152" s="11" t="s">
        <v>249</v>
      </c>
      <c r="C152" s="12" t="s">
        <v>250</v>
      </c>
      <c r="D152" s="25">
        <v>63412.42</v>
      </c>
      <c r="E152" s="7" t="s">
        <v>477</v>
      </c>
      <c r="I152" s="99" t="s">
        <v>385</v>
      </c>
      <c r="J152" s="98" t="s">
        <v>386</v>
      </c>
      <c r="K152" s="108">
        <v>26571.56</v>
      </c>
      <c r="L152" s="7" t="str">
        <f t="shared" si="0"/>
        <v>Honoraires Avocat</v>
      </c>
      <c r="N152" s="99" t="s">
        <v>257</v>
      </c>
      <c r="O152" s="98" t="s">
        <v>258</v>
      </c>
      <c r="P152" s="110">
        <v>500</v>
      </c>
      <c r="Q152" s="7" t="s">
        <v>488</v>
      </c>
      <c r="S152" s="99" t="s">
        <v>245</v>
      </c>
      <c r="T152" s="98" t="s">
        <v>246</v>
      </c>
      <c r="U152" s="108">
        <v>12656.62</v>
      </c>
      <c r="V152" s="7" t="str">
        <f t="shared" si="1"/>
        <v>Publicité</v>
      </c>
      <c r="Y152" s="99" t="s">
        <v>243</v>
      </c>
      <c r="Z152" s="98" t="s">
        <v>244</v>
      </c>
      <c r="AA152" s="108">
        <v>29.88</v>
      </c>
      <c r="AB152" s="7" t="str">
        <f t="shared" si="3"/>
        <v>Honoraires</v>
      </c>
      <c r="AE152" s="99" t="s">
        <v>389</v>
      </c>
      <c r="AF152" s="98" t="s">
        <v>390</v>
      </c>
      <c r="AG152" s="108">
        <v>0</v>
      </c>
      <c r="AH152" s="7" t="str">
        <f t="shared" si="2"/>
        <v>Publicité</v>
      </c>
      <c r="AK152" s="99" t="s">
        <v>237</v>
      </c>
      <c r="AL152" s="98" t="s">
        <v>238</v>
      </c>
      <c r="AM152" s="108">
        <v>-2747.66</v>
      </c>
      <c r="AN152" s="7" t="str">
        <f t="shared" si="4"/>
        <v>Honoraires CAC</v>
      </c>
    </row>
    <row r="153" spans="2:40">
      <c r="B153" s="11" t="s">
        <v>401</v>
      </c>
      <c r="C153" s="12" t="s">
        <v>402</v>
      </c>
      <c r="D153" s="25">
        <v>7707.65</v>
      </c>
      <c r="E153" s="7" t="s">
        <v>477</v>
      </c>
      <c r="I153" s="99" t="s">
        <v>387</v>
      </c>
      <c r="J153" s="98" t="s">
        <v>388</v>
      </c>
      <c r="K153" s="108">
        <v>35890</v>
      </c>
      <c r="L153" s="7" t="str">
        <f t="shared" si="0"/>
        <v>Honoraires Recrut</v>
      </c>
      <c r="N153" s="99" t="s">
        <v>259</v>
      </c>
      <c r="O153" s="98" t="s">
        <v>260</v>
      </c>
      <c r="P153" s="110">
        <v>244</v>
      </c>
      <c r="Q153" s="7" t="s">
        <v>540</v>
      </c>
      <c r="S153" s="99" t="s">
        <v>391</v>
      </c>
      <c r="T153" s="98" t="s">
        <v>392</v>
      </c>
      <c r="U153" s="108">
        <v>15364.6</v>
      </c>
      <c r="V153" s="7" t="str">
        <f t="shared" si="1"/>
        <v>Salons et expositions</v>
      </c>
      <c r="Y153" s="99" t="s">
        <v>389</v>
      </c>
      <c r="Z153" s="98" t="s">
        <v>390</v>
      </c>
      <c r="AA153" s="108">
        <v>0</v>
      </c>
      <c r="AB153" s="7" t="str">
        <f t="shared" si="3"/>
        <v>Publicité</v>
      </c>
      <c r="AE153" s="99" t="s">
        <v>245</v>
      </c>
      <c r="AF153" s="98" t="s">
        <v>246</v>
      </c>
      <c r="AG153" s="108">
        <v>25.46</v>
      </c>
      <c r="AH153" s="7" t="str">
        <f t="shared" si="2"/>
        <v>Publicité</v>
      </c>
      <c r="AK153" s="99" t="s">
        <v>385</v>
      </c>
      <c r="AL153" s="98" t="s">
        <v>386</v>
      </c>
      <c r="AM153" s="108">
        <v>38967.9</v>
      </c>
      <c r="AN153" s="7" t="str">
        <f t="shared" si="4"/>
        <v>Honoraires Avocat</v>
      </c>
    </row>
    <row r="154" spans="2:40">
      <c r="B154" s="11" t="s">
        <v>251</v>
      </c>
      <c r="C154" s="12" t="s">
        <v>252</v>
      </c>
      <c r="D154" s="25">
        <v>66947.649999999994</v>
      </c>
      <c r="E154" s="7" t="s">
        <v>546</v>
      </c>
      <c r="I154" s="99" t="s">
        <v>239</v>
      </c>
      <c r="J154" s="98" t="s">
        <v>240</v>
      </c>
      <c r="K154" s="108">
        <v>225000</v>
      </c>
      <c r="L154" s="7" t="str">
        <f t="shared" si="0"/>
        <v>Honoraires HM</v>
      </c>
      <c r="N154" s="99" t="s">
        <v>261</v>
      </c>
      <c r="O154" s="98" t="s">
        <v>262</v>
      </c>
      <c r="P154" s="110">
        <v>2465.64</v>
      </c>
      <c r="Q154" s="7" t="s">
        <v>540</v>
      </c>
      <c r="S154" s="99" t="s">
        <v>393</v>
      </c>
      <c r="T154" s="98" t="s">
        <v>394</v>
      </c>
      <c r="U154" s="108">
        <v>0</v>
      </c>
      <c r="V154" s="7" t="str">
        <f t="shared" si="1"/>
        <v>Frais courants</v>
      </c>
      <c r="Y154" s="99" t="s">
        <v>245</v>
      </c>
      <c r="Z154" s="98" t="s">
        <v>246</v>
      </c>
      <c r="AA154" s="108">
        <v>3016.13</v>
      </c>
      <c r="AB154" s="7" t="str">
        <f t="shared" si="3"/>
        <v>Publicité</v>
      </c>
      <c r="AE154" s="99" t="s">
        <v>391</v>
      </c>
      <c r="AF154" s="98" t="s">
        <v>392</v>
      </c>
      <c r="AG154" s="108">
        <v>0</v>
      </c>
      <c r="AH154" s="7" t="str">
        <f t="shared" si="2"/>
        <v>Salons et expositions</v>
      </c>
      <c r="AK154" s="99" t="s">
        <v>387</v>
      </c>
      <c r="AL154" s="98" t="s">
        <v>388</v>
      </c>
      <c r="AM154" s="108">
        <v>5000</v>
      </c>
      <c r="AN154" s="7" t="str">
        <f t="shared" si="4"/>
        <v>Honoraires Recrut</v>
      </c>
    </row>
    <row r="155" spans="2:40">
      <c r="B155" s="11" t="s">
        <v>253</v>
      </c>
      <c r="C155" s="12" t="s">
        <v>254</v>
      </c>
      <c r="D155" s="25">
        <v>39102.61</v>
      </c>
      <c r="E155" s="7" t="s">
        <v>476</v>
      </c>
      <c r="I155" s="99" t="s">
        <v>241</v>
      </c>
      <c r="J155" s="98" t="s">
        <v>242</v>
      </c>
      <c r="K155" s="108">
        <v>125896.67</v>
      </c>
      <c r="L155" s="7" t="str">
        <f t="shared" si="0"/>
        <v>Honoraires</v>
      </c>
      <c r="N155" s="99" t="s">
        <v>263</v>
      </c>
      <c r="O155" s="98" t="s">
        <v>264</v>
      </c>
      <c r="P155" s="110">
        <v>8242.94</v>
      </c>
      <c r="Q155" s="7" t="s">
        <v>540</v>
      </c>
      <c r="S155" s="99" t="s">
        <v>617</v>
      </c>
      <c r="T155" s="98" t="s">
        <v>618</v>
      </c>
      <c r="U155" s="108">
        <v>0</v>
      </c>
      <c r="V155" s="7" t="str">
        <f t="shared" si="1"/>
        <v>Frais courants</v>
      </c>
      <c r="Y155" s="99" t="s">
        <v>391</v>
      </c>
      <c r="Z155" s="98" t="s">
        <v>392</v>
      </c>
      <c r="AA155" s="108">
        <v>2115.81</v>
      </c>
      <c r="AB155" s="7" t="str">
        <f t="shared" si="3"/>
        <v>Salons et expositions</v>
      </c>
      <c r="AE155" s="99" t="s">
        <v>393</v>
      </c>
      <c r="AF155" s="98" t="s">
        <v>394</v>
      </c>
      <c r="AG155" s="108">
        <v>0</v>
      </c>
      <c r="AH155" s="7" t="str">
        <f t="shared" si="2"/>
        <v>Frais courants</v>
      </c>
      <c r="AK155" s="99" t="s">
        <v>239</v>
      </c>
      <c r="AL155" s="98" t="s">
        <v>240</v>
      </c>
      <c r="AM155" s="108">
        <v>86500</v>
      </c>
      <c r="AN155" s="7" t="str">
        <f t="shared" si="4"/>
        <v>Honoraires HM</v>
      </c>
    </row>
    <row r="156" spans="2:40">
      <c r="B156" s="11" t="s">
        <v>255</v>
      </c>
      <c r="C156" s="12" t="s">
        <v>256</v>
      </c>
      <c r="D156" s="24">
        <v>31737.55</v>
      </c>
      <c r="E156" s="7" t="s">
        <v>548</v>
      </c>
      <c r="I156" s="99" t="s">
        <v>243</v>
      </c>
      <c r="J156" s="98" t="s">
        <v>244</v>
      </c>
      <c r="K156" s="108">
        <v>908.45</v>
      </c>
      <c r="L156" s="7" t="str">
        <f t="shared" si="0"/>
        <v>Honoraires</v>
      </c>
      <c r="N156" s="99" t="s">
        <v>265</v>
      </c>
      <c r="O156" s="98" t="s">
        <v>266</v>
      </c>
      <c r="P156" s="110">
        <v>660</v>
      </c>
      <c r="Q156" s="7" t="s">
        <v>540</v>
      </c>
      <c r="S156" s="99" t="s">
        <v>397</v>
      </c>
      <c r="T156" s="98" t="s">
        <v>398</v>
      </c>
      <c r="U156" s="108">
        <v>0</v>
      </c>
      <c r="Y156" s="99" t="s">
        <v>393</v>
      </c>
      <c r="Z156" s="98" t="s">
        <v>394</v>
      </c>
      <c r="AA156" s="108">
        <v>196.66</v>
      </c>
      <c r="AB156" s="7" t="str">
        <f t="shared" si="3"/>
        <v>Frais courants</v>
      </c>
      <c r="AE156" s="99" t="s">
        <v>617</v>
      </c>
      <c r="AF156" s="98" t="s">
        <v>618</v>
      </c>
      <c r="AG156" s="108">
        <v>3000</v>
      </c>
      <c r="AH156" s="7" t="str">
        <f t="shared" si="2"/>
        <v>Frais courants</v>
      </c>
      <c r="AK156" s="99" t="s">
        <v>241</v>
      </c>
      <c r="AL156" s="98" t="s">
        <v>242</v>
      </c>
      <c r="AM156" s="108">
        <v>72043.34</v>
      </c>
      <c r="AN156" s="7" t="str">
        <f t="shared" si="4"/>
        <v>Honoraires</v>
      </c>
    </row>
    <row r="157" spans="2:40">
      <c r="B157" s="11" t="s">
        <v>257</v>
      </c>
      <c r="C157" s="12" t="s">
        <v>258</v>
      </c>
      <c r="D157" s="24">
        <v>1730.25</v>
      </c>
      <c r="E157" s="7" t="s">
        <v>488</v>
      </c>
      <c r="I157" s="99" t="s">
        <v>389</v>
      </c>
      <c r="J157" s="98" t="s">
        <v>390</v>
      </c>
      <c r="K157" s="108">
        <v>18600</v>
      </c>
      <c r="L157" s="7" t="str">
        <f t="shared" si="0"/>
        <v>Publicité</v>
      </c>
      <c r="N157" s="99" t="s">
        <v>621</v>
      </c>
      <c r="O157" s="98" t="s">
        <v>622</v>
      </c>
      <c r="P157" s="110">
        <v>831.42</v>
      </c>
      <c r="Q157" s="7" t="s">
        <v>474</v>
      </c>
      <c r="S157" s="99" t="s">
        <v>619</v>
      </c>
      <c r="T157" s="98" t="s">
        <v>620</v>
      </c>
      <c r="U157" s="108">
        <v>44.7</v>
      </c>
      <c r="V157" s="7" t="str">
        <f t="shared" si="1"/>
        <v>Déplacements</v>
      </c>
      <c r="Y157" s="99" t="s">
        <v>617</v>
      </c>
      <c r="Z157" s="98" t="s">
        <v>618</v>
      </c>
      <c r="AA157" s="108">
        <v>0</v>
      </c>
      <c r="AB157" s="7" t="str">
        <f t="shared" si="3"/>
        <v>Frais courants</v>
      </c>
      <c r="AE157" s="99" t="s">
        <v>397</v>
      </c>
      <c r="AF157" s="98" t="s">
        <v>398</v>
      </c>
      <c r="AG157" s="108">
        <v>499</v>
      </c>
      <c r="AH157" s="7">
        <f t="shared" si="2"/>
        <v>0</v>
      </c>
      <c r="AK157" s="99" t="s">
        <v>243</v>
      </c>
      <c r="AL157" s="98" t="s">
        <v>244</v>
      </c>
      <c r="AM157" s="108">
        <v>43.09</v>
      </c>
      <c r="AN157" s="7" t="str">
        <f t="shared" si="4"/>
        <v>Honoraires</v>
      </c>
    </row>
    <row r="158" spans="2:40">
      <c r="B158" s="11" t="s">
        <v>259</v>
      </c>
      <c r="C158" s="12" t="s">
        <v>260</v>
      </c>
      <c r="D158" s="24">
        <v>4755.87</v>
      </c>
      <c r="E158" s="7" t="s">
        <v>540</v>
      </c>
      <c r="I158" s="99" t="s">
        <v>245</v>
      </c>
      <c r="J158" s="98" t="s">
        <v>246</v>
      </c>
      <c r="K158" s="108">
        <v>5462.55</v>
      </c>
      <c r="L158" s="7" t="str">
        <f t="shared" si="0"/>
        <v>Publicité</v>
      </c>
      <c r="N158" s="99" t="s">
        <v>267</v>
      </c>
      <c r="O158" s="98" t="s">
        <v>268</v>
      </c>
      <c r="P158" s="110">
        <v>5402.44</v>
      </c>
      <c r="Q158" s="7" t="s">
        <v>474</v>
      </c>
      <c r="S158" s="99" t="s">
        <v>249</v>
      </c>
      <c r="T158" s="98" t="s">
        <v>250</v>
      </c>
      <c r="U158" s="108">
        <v>965.6</v>
      </c>
      <c r="V158" s="7" t="str">
        <f t="shared" si="1"/>
        <v>Déplacements</v>
      </c>
      <c r="Y158" s="99" t="s">
        <v>397</v>
      </c>
      <c r="Z158" s="98" t="s">
        <v>398</v>
      </c>
      <c r="AA158" s="108">
        <v>0</v>
      </c>
      <c r="AB158" s="7">
        <f t="shared" si="3"/>
        <v>0</v>
      </c>
      <c r="AE158" s="99" t="s">
        <v>619</v>
      </c>
      <c r="AF158" s="98" t="s">
        <v>620</v>
      </c>
      <c r="AG158" s="108">
        <v>100.5</v>
      </c>
      <c r="AH158" s="7" t="str">
        <f t="shared" si="2"/>
        <v>Déplacements</v>
      </c>
      <c r="AK158" s="99" t="s">
        <v>389</v>
      </c>
      <c r="AL158" s="98" t="s">
        <v>390</v>
      </c>
      <c r="AM158" s="108">
        <v>3000</v>
      </c>
      <c r="AN158" s="7" t="s">
        <v>472</v>
      </c>
    </row>
    <row r="159" spans="2:40">
      <c r="B159" s="11" t="s">
        <v>261</v>
      </c>
      <c r="C159" s="12" t="s">
        <v>262</v>
      </c>
      <c r="D159" s="24">
        <v>4092.36</v>
      </c>
      <c r="E159" s="7" t="s">
        <v>540</v>
      </c>
      <c r="I159" s="99" t="s">
        <v>247</v>
      </c>
      <c r="J159" s="98" t="s">
        <v>248</v>
      </c>
      <c r="K159" s="108">
        <v>12351</v>
      </c>
      <c r="L159" s="7" t="str">
        <f t="shared" si="0"/>
        <v>Publicité</v>
      </c>
      <c r="N159" s="99" t="s">
        <v>269</v>
      </c>
      <c r="O159" s="98" t="s">
        <v>270</v>
      </c>
      <c r="P159" s="110">
        <v>2661.83</v>
      </c>
      <c r="Q159" s="7" t="s">
        <v>474</v>
      </c>
      <c r="S159" s="99" t="s">
        <v>401</v>
      </c>
      <c r="T159" s="98" t="s">
        <v>402</v>
      </c>
      <c r="U159" s="108">
        <v>0</v>
      </c>
      <c r="V159" s="7" t="str">
        <f t="shared" si="1"/>
        <v>Déplacements</v>
      </c>
      <c r="Y159" s="99" t="s">
        <v>399</v>
      </c>
      <c r="Z159" s="98" t="s">
        <v>400</v>
      </c>
      <c r="AA159" s="108">
        <v>15</v>
      </c>
      <c r="AB159" s="7" t="s">
        <v>488</v>
      </c>
      <c r="AE159" s="99" t="s">
        <v>249</v>
      </c>
      <c r="AF159" s="98" t="s">
        <v>250</v>
      </c>
      <c r="AG159" s="108">
        <v>9380.5499999999993</v>
      </c>
      <c r="AH159" s="7" t="str">
        <f t="shared" si="2"/>
        <v>Déplacements</v>
      </c>
      <c r="AK159" s="99" t="s">
        <v>245</v>
      </c>
      <c r="AL159" s="98" t="s">
        <v>246</v>
      </c>
      <c r="AM159" s="108">
        <v>18904.25</v>
      </c>
      <c r="AN159" s="7" t="str">
        <f t="shared" si="4"/>
        <v>Publicité</v>
      </c>
    </row>
    <row r="160" spans="2:40">
      <c r="B160" s="11" t="s">
        <v>263</v>
      </c>
      <c r="C160" s="12" t="s">
        <v>264</v>
      </c>
      <c r="D160" s="24">
        <v>20077.919999999998</v>
      </c>
      <c r="E160" s="7" t="s">
        <v>540</v>
      </c>
      <c r="I160" s="99" t="s">
        <v>391</v>
      </c>
      <c r="J160" s="98" t="s">
        <v>392</v>
      </c>
      <c r="K160" s="108">
        <v>56275.47</v>
      </c>
      <c r="L160" s="7" t="str">
        <f t="shared" si="0"/>
        <v>Salons et expositions</v>
      </c>
      <c r="N160" s="99" t="s">
        <v>271</v>
      </c>
      <c r="O160" s="98" t="s">
        <v>272</v>
      </c>
      <c r="P160" s="110">
        <v>910.29</v>
      </c>
      <c r="Q160" s="7" t="s">
        <v>474</v>
      </c>
      <c r="S160" s="99" t="s">
        <v>251</v>
      </c>
      <c r="T160" s="98" t="s">
        <v>252</v>
      </c>
      <c r="U160" s="108">
        <v>6576.93</v>
      </c>
      <c r="V160" s="7" t="str">
        <f t="shared" si="1"/>
        <v>Wagram</v>
      </c>
      <c r="Y160" s="99" t="s">
        <v>619</v>
      </c>
      <c r="Z160" s="98" t="s">
        <v>620</v>
      </c>
      <c r="AA160" s="108">
        <v>59.7</v>
      </c>
      <c r="AB160" s="7" t="str">
        <f t="shared" si="3"/>
        <v>Déplacements</v>
      </c>
      <c r="AE160" s="99" t="s">
        <v>401</v>
      </c>
      <c r="AF160" s="98" t="s">
        <v>402</v>
      </c>
      <c r="AG160" s="108">
        <v>0</v>
      </c>
      <c r="AH160" s="7" t="str">
        <f t="shared" si="2"/>
        <v>Déplacements</v>
      </c>
      <c r="AK160" s="99" t="s">
        <v>391</v>
      </c>
      <c r="AL160" s="98" t="s">
        <v>392</v>
      </c>
      <c r="AM160" s="108">
        <v>17500.41</v>
      </c>
      <c r="AN160" s="7" t="str">
        <f t="shared" si="4"/>
        <v>Salons et expositions</v>
      </c>
    </row>
    <row r="161" spans="2:40">
      <c r="B161" s="11" t="s">
        <v>265</v>
      </c>
      <c r="C161" s="12" t="s">
        <v>266</v>
      </c>
      <c r="D161" s="24">
        <v>4500</v>
      </c>
      <c r="E161" s="7" t="s">
        <v>540</v>
      </c>
      <c r="I161" s="99" t="s">
        <v>393</v>
      </c>
      <c r="J161" s="98" t="s">
        <v>394</v>
      </c>
      <c r="K161" s="108">
        <v>1062.22</v>
      </c>
      <c r="L161" s="7" t="str">
        <f t="shared" si="0"/>
        <v>Frais courants</v>
      </c>
      <c r="N161" s="99" t="s">
        <v>623</v>
      </c>
      <c r="O161" s="98" t="s">
        <v>624</v>
      </c>
      <c r="P161" s="110">
        <v>198.96</v>
      </c>
      <c r="Q161" s="7" t="s">
        <v>474</v>
      </c>
      <c r="S161" s="99" t="s">
        <v>253</v>
      </c>
      <c r="T161" s="98" t="s">
        <v>254</v>
      </c>
      <c r="U161" s="108">
        <v>2544.64</v>
      </c>
      <c r="V161" s="7" t="str">
        <f t="shared" si="1"/>
        <v>Evènements</v>
      </c>
      <c r="Y161" s="99" t="s">
        <v>249</v>
      </c>
      <c r="Z161" s="98" t="s">
        <v>250</v>
      </c>
      <c r="AA161" s="108">
        <v>-1823.67</v>
      </c>
      <c r="AB161" s="7" t="str">
        <f t="shared" si="3"/>
        <v>Déplacements</v>
      </c>
      <c r="AE161" s="99" t="s">
        <v>251</v>
      </c>
      <c r="AF161" s="98" t="s">
        <v>252</v>
      </c>
      <c r="AG161" s="108">
        <v>8076.5</v>
      </c>
      <c r="AH161" s="7" t="str">
        <f t="shared" si="2"/>
        <v>Wagram</v>
      </c>
      <c r="AK161" s="99" t="s">
        <v>393</v>
      </c>
      <c r="AL161" s="98" t="s">
        <v>394</v>
      </c>
      <c r="AM161" s="108">
        <v>155.96</v>
      </c>
      <c r="AN161" s="7" t="str">
        <f t="shared" si="4"/>
        <v>Frais courants</v>
      </c>
    </row>
    <row r="162" spans="2:40">
      <c r="B162" s="11" t="s">
        <v>267</v>
      </c>
      <c r="C162" s="12" t="s">
        <v>268</v>
      </c>
      <c r="D162" s="25">
        <v>11822.13</v>
      </c>
      <c r="E162" s="7" t="s">
        <v>474</v>
      </c>
      <c r="I162" s="99" t="s">
        <v>617</v>
      </c>
      <c r="J162" s="98" t="s">
        <v>618</v>
      </c>
      <c r="K162" s="108">
        <v>600</v>
      </c>
      <c r="L162" s="7" t="s">
        <v>488</v>
      </c>
      <c r="N162" s="99" t="s">
        <v>661</v>
      </c>
      <c r="O162" s="98" t="s">
        <v>662</v>
      </c>
      <c r="P162" s="110">
        <v>791.67</v>
      </c>
      <c r="Q162" s="7" t="s">
        <v>474</v>
      </c>
      <c r="S162" s="99" t="s">
        <v>255</v>
      </c>
      <c r="T162" s="98" t="s">
        <v>256</v>
      </c>
      <c r="U162" s="108">
        <v>3367.54</v>
      </c>
      <c r="V162" s="7" t="str">
        <f t="shared" si="1"/>
        <v>Petits-déjeuners</v>
      </c>
      <c r="Y162" s="99" t="s">
        <v>401</v>
      </c>
      <c r="Z162" s="98" t="s">
        <v>402</v>
      </c>
      <c r="AA162" s="108">
        <v>0</v>
      </c>
      <c r="AB162" s="7" t="str">
        <f t="shared" si="3"/>
        <v>Déplacements</v>
      </c>
      <c r="AE162" s="99" t="s">
        <v>253</v>
      </c>
      <c r="AF162" s="98" t="s">
        <v>254</v>
      </c>
      <c r="AG162" s="108">
        <v>3196.79</v>
      </c>
      <c r="AH162" s="7" t="str">
        <f t="shared" si="2"/>
        <v>Evènements</v>
      </c>
      <c r="AK162" s="99" t="s">
        <v>617</v>
      </c>
      <c r="AL162" s="98" t="s">
        <v>618</v>
      </c>
      <c r="AM162" s="108">
        <v>3000</v>
      </c>
      <c r="AN162" s="7" t="str">
        <f t="shared" si="4"/>
        <v>Frais courants</v>
      </c>
    </row>
    <row r="163" spans="2:40">
      <c r="B163" s="11" t="s">
        <v>269</v>
      </c>
      <c r="C163" s="12" t="s">
        <v>270</v>
      </c>
      <c r="D163" s="25">
        <v>9171.0400000000009</v>
      </c>
      <c r="E163" s="7" t="s">
        <v>474</v>
      </c>
      <c r="I163" s="99" t="s">
        <v>395</v>
      </c>
      <c r="J163" s="98" t="s">
        <v>396</v>
      </c>
      <c r="K163" s="108">
        <v>36578.620000000003</v>
      </c>
      <c r="L163" s="7" t="str">
        <f t="shared" si="0"/>
        <v>Absent sur nouvel exercice</v>
      </c>
      <c r="N163" s="99" t="s">
        <v>403</v>
      </c>
      <c r="O163" s="98" t="s">
        <v>404</v>
      </c>
      <c r="P163" s="110">
        <v>642</v>
      </c>
      <c r="Q163" s="7" t="s">
        <v>474</v>
      </c>
      <c r="S163" s="99" t="s">
        <v>257</v>
      </c>
      <c r="T163" s="98" t="s">
        <v>258</v>
      </c>
      <c r="U163" s="108">
        <v>233.15</v>
      </c>
      <c r="V163" s="7" t="str">
        <f t="shared" si="1"/>
        <v>Frais courants</v>
      </c>
      <c r="Y163" s="99" t="s">
        <v>251</v>
      </c>
      <c r="Z163" s="98" t="s">
        <v>252</v>
      </c>
      <c r="AA163" s="108">
        <v>5606.71</v>
      </c>
      <c r="AB163" s="7" t="str">
        <f t="shared" si="3"/>
        <v>Wagram</v>
      </c>
      <c r="AE163" s="99" t="s">
        <v>255</v>
      </c>
      <c r="AF163" s="98" t="s">
        <v>256</v>
      </c>
      <c r="AG163" s="108">
        <v>6929.3</v>
      </c>
      <c r="AH163" s="7" t="str">
        <f t="shared" si="2"/>
        <v>Petits-déjeuners</v>
      </c>
      <c r="AK163" s="99" t="s">
        <v>397</v>
      </c>
      <c r="AL163" s="98" t="s">
        <v>398</v>
      </c>
      <c r="AM163" s="108">
        <v>499</v>
      </c>
      <c r="AN163" s="7" t="s">
        <v>488</v>
      </c>
    </row>
    <row r="164" spans="2:40">
      <c r="B164" s="11" t="s">
        <v>271</v>
      </c>
      <c r="C164" s="12" t="s">
        <v>272</v>
      </c>
      <c r="D164" s="25">
        <v>3567.55</v>
      </c>
      <c r="E164" s="7" t="s">
        <v>474</v>
      </c>
      <c r="I164" s="99" t="s">
        <v>397</v>
      </c>
      <c r="J164" s="98" t="s">
        <v>398</v>
      </c>
      <c r="K164" s="108">
        <v>968</v>
      </c>
      <c r="L164" s="7" t="str">
        <f t="shared" si="0"/>
        <v>Frais courants</v>
      </c>
      <c r="N164" s="99" t="s">
        <v>273</v>
      </c>
      <c r="O164" s="98" t="s">
        <v>274</v>
      </c>
      <c r="P164" s="110">
        <v>21523.51</v>
      </c>
      <c r="Q164" s="7" t="s">
        <v>550</v>
      </c>
      <c r="S164" s="99" t="s">
        <v>259</v>
      </c>
      <c r="T164" s="98" t="s">
        <v>260</v>
      </c>
      <c r="U164" s="108">
        <v>0</v>
      </c>
      <c r="V164" s="7" t="str">
        <f t="shared" si="1"/>
        <v>IT</v>
      </c>
      <c r="Y164" s="99" t="s">
        <v>253</v>
      </c>
      <c r="Z164" s="98" t="s">
        <v>254</v>
      </c>
      <c r="AA164" s="108">
        <v>-1881.06</v>
      </c>
      <c r="AB164" s="7" t="str">
        <f t="shared" si="3"/>
        <v>Evènements</v>
      </c>
      <c r="AE164" s="99" t="s">
        <v>257</v>
      </c>
      <c r="AF164" s="98" t="s">
        <v>258</v>
      </c>
      <c r="AG164" s="108">
        <v>350</v>
      </c>
      <c r="AH164" s="7" t="str">
        <f t="shared" si="2"/>
        <v>Frais courants</v>
      </c>
      <c r="AK164" s="99" t="s">
        <v>399</v>
      </c>
      <c r="AL164" s="98" t="s">
        <v>400</v>
      </c>
      <c r="AM164" s="108">
        <v>15</v>
      </c>
      <c r="AN164" s="7" t="s">
        <v>488</v>
      </c>
    </row>
    <row r="165" spans="2:40">
      <c r="B165" s="11" t="s">
        <v>403</v>
      </c>
      <c r="C165" s="12" t="s">
        <v>404</v>
      </c>
      <c r="D165" s="25">
        <v>173.44</v>
      </c>
      <c r="E165" s="7" t="s">
        <v>474</v>
      </c>
      <c r="I165" s="99" t="s">
        <v>399</v>
      </c>
      <c r="J165" s="98" t="s">
        <v>400</v>
      </c>
      <c r="K165" s="108">
        <v>45</v>
      </c>
      <c r="L165" s="7" t="str">
        <f t="shared" si="0"/>
        <v>Frais courants</v>
      </c>
      <c r="N165" s="99" t="s">
        <v>275</v>
      </c>
      <c r="O165" s="98" t="s">
        <v>276</v>
      </c>
      <c r="P165" s="110">
        <v>8457.66</v>
      </c>
      <c r="Q165" s="7" t="s">
        <v>550</v>
      </c>
      <c r="S165" s="99" t="s">
        <v>261</v>
      </c>
      <c r="T165" s="98" t="s">
        <v>262</v>
      </c>
      <c r="U165" s="108">
        <v>924.56</v>
      </c>
      <c r="V165" s="7" t="str">
        <f t="shared" si="1"/>
        <v>IT</v>
      </c>
      <c r="Y165" s="99" t="s">
        <v>255</v>
      </c>
      <c r="Z165" s="98" t="s">
        <v>256</v>
      </c>
      <c r="AA165" s="108">
        <v>10685.37</v>
      </c>
      <c r="AB165" s="7" t="str">
        <f t="shared" si="3"/>
        <v>Petits-déjeuners</v>
      </c>
      <c r="AE165" s="99" t="s">
        <v>259</v>
      </c>
      <c r="AF165" s="98" t="s">
        <v>260</v>
      </c>
      <c r="AG165" s="108">
        <v>13.31</v>
      </c>
      <c r="AH165" s="7" t="str">
        <f t="shared" si="2"/>
        <v>IT</v>
      </c>
      <c r="AK165" s="99" t="s">
        <v>619</v>
      </c>
      <c r="AL165" s="98" t="s">
        <v>620</v>
      </c>
      <c r="AM165" s="108">
        <v>487.1</v>
      </c>
      <c r="AN165" s="7" t="str">
        <f t="shared" si="4"/>
        <v>Déplacements</v>
      </c>
    </row>
    <row r="166" spans="2:40">
      <c r="B166" s="11" t="s">
        <v>405</v>
      </c>
      <c r="C166" s="12" t="s">
        <v>406</v>
      </c>
      <c r="D166" s="25">
        <v>2200</v>
      </c>
      <c r="E166" s="7" t="s">
        <v>474</v>
      </c>
      <c r="I166" s="99" t="s">
        <v>619</v>
      </c>
      <c r="J166" s="98" t="s">
        <v>620</v>
      </c>
      <c r="K166" s="108">
        <v>783.66</v>
      </c>
      <c r="L166" s="7" t="s">
        <v>477</v>
      </c>
      <c r="N166" s="99" t="s">
        <v>277</v>
      </c>
      <c r="O166" s="98" t="s">
        <v>278</v>
      </c>
      <c r="P166" s="110">
        <v>3805.98</v>
      </c>
      <c r="Q166" s="7" t="s">
        <v>550</v>
      </c>
      <c r="S166" s="99" t="s">
        <v>263</v>
      </c>
      <c r="T166" s="98" t="s">
        <v>264</v>
      </c>
      <c r="U166" s="108">
        <v>2718.82</v>
      </c>
      <c r="V166" s="7" t="str">
        <f t="shared" si="1"/>
        <v>IT</v>
      </c>
      <c r="Y166" s="99" t="s">
        <v>257</v>
      </c>
      <c r="Z166" s="98" t="s">
        <v>258</v>
      </c>
      <c r="AA166" s="108">
        <v>1131.55</v>
      </c>
      <c r="AB166" s="7" t="str">
        <f t="shared" si="3"/>
        <v>Frais courants</v>
      </c>
      <c r="AE166" s="99" t="s">
        <v>261</v>
      </c>
      <c r="AF166" s="98" t="s">
        <v>262</v>
      </c>
      <c r="AG166" s="108">
        <v>924.57</v>
      </c>
      <c r="AH166" s="7" t="str">
        <f t="shared" si="2"/>
        <v>IT</v>
      </c>
      <c r="AK166" s="99" t="s">
        <v>249</v>
      </c>
      <c r="AL166" s="98" t="s">
        <v>250</v>
      </c>
      <c r="AM166" s="108">
        <v>39647.769999999997</v>
      </c>
      <c r="AN166" s="7" t="str">
        <f t="shared" si="4"/>
        <v>Déplacements</v>
      </c>
    </row>
    <row r="167" spans="2:40">
      <c r="B167" s="11" t="s">
        <v>273</v>
      </c>
      <c r="C167" s="12" t="s">
        <v>274</v>
      </c>
      <c r="D167" s="25">
        <v>57020.18</v>
      </c>
      <c r="E167" s="7" t="s">
        <v>550</v>
      </c>
      <c r="I167" s="99" t="s">
        <v>249</v>
      </c>
      <c r="J167" s="98" t="s">
        <v>250</v>
      </c>
      <c r="K167" s="108">
        <v>90501.23</v>
      </c>
      <c r="L167" s="7" t="str">
        <f t="shared" ref="L167:L230" si="5">VLOOKUP(I167,$B$94:$E$232,4,FALSE)</f>
        <v>Déplacements</v>
      </c>
      <c r="N167" s="99" t="s">
        <v>279</v>
      </c>
      <c r="O167" s="98" t="s">
        <v>280</v>
      </c>
      <c r="P167" s="110">
        <v>5751.22</v>
      </c>
      <c r="Q167" s="7" t="s">
        <v>550</v>
      </c>
      <c r="S167" s="99" t="s">
        <v>694</v>
      </c>
      <c r="T167" s="98" t="s">
        <v>695</v>
      </c>
      <c r="U167" s="108">
        <v>632.66999999999996</v>
      </c>
      <c r="V167" s="7" t="s">
        <v>540</v>
      </c>
      <c r="Y167" s="99" t="s">
        <v>259</v>
      </c>
      <c r="Z167" s="98" t="s">
        <v>260</v>
      </c>
      <c r="AA167" s="108">
        <v>0</v>
      </c>
      <c r="AB167" s="7" t="str">
        <f t="shared" si="3"/>
        <v>IT</v>
      </c>
      <c r="AE167" s="99" t="s">
        <v>263</v>
      </c>
      <c r="AF167" s="98" t="s">
        <v>264</v>
      </c>
      <c r="AG167" s="108">
        <v>2579.29</v>
      </c>
      <c r="AH167" s="7" t="str">
        <f t="shared" si="2"/>
        <v>IT</v>
      </c>
      <c r="AK167" s="99" t="s">
        <v>401</v>
      </c>
      <c r="AL167" s="98" t="s">
        <v>402</v>
      </c>
      <c r="AM167" s="108">
        <v>2716.76</v>
      </c>
      <c r="AN167" s="7" t="str">
        <f t="shared" si="4"/>
        <v>Déplacements</v>
      </c>
    </row>
    <row r="168" spans="2:40">
      <c r="B168" s="11" t="s">
        <v>275</v>
      </c>
      <c r="C168" s="12" t="s">
        <v>276</v>
      </c>
      <c r="D168" s="25">
        <v>25723.02</v>
      </c>
      <c r="E168" s="7" t="s">
        <v>550</v>
      </c>
      <c r="I168" s="99" t="s">
        <v>401</v>
      </c>
      <c r="J168" s="98" t="s">
        <v>402</v>
      </c>
      <c r="K168" s="108">
        <v>17826.14</v>
      </c>
      <c r="L168" s="7" t="str">
        <f t="shared" si="5"/>
        <v>Déplacements</v>
      </c>
      <c r="N168" s="99" t="s">
        <v>281</v>
      </c>
      <c r="O168" s="98" t="s">
        <v>282</v>
      </c>
      <c r="P168" s="110">
        <v>834.25</v>
      </c>
      <c r="Q168" s="7" t="s">
        <v>550</v>
      </c>
      <c r="S168" s="99" t="s">
        <v>265</v>
      </c>
      <c r="T168" s="98" t="s">
        <v>266</v>
      </c>
      <c r="U168" s="108">
        <v>360</v>
      </c>
      <c r="V168" s="7" t="str">
        <f t="shared" si="1"/>
        <v>IT</v>
      </c>
      <c r="Y168" s="99" t="s">
        <v>261</v>
      </c>
      <c r="Z168" s="98" t="s">
        <v>262</v>
      </c>
      <c r="AA168" s="108">
        <v>1102.75</v>
      </c>
      <c r="AB168" s="7" t="str">
        <f t="shared" si="3"/>
        <v>IT</v>
      </c>
      <c r="AE168" s="99" t="s">
        <v>694</v>
      </c>
      <c r="AF168" s="98" t="s">
        <v>695</v>
      </c>
      <c r="AG168" s="108">
        <v>603.82000000000005</v>
      </c>
      <c r="AH168" s="7" t="str">
        <f t="shared" si="2"/>
        <v>IT</v>
      </c>
      <c r="AK168" s="99" t="s">
        <v>251</v>
      </c>
      <c r="AL168" s="98" t="s">
        <v>252</v>
      </c>
      <c r="AM168" s="108">
        <v>43886.44</v>
      </c>
      <c r="AN168" s="7" t="str">
        <f t="shared" si="4"/>
        <v>Wagram</v>
      </c>
    </row>
    <row r="169" spans="2:40">
      <c r="B169" s="11" t="s">
        <v>277</v>
      </c>
      <c r="C169" s="12" t="s">
        <v>278</v>
      </c>
      <c r="D169" s="25">
        <v>11382.55</v>
      </c>
      <c r="E169" s="7" t="s">
        <v>550</v>
      </c>
      <c r="I169" s="99" t="s">
        <v>251</v>
      </c>
      <c r="J169" s="98" t="s">
        <v>252</v>
      </c>
      <c r="K169" s="108">
        <v>101500.28</v>
      </c>
      <c r="L169" s="7" t="str">
        <f t="shared" si="5"/>
        <v>Wagram</v>
      </c>
      <c r="N169" s="99" t="s">
        <v>283</v>
      </c>
      <c r="O169" s="98" t="s">
        <v>284</v>
      </c>
      <c r="P169" s="110">
        <v>22500</v>
      </c>
      <c r="Q169" s="7" t="s">
        <v>550</v>
      </c>
      <c r="S169" s="99" t="s">
        <v>621</v>
      </c>
      <c r="T169" s="98" t="s">
        <v>622</v>
      </c>
      <c r="U169" s="108">
        <v>134.02000000000001</v>
      </c>
      <c r="V169" s="7" t="str">
        <f t="shared" ref="V169:V229" si="6">VLOOKUP(S169,$N$100:$Q$221,4,FALSE)</f>
        <v>Frais bancaires</v>
      </c>
      <c r="Y169" s="99" t="s">
        <v>263</v>
      </c>
      <c r="Z169" s="98" t="s">
        <v>264</v>
      </c>
      <c r="AA169" s="108">
        <v>2742.23</v>
      </c>
      <c r="AB169" s="7" t="str">
        <f t="shared" si="3"/>
        <v>IT</v>
      </c>
      <c r="AE169" s="99" t="s">
        <v>265</v>
      </c>
      <c r="AF169" s="98" t="s">
        <v>266</v>
      </c>
      <c r="AG169" s="108">
        <v>360</v>
      </c>
      <c r="AH169" s="7" t="str">
        <f t="shared" ref="AH169:AH228" si="7">VLOOKUP(AE169,$Y$106:$AB$232,4,FALSE)</f>
        <v>IT</v>
      </c>
      <c r="AK169" s="99" t="s">
        <v>253</v>
      </c>
      <c r="AL169" s="98" t="s">
        <v>254</v>
      </c>
      <c r="AM169" s="108">
        <v>15961.36</v>
      </c>
      <c r="AN169" s="7" t="str">
        <f t="shared" si="4"/>
        <v>Evènements</v>
      </c>
    </row>
    <row r="170" spans="2:40">
      <c r="B170" s="14" t="s">
        <v>279</v>
      </c>
      <c r="C170" s="13" t="s">
        <v>280</v>
      </c>
      <c r="D170" s="24">
        <v>17200.990000000002</v>
      </c>
      <c r="E170" s="7" t="s">
        <v>550</v>
      </c>
      <c r="I170" s="99" t="s">
        <v>253</v>
      </c>
      <c r="J170" s="98" t="s">
        <v>254</v>
      </c>
      <c r="K170" s="108">
        <v>54850.47</v>
      </c>
      <c r="L170" s="7" t="str">
        <f t="shared" si="5"/>
        <v>Evènements</v>
      </c>
      <c r="N170" s="99" t="s">
        <v>285</v>
      </c>
      <c r="O170" s="98" t="s">
        <v>286</v>
      </c>
      <c r="P170" s="110">
        <v>13074.75</v>
      </c>
      <c r="Q170" s="7" t="s">
        <v>550</v>
      </c>
      <c r="S170" s="99" t="s">
        <v>267</v>
      </c>
      <c r="T170" s="98" t="s">
        <v>268</v>
      </c>
      <c r="U170" s="108">
        <v>684.63</v>
      </c>
      <c r="V170" s="7" t="str">
        <f t="shared" si="6"/>
        <v>Frais bancaires</v>
      </c>
      <c r="Y170" s="99" t="s">
        <v>694</v>
      </c>
      <c r="Z170" s="98" t="s">
        <v>695</v>
      </c>
      <c r="AA170" s="108">
        <v>-1000</v>
      </c>
      <c r="AB170" s="7" t="str">
        <f t="shared" si="3"/>
        <v>IT</v>
      </c>
      <c r="AE170" s="99" t="s">
        <v>621</v>
      </c>
      <c r="AF170" s="98" t="s">
        <v>622</v>
      </c>
      <c r="AG170" s="108">
        <v>125.1</v>
      </c>
      <c r="AH170" s="7" t="str">
        <f t="shared" si="7"/>
        <v>Frais bancaires</v>
      </c>
      <c r="AK170" s="99" t="s">
        <v>255</v>
      </c>
      <c r="AL170" s="98" t="s">
        <v>256</v>
      </c>
      <c r="AM170" s="108">
        <v>33132.39</v>
      </c>
      <c r="AN170" s="7" t="str">
        <f t="shared" si="4"/>
        <v>Petits-déjeuners</v>
      </c>
    </row>
    <row r="171" spans="2:40">
      <c r="B171" s="14" t="s">
        <v>281</v>
      </c>
      <c r="C171" s="13" t="s">
        <v>282</v>
      </c>
      <c r="D171" s="24">
        <v>3157</v>
      </c>
      <c r="E171" s="7" t="s">
        <v>550</v>
      </c>
      <c r="I171" s="99" t="s">
        <v>255</v>
      </c>
      <c r="J171" s="98" t="s">
        <v>256</v>
      </c>
      <c r="K171" s="108">
        <v>44744.05</v>
      </c>
      <c r="L171" s="7" t="str">
        <f t="shared" si="5"/>
        <v>Petits-déjeuners</v>
      </c>
      <c r="N171" s="99" t="s">
        <v>409</v>
      </c>
      <c r="O171" s="98" t="s">
        <v>410</v>
      </c>
      <c r="P171" s="110">
        <v>10000</v>
      </c>
      <c r="Q171" s="7" t="s">
        <v>550</v>
      </c>
      <c r="S171" s="99" t="s">
        <v>269</v>
      </c>
      <c r="T171" s="98" t="s">
        <v>270</v>
      </c>
      <c r="U171" s="108">
        <v>262.63</v>
      </c>
      <c r="V171" s="7" t="str">
        <f t="shared" si="6"/>
        <v>Frais bancaires</v>
      </c>
      <c r="Y171" s="99" t="s">
        <v>265</v>
      </c>
      <c r="Z171" s="98" t="s">
        <v>266</v>
      </c>
      <c r="AA171" s="108">
        <v>360</v>
      </c>
      <c r="AB171" s="7" t="str">
        <f t="shared" ref="AB171:AB232" si="8">VLOOKUP(Y171,$S$104:$V$250,4,FALSE)</f>
        <v>IT</v>
      </c>
      <c r="AE171" s="99" t="s">
        <v>267</v>
      </c>
      <c r="AF171" s="98" t="s">
        <v>268</v>
      </c>
      <c r="AG171" s="108">
        <v>552.01</v>
      </c>
      <c r="AH171" s="7" t="str">
        <f t="shared" si="7"/>
        <v>Frais bancaires</v>
      </c>
      <c r="AK171" s="99" t="s">
        <v>257</v>
      </c>
      <c r="AL171" s="98" t="s">
        <v>258</v>
      </c>
      <c r="AM171" s="108">
        <v>1914.7</v>
      </c>
      <c r="AN171" s="7" t="str">
        <f t="shared" si="4"/>
        <v>Frais courants</v>
      </c>
    </row>
    <row r="172" spans="2:40">
      <c r="B172" s="14" t="s">
        <v>283</v>
      </c>
      <c r="C172" s="13" t="s">
        <v>284</v>
      </c>
      <c r="D172" s="24">
        <v>23517</v>
      </c>
      <c r="E172" s="7" t="s">
        <v>550</v>
      </c>
      <c r="I172" s="99" t="s">
        <v>257</v>
      </c>
      <c r="J172" s="98" t="s">
        <v>258</v>
      </c>
      <c r="K172" s="108">
        <v>2530.25</v>
      </c>
      <c r="L172" s="7" t="str">
        <f t="shared" si="5"/>
        <v>Frais courants</v>
      </c>
      <c r="N172" s="99" t="s">
        <v>411</v>
      </c>
      <c r="O172" s="98" t="s">
        <v>412</v>
      </c>
      <c r="P172" s="110">
        <v>616.94000000000005</v>
      </c>
      <c r="Q172" s="7" t="s">
        <v>550</v>
      </c>
      <c r="S172" s="99" t="s">
        <v>271</v>
      </c>
      <c r="T172" s="98" t="s">
        <v>272</v>
      </c>
      <c r="U172" s="108">
        <v>189.89</v>
      </c>
      <c r="V172" s="7" t="str">
        <f t="shared" si="6"/>
        <v>Frais bancaires</v>
      </c>
      <c r="Y172" s="99" t="s">
        <v>621</v>
      </c>
      <c r="Z172" s="98" t="s">
        <v>622</v>
      </c>
      <c r="AA172" s="108">
        <v>158.1</v>
      </c>
      <c r="AB172" s="7" t="str">
        <f t="shared" si="8"/>
        <v>Frais bancaires</v>
      </c>
      <c r="AE172" s="99" t="s">
        <v>269</v>
      </c>
      <c r="AF172" s="98" t="s">
        <v>270</v>
      </c>
      <c r="AG172" s="108">
        <v>325.81</v>
      </c>
      <c r="AH172" s="7" t="str">
        <f t="shared" si="7"/>
        <v>Frais bancaires</v>
      </c>
      <c r="AK172" s="99" t="s">
        <v>259</v>
      </c>
      <c r="AL172" s="98" t="s">
        <v>260</v>
      </c>
      <c r="AM172" s="108">
        <v>257.31</v>
      </c>
      <c r="AN172" s="7" t="str">
        <f t="shared" si="4"/>
        <v>IT</v>
      </c>
    </row>
    <row r="173" spans="2:40">
      <c r="B173" s="14" t="s">
        <v>407</v>
      </c>
      <c r="C173" s="13" t="s">
        <v>408</v>
      </c>
      <c r="D173" s="24">
        <v>9244.91</v>
      </c>
      <c r="E173" s="7" t="s">
        <v>550</v>
      </c>
      <c r="I173" s="99" t="s">
        <v>259</v>
      </c>
      <c r="J173" s="98" t="s">
        <v>260</v>
      </c>
      <c r="K173" s="108">
        <v>4592.6400000000003</v>
      </c>
      <c r="L173" s="7" t="str">
        <f t="shared" si="5"/>
        <v>IT</v>
      </c>
      <c r="N173" s="99" t="s">
        <v>287</v>
      </c>
      <c r="O173" s="98" t="s">
        <v>288</v>
      </c>
      <c r="P173" s="110">
        <v>846665.39</v>
      </c>
      <c r="Q173" s="7" t="s">
        <v>544</v>
      </c>
      <c r="S173" s="99" t="s">
        <v>623</v>
      </c>
      <c r="T173" s="98" t="s">
        <v>624</v>
      </c>
      <c r="U173" s="108">
        <v>0</v>
      </c>
      <c r="V173" s="7" t="str">
        <f t="shared" si="6"/>
        <v>Frais bancaires</v>
      </c>
      <c r="Y173" s="99" t="s">
        <v>267</v>
      </c>
      <c r="Z173" s="98" t="s">
        <v>268</v>
      </c>
      <c r="AA173" s="108">
        <v>547.11</v>
      </c>
      <c r="AB173" s="7" t="str">
        <f t="shared" si="8"/>
        <v>Frais bancaires</v>
      </c>
      <c r="AE173" s="99" t="s">
        <v>271</v>
      </c>
      <c r="AF173" s="98" t="s">
        <v>272</v>
      </c>
      <c r="AG173" s="108">
        <v>86.85</v>
      </c>
      <c r="AH173" s="7" t="str">
        <f t="shared" si="7"/>
        <v>Frais bancaires</v>
      </c>
      <c r="AK173" s="99" t="s">
        <v>261</v>
      </c>
      <c r="AL173" s="98" t="s">
        <v>262</v>
      </c>
      <c r="AM173" s="108">
        <v>5417.52</v>
      </c>
      <c r="AN173" s="7" t="str">
        <f t="shared" ref="AN173:AN236" si="9">VLOOKUP(AK173,$N$100:$Q$221,4,FALSE)</f>
        <v>IT</v>
      </c>
    </row>
    <row r="174" spans="2:40">
      <c r="B174" s="14" t="s">
        <v>285</v>
      </c>
      <c r="C174" s="13" t="s">
        <v>286</v>
      </c>
      <c r="D174" s="24">
        <v>14236.97</v>
      </c>
      <c r="E174" s="7" t="s">
        <v>550</v>
      </c>
      <c r="I174" s="99" t="s">
        <v>261</v>
      </c>
      <c r="J174" s="98" t="s">
        <v>262</v>
      </c>
      <c r="K174" s="108">
        <v>6737.78</v>
      </c>
      <c r="L174" s="7" t="str">
        <f t="shared" si="5"/>
        <v>IT</v>
      </c>
      <c r="N174" s="99" t="s">
        <v>289</v>
      </c>
      <c r="O174" s="98" t="s">
        <v>290</v>
      </c>
      <c r="P174" s="110">
        <v>36061.410000000003</v>
      </c>
      <c r="Q174" s="7" t="s">
        <v>550</v>
      </c>
      <c r="S174" s="99" t="s">
        <v>661</v>
      </c>
      <c r="T174" s="98" t="s">
        <v>662</v>
      </c>
      <c r="U174" s="108">
        <v>118.54</v>
      </c>
      <c r="V174" s="7" t="str">
        <f t="shared" si="6"/>
        <v>Frais bancaires</v>
      </c>
      <c r="Y174" s="99" t="s">
        <v>269</v>
      </c>
      <c r="Z174" s="98" t="s">
        <v>270</v>
      </c>
      <c r="AA174" s="108">
        <v>970.04</v>
      </c>
      <c r="AB174" s="7" t="str">
        <f t="shared" si="8"/>
        <v>Frais bancaires</v>
      </c>
      <c r="AE174" s="99" t="s">
        <v>623</v>
      </c>
      <c r="AF174" s="98" t="s">
        <v>624</v>
      </c>
      <c r="AG174" s="108">
        <v>0</v>
      </c>
      <c r="AH174" s="7" t="str">
        <f t="shared" si="7"/>
        <v>Frais bancaires</v>
      </c>
      <c r="AK174" s="99" t="s">
        <v>263</v>
      </c>
      <c r="AL174" s="98" t="s">
        <v>264</v>
      </c>
      <c r="AM174" s="108">
        <v>16283.28</v>
      </c>
      <c r="AN174" s="7" t="str">
        <f t="shared" si="9"/>
        <v>IT</v>
      </c>
    </row>
    <row r="175" spans="2:40">
      <c r="B175" s="14" t="s">
        <v>409</v>
      </c>
      <c r="C175" s="13" t="s">
        <v>410</v>
      </c>
      <c r="D175" s="24">
        <v>27000</v>
      </c>
      <c r="E175" s="7" t="s">
        <v>550</v>
      </c>
      <c r="I175" s="99" t="s">
        <v>263</v>
      </c>
      <c r="J175" s="98" t="s">
        <v>264</v>
      </c>
      <c r="K175" s="108">
        <v>29418.87</v>
      </c>
      <c r="L175" s="7" t="str">
        <f t="shared" si="5"/>
        <v>IT</v>
      </c>
      <c r="N175" s="99" t="s">
        <v>291</v>
      </c>
      <c r="O175" s="98" t="s">
        <v>292</v>
      </c>
      <c r="P175" s="110">
        <v>6276.33</v>
      </c>
      <c r="Q175" s="7" t="s">
        <v>545</v>
      </c>
      <c r="S175" s="99" t="s">
        <v>403</v>
      </c>
      <c r="T175" s="98" t="s">
        <v>404</v>
      </c>
      <c r="U175" s="108">
        <v>214.4</v>
      </c>
      <c r="V175" s="7" t="str">
        <f t="shared" si="6"/>
        <v>Frais bancaires</v>
      </c>
      <c r="Y175" s="99" t="s">
        <v>271</v>
      </c>
      <c r="Z175" s="98" t="s">
        <v>272</v>
      </c>
      <c r="AA175" s="108">
        <v>198.84</v>
      </c>
      <c r="AB175" s="7" t="str">
        <f t="shared" si="8"/>
        <v>Frais bancaires</v>
      </c>
      <c r="AE175" s="99" t="s">
        <v>661</v>
      </c>
      <c r="AF175" s="98" t="s">
        <v>662</v>
      </c>
      <c r="AG175" s="108">
        <v>37.47</v>
      </c>
      <c r="AH175" s="7" t="str">
        <f t="shared" si="7"/>
        <v>Frais bancaires</v>
      </c>
      <c r="AK175" s="99" t="s">
        <v>694</v>
      </c>
      <c r="AL175" s="98" t="s">
        <v>695</v>
      </c>
      <c r="AM175" s="108">
        <v>236.49</v>
      </c>
      <c r="AN175" s="7" t="s">
        <v>540</v>
      </c>
    </row>
    <row r="176" spans="2:40">
      <c r="B176" s="14" t="s">
        <v>411</v>
      </c>
      <c r="C176" s="13" t="s">
        <v>412</v>
      </c>
      <c r="D176" s="21" t="s">
        <v>15</v>
      </c>
      <c r="E176" s="7" t="s">
        <v>550</v>
      </c>
      <c r="I176" s="99" t="s">
        <v>265</v>
      </c>
      <c r="J176" s="98" t="s">
        <v>266</v>
      </c>
      <c r="K176" s="108">
        <v>5820</v>
      </c>
      <c r="L176" s="7" t="str">
        <f t="shared" si="5"/>
        <v>IT</v>
      </c>
      <c r="N176" s="99" t="s">
        <v>415</v>
      </c>
      <c r="O176" s="98" t="s">
        <v>74</v>
      </c>
      <c r="P176" s="110">
        <v>20000</v>
      </c>
      <c r="Q176" s="7" t="s">
        <v>545</v>
      </c>
      <c r="S176" s="99" t="s">
        <v>696</v>
      </c>
      <c r="T176" s="98" t="s">
        <v>697</v>
      </c>
      <c r="U176" s="108">
        <v>500</v>
      </c>
      <c r="V176" s="7" t="s">
        <v>474</v>
      </c>
      <c r="Y176" s="99" t="s">
        <v>623</v>
      </c>
      <c r="Z176" s="98" t="s">
        <v>624</v>
      </c>
      <c r="AA176" s="108">
        <v>0</v>
      </c>
      <c r="AB176" s="7" t="str">
        <f t="shared" si="8"/>
        <v>Frais bancaires</v>
      </c>
      <c r="AE176" s="99" t="s">
        <v>403</v>
      </c>
      <c r="AF176" s="98" t="s">
        <v>404</v>
      </c>
      <c r="AG176" s="108">
        <v>50</v>
      </c>
      <c r="AH176" s="7" t="str">
        <f t="shared" si="7"/>
        <v>Frais bancaires</v>
      </c>
      <c r="AK176" s="99" t="s">
        <v>265</v>
      </c>
      <c r="AL176" s="98" t="s">
        <v>266</v>
      </c>
      <c r="AM176" s="108">
        <v>2040</v>
      </c>
      <c r="AN176" s="7" t="str">
        <f t="shared" si="9"/>
        <v>IT</v>
      </c>
    </row>
    <row r="177" spans="2:40">
      <c r="B177" s="14" t="s">
        <v>413</v>
      </c>
      <c r="C177" s="13" t="s">
        <v>414</v>
      </c>
      <c r="D177" s="24">
        <v>8.36</v>
      </c>
      <c r="E177" s="7" t="s">
        <v>550</v>
      </c>
      <c r="I177" s="99" t="s">
        <v>621</v>
      </c>
      <c r="J177" s="98" t="s">
        <v>622</v>
      </c>
      <c r="K177" s="108">
        <v>300.14999999999998</v>
      </c>
      <c r="L177" s="7" t="s">
        <v>474</v>
      </c>
      <c r="N177" s="99" t="s">
        <v>293</v>
      </c>
      <c r="O177" s="98" t="s">
        <v>294</v>
      </c>
      <c r="P177" s="110">
        <v>7243.98</v>
      </c>
      <c r="Q177" s="7" t="s">
        <v>550</v>
      </c>
      <c r="S177" s="99" t="s">
        <v>273</v>
      </c>
      <c r="T177" s="98" t="s">
        <v>274</v>
      </c>
      <c r="U177" s="108">
        <v>1812.44</v>
      </c>
      <c r="V177" s="7" t="str">
        <f t="shared" si="6"/>
        <v>Calcul Charges sociales</v>
      </c>
      <c r="Y177" s="99" t="s">
        <v>661</v>
      </c>
      <c r="Z177" s="98" t="s">
        <v>662</v>
      </c>
      <c r="AA177" s="108">
        <v>52.76</v>
      </c>
      <c r="AB177" s="7" t="str">
        <f t="shared" si="8"/>
        <v>Frais bancaires</v>
      </c>
      <c r="AE177" s="99" t="s">
        <v>696</v>
      </c>
      <c r="AF177" s="98" t="s">
        <v>697</v>
      </c>
      <c r="AG177" s="108">
        <v>66</v>
      </c>
      <c r="AH177" s="7" t="str">
        <f t="shared" si="7"/>
        <v>Frais bancaires</v>
      </c>
      <c r="AK177" s="99" t="s">
        <v>621</v>
      </c>
      <c r="AL177" s="98" t="s">
        <v>622</v>
      </c>
      <c r="AM177" s="108">
        <v>1198.6400000000001</v>
      </c>
      <c r="AN177" s="7" t="str">
        <f t="shared" si="9"/>
        <v>Frais bancaires</v>
      </c>
    </row>
    <row r="178" spans="2:40">
      <c r="B178" s="14" t="s">
        <v>287</v>
      </c>
      <c r="C178" s="13" t="s">
        <v>288</v>
      </c>
      <c r="D178" s="54">
        <v>2465953.0299999998</v>
      </c>
      <c r="E178" s="7" t="s">
        <v>544</v>
      </c>
      <c r="I178" s="99" t="s">
        <v>267</v>
      </c>
      <c r="J178" s="98" t="s">
        <v>268</v>
      </c>
      <c r="K178" s="108">
        <v>9776.2800000000007</v>
      </c>
      <c r="L178" s="7" t="str">
        <f t="shared" si="5"/>
        <v>Frais bancaires</v>
      </c>
      <c r="N178" s="99" t="s">
        <v>295</v>
      </c>
      <c r="O178" s="98" t="s">
        <v>296</v>
      </c>
      <c r="P178" s="110">
        <v>18598.5</v>
      </c>
      <c r="Q178" s="7" t="s">
        <v>550</v>
      </c>
      <c r="S178" s="99" t="s">
        <v>275</v>
      </c>
      <c r="T178" s="98" t="s">
        <v>276</v>
      </c>
      <c r="U178" s="108">
        <v>2842.1</v>
      </c>
      <c r="V178" s="7" t="str">
        <f t="shared" si="6"/>
        <v>Calcul Charges sociales</v>
      </c>
      <c r="Y178" s="99" t="s">
        <v>710</v>
      </c>
      <c r="Z178" s="98" t="s">
        <v>711</v>
      </c>
      <c r="AA178" s="108">
        <v>264.04000000000002</v>
      </c>
      <c r="AB178" s="7" t="s">
        <v>474</v>
      </c>
      <c r="AE178" s="99" t="s">
        <v>273</v>
      </c>
      <c r="AF178" s="98" t="s">
        <v>274</v>
      </c>
      <c r="AG178" s="108">
        <v>3072.05</v>
      </c>
      <c r="AH178" s="7" t="str">
        <f t="shared" si="7"/>
        <v>Calcul Charges sociales</v>
      </c>
      <c r="AK178" s="99" t="s">
        <v>267</v>
      </c>
      <c r="AL178" s="98" t="s">
        <v>268</v>
      </c>
      <c r="AM178" s="108">
        <v>7186.19</v>
      </c>
      <c r="AN178" s="7" t="str">
        <f t="shared" si="9"/>
        <v>Frais bancaires</v>
      </c>
    </row>
    <row r="179" spans="2:40">
      <c r="B179" s="14" t="s">
        <v>289</v>
      </c>
      <c r="C179" s="13" t="s">
        <v>290</v>
      </c>
      <c r="D179" s="54">
        <v>32644.87</v>
      </c>
      <c r="E179" s="7" t="s">
        <v>550</v>
      </c>
      <c r="I179" s="99" t="s">
        <v>269</v>
      </c>
      <c r="J179" s="98" t="s">
        <v>270</v>
      </c>
      <c r="K179" s="108">
        <v>12027.58</v>
      </c>
      <c r="L179" s="7" t="str">
        <f t="shared" si="5"/>
        <v>Frais bancaires</v>
      </c>
      <c r="N179" s="99" t="s">
        <v>418</v>
      </c>
      <c r="O179" s="98" t="s">
        <v>419</v>
      </c>
      <c r="P179" s="110">
        <v>1375</v>
      </c>
      <c r="Q179" s="7" t="s">
        <v>550</v>
      </c>
      <c r="S179" s="99" t="s">
        <v>277</v>
      </c>
      <c r="T179" s="98" t="s">
        <v>278</v>
      </c>
      <c r="U179" s="108">
        <v>1278.97</v>
      </c>
      <c r="V179" s="7" t="str">
        <f t="shared" si="6"/>
        <v>Calcul Charges sociales</v>
      </c>
      <c r="Y179" s="99" t="s">
        <v>403</v>
      </c>
      <c r="Z179" s="98" t="s">
        <v>404</v>
      </c>
      <c r="AA179" s="108">
        <v>50</v>
      </c>
      <c r="AB179" s="7" t="str">
        <f t="shared" si="8"/>
        <v>Frais bancaires</v>
      </c>
      <c r="AE179" s="99" t="s">
        <v>275</v>
      </c>
      <c r="AF179" s="98" t="s">
        <v>276</v>
      </c>
      <c r="AG179" s="108">
        <v>2581.2600000000002</v>
      </c>
      <c r="AH179" s="7" t="str">
        <f t="shared" si="7"/>
        <v>Calcul Charges sociales</v>
      </c>
      <c r="AK179" s="99" t="s">
        <v>269</v>
      </c>
      <c r="AL179" s="98" t="s">
        <v>270</v>
      </c>
      <c r="AM179" s="108">
        <v>4220.3100000000004</v>
      </c>
      <c r="AN179" s="7" t="str">
        <f t="shared" si="9"/>
        <v>Frais bancaires</v>
      </c>
    </row>
    <row r="180" spans="2:40">
      <c r="B180" s="14" t="s">
        <v>291</v>
      </c>
      <c r="C180" s="13" t="s">
        <v>292</v>
      </c>
      <c r="D180" s="54">
        <v>1427.08</v>
      </c>
      <c r="E180" s="7" t="s">
        <v>545</v>
      </c>
      <c r="I180" s="99" t="s">
        <v>271</v>
      </c>
      <c r="J180" s="98" t="s">
        <v>272</v>
      </c>
      <c r="K180" s="108">
        <v>4470.4399999999996</v>
      </c>
      <c r="L180" s="7" t="str">
        <f t="shared" si="5"/>
        <v>Frais bancaires</v>
      </c>
      <c r="N180" s="99" t="s">
        <v>420</v>
      </c>
      <c r="O180" s="98" t="s">
        <v>421</v>
      </c>
      <c r="P180" s="110">
        <v>679.82</v>
      </c>
      <c r="Q180" s="7" t="s">
        <v>550</v>
      </c>
      <c r="S180" s="99" t="s">
        <v>279</v>
      </c>
      <c r="T180" s="98" t="s">
        <v>280</v>
      </c>
      <c r="U180" s="108">
        <v>1932.6</v>
      </c>
      <c r="V180" s="7" t="str">
        <f t="shared" si="6"/>
        <v>Calcul Charges sociales</v>
      </c>
      <c r="Y180" s="99" t="s">
        <v>696</v>
      </c>
      <c r="Z180" s="98" t="s">
        <v>697</v>
      </c>
      <c r="AA180" s="108">
        <v>36</v>
      </c>
      <c r="AB180" s="7" t="str">
        <f t="shared" si="8"/>
        <v>Frais bancaires</v>
      </c>
      <c r="AE180" s="99" t="s">
        <v>277</v>
      </c>
      <c r="AF180" s="98" t="s">
        <v>278</v>
      </c>
      <c r="AG180" s="108">
        <v>1161.56</v>
      </c>
      <c r="AH180" s="7" t="str">
        <f t="shared" si="7"/>
        <v>Calcul Charges sociales</v>
      </c>
      <c r="AK180" s="99" t="s">
        <v>271</v>
      </c>
      <c r="AL180" s="98" t="s">
        <v>272</v>
      </c>
      <c r="AM180" s="108">
        <v>1385.87</v>
      </c>
      <c r="AN180" s="7" t="str">
        <f t="shared" si="9"/>
        <v>Frais bancaires</v>
      </c>
    </row>
    <row r="181" spans="2:40">
      <c r="B181" s="14" t="s">
        <v>415</v>
      </c>
      <c r="C181" s="13" t="s">
        <v>74</v>
      </c>
      <c r="D181" s="54">
        <v>126548.59</v>
      </c>
      <c r="E181" s="7" t="s">
        <v>545</v>
      </c>
      <c r="I181" s="99" t="s">
        <v>623</v>
      </c>
      <c r="J181" s="98" t="s">
        <v>624</v>
      </c>
      <c r="K181" s="108">
        <v>55</v>
      </c>
      <c r="L181" s="7" t="s">
        <v>474</v>
      </c>
      <c r="N181" s="99" t="s">
        <v>297</v>
      </c>
      <c r="O181" s="98" t="s">
        <v>298</v>
      </c>
      <c r="P181" s="110">
        <v>10538.14</v>
      </c>
      <c r="Q181" s="7" t="s">
        <v>550</v>
      </c>
      <c r="S181" s="99" t="s">
        <v>281</v>
      </c>
      <c r="T181" s="98" t="s">
        <v>282</v>
      </c>
      <c r="U181" s="108">
        <v>278.08</v>
      </c>
      <c r="V181" s="7" t="str">
        <f t="shared" si="6"/>
        <v>Calcul Charges sociales</v>
      </c>
      <c r="Y181" s="99" t="s">
        <v>273</v>
      </c>
      <c r="Z181" s="98" t="s">
        <v>274</v>
      </c>
      <c r="AA181" s="108">
        <v>1120.48</v>
      </c>
      <c r="AB181" s="7" t="str">
        <f t="shared" si="8"/>
        <v>Calcul Charges sociales</v>
      </c>
      <c r="AE181" s="99" t="s">
        <v>279</v>
      </c>
      <c r="AF181" s="98" t="s">
        <v>280</v>
      </c>
      <c r="AG181" s="108">
        <v>1755.2</v>
      </c>
      <c r="AH181" s="7" t="str">
        <f t="shared" si="7"/>
        <v>Calcul Charges sociales</v>
      </c>
      <c r="AK181" s="99" t="s">
        <v>623</v>
      </c>
      <c r="AL181" s="98" t="s">
        <v>624</v>
      </c>
      <c r="AM181" s="108">
        <v>198.96</v>
      </c>
      <c r="AN181" s="7" t="str">
        <f t="shared" si="9"/>
        <v>Frais bancaires</v>
      </c>
    </row>
    <row r="182" spans="2:40">
      <c r="B182" s="14" t="s">
        <v>293</v>
      </c>
      <c r="C182" s="13" t="s">
        <v>294</v>
      </c>
      <c r="D182" s="54">
        <v>22471.22</v>
      </c>
      <c r="E182" s="7" t="s">
        <v>550</v>
      </c>
      <c r="I182" s="99" t="s">
        <v>403</v>
      </c>
      <c r="J182" s="98" t="s">
        <v>404</v>
      </c>
      <c r="K182" s="108">
        <v>549.97</v>
      </c>
      <c r="L182" s="7" t="str">
        <f t="shared" si="5"/>
        <v>Frais bancaires</v>
      </c>
      <c r="N182" s="99" t="s">
        <v>663</v>
      </c>
      <c r="O182" s="98" t="s">
        <v>664</v>
      </c>
      <c r="P182" s="110">
        <v>502.26</v>
      </c>
      <c r="Q182" s="7" t="s">
        <v>550</v>
      </c>
      <c r="S182" s="99" t="s">
        <v>283</v>
      </c>
      <c r="T182" s="98" t="s">
        <v>284</v>
      </c>
      <c r="U182" s="108">
        <v>7500</v>
      </c>
      <c r="V182" s="7" t="str">
        <f t="shared" si="6"/>
        <v>Calcul Charges sociales</v>
      </c>
      <c r="Y182" s="99" t="s">
        <v>275</v>
      </c>
      <c r="Z182" s="98" t="s">
        <v>276</v>
      </c>
      <c r="AA182" s="108">
        <v>2661.51</v>
      </c>
      <c r="AB182" s="7" t="str">
        <f t="shared" si="8"/>
        <v>Calcul Charges sociales</v>
      </c>
      <c r="AE182" s="99" t="s">
        <v>281</v>
      </c>
      <c r="AF182" s="98" t="s">
        <v>282</v>
      </c>
      <c r="AG182" s="108">
        <v>278.58</v>
      </c>
      <c r="AH182" s="7" t="str">
        <f t="shared" si="7"/>
        <v>Calcul Charges sociales</v>
      </c>
      <c r="AK182" s="99" t="s">
        <v>661</v>
      </c>
      <c r="AL182" s="98" t="s">
        <v>662</v>
      </c>
      <c r="AM182" s="108">
        <v>1000.44</v>
      </c>
      <c r="AN182" s="7" t="str">
        <f t="shared" si="9"/>
        <v>Frais bancaires</v>
      </c>
    </row>
    <row r="183" spans="2:40">
      <c r="B183" s="14" t="s">
        <v>295</v>
      </c>
      <c r="C183" s="13" t="s">
        <v>296</v>
      </c>
      <c r="D183" s="54">
        <v>54647.83</v>
      </c>
      <c r="E183" s="7" t="s">
        <v>550</v>
      </c>
      <c r="I183" s="99" t="s">
        <v>405</v>
      </c>
      <c r="J183" s="98" t="s">
        <v>406</v>
      </c>
      <c r="K183" s="108">
        <v>2200</v>
      </c>
      <c r="L183" s="7" t="str">
        <f t="shared" si="5"/>
        <v>Frais bancaires</v>
      </c>
      <c r="N183" s="99" t="s">
        <v>299</v>
      </c>
      <c r="O183" s="98" t="s">
        <v>300</v>
      </c>
      <c r="P183" s="110">
        <v>285453.44</v>
      </c>
      <c r="Q183" s="7" t="s">
        <v>550</v>
      </c>
      <c r="S183" s="99" t="s">
        <v>407</v>
      </c>
      <c r="T183" s="98" t="s">
        <v>408</v>
      </c>
      <c r="U183" s="108">
        <v>0</v>
      </c>
      <c r="V183" s="7" t="s">
        <v>550</v>
      </c>
      <c r="Y183" s="99" t="s">
        <v>277</v>
      </c>
      <c r="Z183" s="98" t="s">
        <v>278</v>
      </c>
      <c r="AA183" s="108">
        <v>1197.6500000000001</v>
      </c>
      <c r="AB183" s="7" t="str">
        <f t="shared" si="8"/>
        <v>Calcul Charges sociales</v>
      </c>
      <c r="AE183" s="99" t="s">
        <v>283</v>
      </c>
      <c r="AF183" s="98" t="s">
        <v>284</v>
      </c>
      <c r="AG183" s="108">
        <v>6667</v>
      </c>
      <c r="AH183" s="7" t="str">
        <f t="shared" si="7"/>
        <v>Calcul Charges sociales</v>
      </c>
      <c r="AK183" s="99" t="s">
        <v>710</v>
      </c>
      <c r="AL183" s="98" t="s">
        <v>711</v>
      </c>
      <c r="AM183" s="108">
        <v>264.04000000000002</v>
      </c>
      <c r="AN183" s="7" t="s">
        <v>474</v>
      </c>
    </row>
    <row r="184" spans="2:40">
      <c r="B184" s="14" t="s">
        <v>416</v>
      </c>
      <c r="C184" s="13" t="s">
        <v>417</v>
      </c>
      <c r="D184" s="54">
        <v>700</v>
      </c>
      <c r="E184" s="7" t="s">
        <v>550</v>
      </c>
      <c r="I184" s="99" t="s">
        <v>273</v>
      </c>
      <c r="J184" s="98" t="s">
        <v>274</v>
      </c>
      <c r="K184" s="108">
        <v>92472.11</v>
      </c>
      <c r="L184" s="7" t="str">
        <f t="shared" si="5"/>
        <v>Calcul Charges sociales</v>
      </c>
      <c r="N184" s="99" t="s">
        <v>301</v>
      </c>
      <c r="O184" s="98" t="s">
        <v>302</v>
      </c>
      <c r="P184" s="110">
        <v>72420.44</v>
      </c>
      <c r="Q184" s="7" t="s">
        <v>550</v>
      </c>
      <c r="S184" s="99" t="s">
        <v>285</v>
      </c>
      <c r="T184" s="98" t="s">
        <v>286</v>
      </c>
      <c r="U184" s="108">
        <v>-7635.45</v>
      </c>
      <c r="V184" s="7" t="str">
        <f t="shared" si="6"/>
        <v>Calcul Charges sociales</v>
      </c>
      <c r="Y184" s="99" t="s">
        <v>279</v>
      </c>
      <c r="Z184" s="98" t="s">
        <v>280</v>
      </c>
      <c r="AA184" s="108">
        <v>1809.78</v>
      </c>
      <c r="AB184" s="7" t="str">
        <f t="shared" si="8"/>
        <v>Calcul Charges sociales</v>
      </c>
      <c r="AE184" s="99" t="s">
        <v>407</v>
      </c>
      <c r="AF184" s="98" t="s">
        <v>408</v>
      </c>
      <c r="AG184" s="108">
        <v>0</v>
      </c>
      <c r="AH184" s="7" t="str">
        <f t="shared" si="7"/>
        <v>Calcul Charges sociales</v>
      </c>
      <c r="AK184" s="99" t="s">
        <v>403</v>
      </c>
      <c r="AL184" s="98" t="s">
        <v>404</v>
      </c>
      <c r="AM184" s="108">
        <v>1006.4</v>
      </c>
      <c r="AN184" s="7" t="str">
        <f t="shared" si="9"/>
        <v>Frais bancaires</v>
      </c>
    </row>
    <row r="185" spans="2:40">
      <c r="B185" s="14" t="s">
        <v>418</v>
      </c>
      <c r="C185" s="13" t="s">
        <v>419</v>
      </c>
      <c r="D185" s="54">
        <v>2942</v>
      </c>
      <c r="E185" s="7" t="s">
        <v>550</v>
      </c>
      <c r="I185" s="99" t="s">
        <v>275</v>
      </c>
      <c r="J185" s="98" t="s">
        <v>276</v>
      </c>
      <c r="K185" s="108">
        <v>36304.160000000003</v>
      </c>
      <c r="L185" s="7" t="str">
        <f t="shared" si="5"/>
        <v>Calcul Charges sociales</v>
      </c>
      <c r="N185" s="99" t="s">
        <v>305</v>
      </c>
      <c r="O185" s="98" t="s">
        <v>306</v>
      </c>
      <c r="P185" s="110">
        <v>25609.34</v>
      </c>
      <c r="Q185" s="7" t="s">
        <v>550</v>
      </c>
      <c r="S185" s="99" t="s">
        <v>409</v>
      </c>
      <c r="T185" s="98" t="s">
        <v>410</v>
      </c>
      <c r="U185" s="108">
        <v>3333.33</v>
      </c>
      <c r="V185" s="7" t="str">
        <f t="shared" si="6"/>
        <v>Calcul Charges sociales</v>
      </c>
      <c r="Y185" s="99" t="s">
        <v>281</v>
      </c>
      <c r="Z185" s="98" t="s">
        <v>282</v>
      </c>
      <c r="AA185" s="108">
        <v>278.08999999999997</v>
      </c>
      <c r="AB185" s="7" t="str">
        <f t="shared" si="8"/>
        <v>Calcul Charges sociales</v>
      </c>
      <c r="AE185" s="99" t="s">
        <v>285</v>
      </c>
      <c r="AF185" s="98" t="s">
        <v>286</v>
      </c>
      <c r="AG185" s="108">
        <v>1168.3900000000001</v>
      </c>
      <c r="AH185" s="7" t="str">
        <f t="shared" si="7"/>
        <v>Calcul Charges sociales</v>
      </c>
      <c r="AK185" s="99" t="s">
        <v>696</v>
      </c>
      <c r="AL185" s="98" t="s">
        <v>697</v>
      </c>
      <c r="AM185" s="108">
        <v>602</v>
      </c>
      <c r="AN185" s="7" t="s">
        <v>474</v>
      </c>
    </row>
    <row r="186" spans="2:40">
      <c r="B186" s="14" t="s">
        <v>420</v>
      </c>
      <c r="C186" s="13" t="s">
        <v>421</v>
      </c>
      <c r="D186" s="54">
        <v>2079.08</v>
      </c>
      <c r="E186" s="7" t="s">
        <v>550</v>
      </c>
      <c r="I186" s="99" t="s">
        <v>277</v>
      </c>
      <c r="J186" s="98" t="s">
        <v>278</v>
      </c>
      <c r="K186" s="108">
        <v>16144.05</v>
      </c>
      <c r="L186" s="7" t="str">
        <f t="shared" si="5"/>
        <v>Calcul Charges sociales</v>
      </c>
      <c r="N186" s="99" t="s">
        <v>307</v>
      </c>
      <c r="O186" s="98" t="s">
        <v>308</v>
      </c>
      <c r="P186" s="110">
        <v>18030.7</v>
      </c>
      <c r="Q186" s="7" t="s">
        <v>550</v>
      </c>
      <c r="S186" s="99" t="s">
        <v>411</v>
      </c>
      <c r="T186" s="98" t="s">
        <v>412</v>
      </c>
      <c r="U186" s="108">
        <v>0</v>
      </c>
      <c r="V186" s="7" t="str">
        <f t="shared" si="6"/>
        <v>Calcul Charges sociales</v>
      </c>
      <c r="Y186" s="99" t="s">
        <v>283</v>
      </c>
      <c r="Z186" s="98" t="s">
        <v>284</v>
      </c>
      <c r="AA186" s="108">
        <v>3335</v>
      </c>
      <c r="AB186" s="7" t="str">
        <f t="shared" si="8"/>
        <v>Calcul Charges sociales</v>
      </c>
      <c r="AE186" s="99" t="s">
        <v>409</v>
      </c>
      <c r="AF186" s="98" t="s">
        <v>410</v>
      </c>
      <c r="AG186" s="108">
        <v>3333.33</v>
      </c>
      <c r="AH186" s="7" t="str">
        <f t="shared" si="7"/>
        <v>Calcul Charges sociales</v>
      </c>
      <c r="AK186" s="99" t="s">
        <v>273</v>
      </c>
      <c r="AL186" s="98" t="s">
        <v>274</v>
      </c>
      <c r="AM186" s="108">
        <v>27528.48</v>
      </c>
      <c r="AN186" s="7" t="str">
        <f t="shared" si="9"/>
        <v>Calcul Charges sociales</v>
      </c>
    </row>
    <row r="187" spans="2:40">
      <c r="B187" s="14" t="s">
        <v>297</v>
      </c>
      <c r="C187" s="13" t="s">
        <v>298</v>
      </c>
      <c r="D187" s="54">
        <v>1790.2</v>
      </c>
      <c r="E187" s="7" t="s">
        <v>550</v>
      </c>
      <c r="I187" s="99" t="s">
        <v>279</v>
      </c>
      <c r="J187" s="98" t="s">
        <v>280</v>
      </c>
      <c r="K187" s="108">
        <v>24843.74</v>
      </c>
      <c r="L187" s="7" t="str">
        <f t="shared" si="5"/>
        <v>Calcul Charges sociales</v>
      </c>
      <c r="N187" s="99" t="s">
        <v>309</v>
      </c>
      <c r="O187" s="98" t="s">
        <v>310</v>
      </c>
      <c r="P187" s="110">
        <v>3138.16</v>
      </c>
      <c r="Q187" s="7" t="s">
        <v>550</v>
      </c>
      <c r="S187" s="99" t="s">
        <v>287</v>
      </c>
      <c r="T187" s="98" t="s">
        <v>288</v>
      </c>
      <c r="U187" s="108">
        <v>286037.28999999998</v>
      </c>
      <c r="V187" s="7" t="str">
        <f t="shared" si="6"/>
        <v>Rémunérations</v>
      </c>
      <c r="Y187" s="99" t="s">
        <v>407</v>
      </c>
      <c r="Z187" s="98" t="s">
        <v>408</v>
      </c>
      <c r="AA187" s="108">
        <v>0</v>
      </c>
      <c r="AB187" s="7" t="str">
        <f t="shared" si="8"/>
        <v>Calcul Charges sociales</v>
      </c>
      <c r="AE187" s="99" t="s">
        <v>411</v>
      </c>
      <c r="AF187" s="98" t="s">
        <v>412</v>
      </c>
      <c r="AG187" s="108">
        <v>0</v>
      </c>
      <c r="AH187" s="7" t="str">
        <f t="shared" si="7"/>
        <v>Calcul Charges sociales</v>
      </c>
      <c r="AK187" s="99" t="s">
        <v>275</v>
      </c>
      <c r="AL187" s="98" t="s">
        <v>276</v>
      </c>
      <c r="AM187" s="108">
        <v>16542.53</v>
      </c>
      <c r="AN187" s="7" t="str">
        <f t="shared" si="9"/>
        <v>Calcul Charges sociales</v>
      </c>
    </row>
    <row r="188" spans="2:40">
      <c r="B188" s="14" t="s">
        <v>299</v>
      </c>
      <c r="C188" s="13" t="s">
        <v>300</v>
      </c>
      <c r="D188" s="54">
        <v>935787.25</v>
      </c>
      <c r="E188" s="7" t="s">
        <v>550</v>
      </c>
      <c r="I188" s="99" t="s">
        <v>281</v>
      </c>
      <c r="J188" s="98" t="s">
        <v>282</v>
      </c>
      <c r="K188" s="108">
        <v>4764</v>
      </c>
      <c r="L188" s="7" t="str">
        <f t="shared" si="5"/>
        <v>Calcul Charges sociales</v>
      </c>
      <c r="N188" s="99" t="s">
        <v>422</v>
      </c>
      <c r="O188" s="98" t="s">
        <v>423</v>
      </c>
      <c r="P188" s="110">
        <v>10000</v>
      </c>
      <c r="Q188" s="7" t="s">
        <v>545</v>
      </c>
      <c r="S188" s="99" t="s">
        <v>289</v>
      </c>
      <c r="T188" s="98" t="s">
        <v>290</v>
      </c>
      <c r="U188" s="108">
        <v>1498.39</v>
      </c>
      <c r="V188" s="7" t="str">
        <f t="shared" si="6"/>
        <v>Calcul Charges sociales</v>
      </c>
      <c r="Y188" s="99" t="s">
        <v>285</v>
      </c>
      <c r="Z188" s="98" t="s">
        <v>286</v>
      </c>
      <c r="AA188" s="108">
        <v>441.64</v>
      </c>
      <c r="AB188" s="7" t="str">
        <f t="shared" si="8"/>
        <v>Calcul Charges sociales</v>
      </c>
      <c r="AE188" s="99" t="s">
        <v>287</v>
      </c>
      <c r="AF188" s="98" t="s">
        <v>288</v>
      </c>
      <c r="AG188" s="108">
        <v>261867.41</v>
      </c>
      <c r="AH188" s="7" t="str">
        <f t="shared" si="7"/>
        <v>Rémunérations</v>
      </c>
      <c r="AK188" s="99" t="s">
        <v>277</v>
      </c>
      <c r="AL188" s="98" t="s">
        <v>278</v>
      </c>
      <c r="AM188" s="108">
        <v>7444.16</v>
      </c>
      <c r="AN188" s="7" t="str">
        <f t="shared" si="9"/>
        <v>Calcul Charges sociales</v>
      </c>
    </row>
    <row r="189" spans="2:40">
      <c r="B189" s="14" t="s">
        <v>301</v>
      </c>
      <c r="C189" s="13" t="s">
        <v>302</v>
      </c>
      <c r="D189" s="54">
        <v>187093.46</v>
      </c>
      <c r="E189" s="7" t="s">
        <v>550</v>
      </c>
      <c r="I189" s="99" t="s">
        <v>283</v>
      </c>
      <c r="J189" s="98" t="s">
        <v>284</v>
      </c>
      <c r="K189" s="108">
        <v>145447.24</v>
      </c>
      <c r="L189" s="7" t="str">
        <f t="shared" si="5"/>
        <v>Calcul Charges sociales</v>
      </c>
      <c r="N189" s="99" t="s">
        <v>311</v>
      </c>
      <c r="O189" s="98" t="s">
        <v>312</v>
      </c>
      <c r="P189" s="110">
        <v>5269.07</v>
      </c>
      <c r="Q189" s="7" t="s">
        <v>550</v>
      </c>
      <c r="S189" s="99" t="s">
        <v>291</v>
      </c>
      <c r="T189" s="98" t="s">
        <v>292</v>
      </c>
      <c r="U189" s="108">
        <v>1428.43</v>
      </c>
      <c r="V189" s="7" t="str">
        <f t="shared" si="6"/>
        <v>Provisions sur primes</v>
      </c>
      <c r="Y189" s="99" t="s">
        <v>409</v>
      </c>
      <c r="Z189" s="98" t="s">
        <v>410</v>
      </c>
      <c r="AA189" s="108">
        <v>3333.33</v>
      </c>
      <c r="AB189" s="7" t="str">
        <f t="shared" si="8"/>
        <v>Calcul Charges sociales</v>
      </c>
      <c r="AE189" s="99" t="s">
        <v>289</v>
      </c>
      <c r="AF189" s="98" t="s">
        <v>290</v>
      </c>
      <c r="AG189" s="108">
        <v>30407.35</v>
      </c>
      <c r="AH189" s="7" t="str">
        <f t="shared" si="7"/>
        <v>Calcul Charges sociales</v>
      </c>
      <c r="AK189" s="99" t="s">
        <v>279</v>
      </c>
      <c r="AL189" s="98" t="s">
        <v>280</v>
      </c>
      <c r="AM189" s="108">
        <v>11248.8</v>
      </c>
      <c r="AN189" s="7" t="str">
        <f t="shared" si="9"/>
        <v>Calcul Charges sociales</v>
      </c>
    </row>
    <row r="190" spans="2:40">
      <c r="B190" s="14" t="s">
        <v>303</v>
      </c>
      <c r="C190" s="13" t="s">
        <v>304</v>
      </c>
      <c r="D190" s="54">
        <v>51511.6</v>
      </c>
      <c r="E190" s="7" t="s">
        <v>550</v>
      </c>
      <c r="I190" s="99" t="s">
        <v>407</v>
      </c>
      <c r="J190" s="98" t="s">
        <v>408</v>
      </c>
      <c r="K190" s="108">
        <v>27950.75</v>
      </c>
      <c r="L190" s="7" t="str">
        <f t="shared" si="5"/>
        <v>Calcul Charges sociales</v>
      </c>
      <c r="N190" s="99" t="s">
        <v>629</v>
      </c>
      <c r="O190" s="98" t="s">
        <v>630</v>
      </c>
      <c r="P190" s="110">
        <v>5000</v>
      </c>
      <c r="Q190" s="7" t="s">
        <v>550</v>
      </c>
      <c r="S190" s="99" t="s">
        <v>415</v>
      </c>
      <c r="T190" s="98" t="s">
        <v>74</v>
      </c>
      <c r="U190" s="108">
        <v>0</v>
      </c>
      <c r="V190" s="7" t="str">
        <f t="shared" si="6"/>
        <v>Provisions sur primes</v>
      </c>
      <c r="Y190" s="99" t="s">
        <v>411</v>
      </c>
      <c r="Z190" s="98" t="s">
        <v>412</v>
      </c>
      <c r="AA190" s="108">
        <v>0</v>
      </c>
      <c r="AB190" s="7" t="str">
        <f t="shared" si="8"/>
        <v>Calcul Charges sociales</v>
      </c>
      <c r="AE190" s="99" t="s">
        <v>291</v>
      </c>
      <c r="AF190" s="98" t="s">
        <v>292</v>
      </c>
      <c r="AG190" s="108">
        <v>2503.35</v>
      </c>
      <c r="AH190" s="7" t="str">
        <f t="shared" si="7"/>
        <v>Provisions sur primes</v>
      </c>
      <c r="AK190" s="99" t="s">
        <v>281</v>
      </c>
      <c r="AL190" s="98" t="s">
        <v>282</v>
      </c>
      <c r="AM190" s="108">
        <v>1669</v>
      </c>
      <c r="AN190" s="7" t="str">
        <f t="shared" si="9"/>
        <v>Calcul Charges sociales</v>
      </c>
    </row>
    <row r="191" spans="2:40">
      <c r="B191" s="14" t="s">
        <v>305</v>
      </c>
      <c r="C191" s="13" t="s">
        <v>306</v>
      </c>
      <c r="D191" s="54">
        <v>96895.51</v>
      </c>
      <c r="E191" s="7" t="s">
        <v>550</v>
      </c>
      <c r="I191" s="99" t="s">
        <v>285</v>
      </c>
      <c r="J191" s="98" t="s">
        <v>286</v>
      </c>
      <c r="K191" s="108">
        <v>18534.95</v>
      </c>
      <c r="L191" s="7" t="str">
        <f t="shared" si="5"/>
        <v>Calcul Charges sociales</v>
      </c>
      <c r="N191" s="99" t="s">
        <v>424</v>
      </c>
      <c r="O191" s="98" t="s">
        <v>126</v>
      </c>
      <c r="P191" s="110">
        <v>-27033.040000000001</v>
      </c>
      <c r="Q191" s="7" t="s">
        <v>553</v>
      </c>
      <c r="S191" s="99" t="s">
        <v>625</v>
      </c>
      <c r="T191" s="98" t="s">
        <v>626</v>
      </c>
      <c r="U191" s="108">
        <v>0</v>
      </c>
      <c r="Y191" s="99" t="s">
        <v>287</v>
      </c>
      <c r="Z191" s="98" t="s">
        <v>288</v>
      </c>
      <c r="AA191" s="108">
        <v>269706.52</v>
      </c>
      <c r="AB191" s="7" t="str">
        <f t="shared" si="8"/>
        <v>Rémunérations</v>
      </c>
      <c r="AE191" s="99" t="s">
        <v>415</v>
      </c>
      <c r="AF191" s="98" t="s">
        <v>74</v>
      </c>
      <c r="AG191" s="108">
        <v>5000</v>
      </c>
      <c r="AH191" s="7" t="str">
        <f t="shared" si="7"/>
        <v>Provisions sur primes</v>
      </c>
      <c r="AK191" s="99" t="s">
        <v>283</v>
      </c>
      <c r="AL191" s="98" t="s">
        <v>284</v>
      </c>
      <c r="AM191" s="108">
        <v>40002</v>
      </c>
      <c r="AN191" s="7" t="str">
        <f t="shared" si="9"/>
        <v>Calcul Charges sociales</v>
      </c>
    </row>
    <row r="192" spans="2:40">
      <c r="B192" s="14" t="s">
        <v>307</v>
      </c>
      <c r="C192" s="13" t="s">
        <v>308</v>
      </c>
      <c r="D192" s="54">
        <v>16322.44</v>
      </c>
      <c r="E192" s="7" t="s">
        <v>550</v>
      </c>
      <c r="I192" s="99" t="s">
        <v>409</v>
      </c>
      <c r="J192" s="98" t="s">
        <v>410</v>
      </c>
      <c r="K192" s="108">
        <v>41056</v>
      </c>
      <c r="L192" s="7" t="str">
        <f t="shared" si="5"/>
        <v>Calcul Charges sociales</v>
      </c>
      <c r="N192" s="99" t="s">
        <v>425</v>
      </c>
      <c r="O192" s="98" t="s">
        <v>426</v>
      </c>
      <c r="P192" s="110">
        <v>1356.28</v>
      </c>
      <c r="Q192" s="7" t="s">
        <v>474</v>
      </c>
      <c r="S192" s="99" t="s">
        <v>293</v>
      </c>
      <c r="T192" s="98" t="s">
        <v>294</v>
      </c>
      <c r="U192" s="108">
        <v>2618.1799999999998</v>
      </c>
      <c r="V192" s="7" t="str">
        <f t="shared" si="6"/>
        <v>Calcul Charges sociales</v>
      </c>
      <c r="Y192" s="99" t="s">
        <v>289</v>
      </c>
      <c r="Z192" s="98" t="s">
        <v>290</v>
      </c>
      <c r="AA192" s="108">
        <v>7616.76</v>
      </c>
      <c r="AB192" s="7" t="str">
        <f t="shared" si="8"/>
        <v>Calcul Charges sociales</v>
      </c>
      <c r="AE192" s="99" t="s">
        <v>625</v>
      </c>
      <c r="AF192" s="98" t="s">
        <v>626</v>
      </c>
      <c r="AG192" s="108">
        <v>0</v>
      </c>
      <c r="AH192" s="7">
        <f t="shared" si="7"/>
        <v>0</v>
      </c>
      <c r="AK192" s="99" t="s">
        <v>407</v>
      </c>
      <c r="AL192" s="98" t="s">
        <v>408</v>
      </c>
      <c r="AM192" s="108">
        <v>0</v>
      </c>
      <c r="AN192" s="7" t="s">
        <v>550</v>
      </c>
    </row>
    <row r="193" spans="2:40">
      <c r="B193" s="14" t="s">
        <v>309</v>
      </c>
      <c r="C193" s="13" t="s">
        <v>310</v>
      </c>
      <c r="D193" s="54">
        <v>713.54</v>
      </c>
      <c r="E193" s="7" t="s">
        <v>550</v>
      </c>
      <c r="I193" s="99" t="s">
        <v>411</v>
      </c>
      <c r="J193" s="98" t="s">
        <v>412</v>
      </c>
      <c r="K193" s="108">
        <v>125</v>
      </c>
      <c r="L193" s="7" t="str">
        <f t="shared" si="5"/>
        <v>Calcul Charges sociales</v>
      </c>
      <c r="N193" s="99" t="s">
        <v>633</v>
      </c>
      <c r="O193" s="98" t="s">
        <v>634</v>
      </c>
      <c r="P193" s="110">
        <v>0.44</v>
      </c>
      <c r="Q193" s="7" t="s">
        <v>474</v>
      </c>
      <c r="S193" s="99" t="s">
        <v>295</v>
      </c>
      <c r="T193" s="98" t="s">
        <v>296</v>
      </c>
      <c r="U193" s="108">
        <v>6511.5</v>
      </c>
      <c r="V193" s="7" t="str">
        <f t="shared" si="6"/>
        <v>Calcul Charges sociales</v>
      </c>
      <c r="Y193" s="99" t="s">
        <v>291</v>
      </c>
      <c r="Z193" s="98" t="s">
        <v>292</v>
      </c>
      <c r="AA193" s="108">
        <v>2084.7199999999998</v>
      </c>
      <c r="AB193" s="7" t="str">
        <f t="shared" si="8"/>
        <v>Provisions sur primes</v>
      </c>
      <c r="AE193" s="99" t="s">
        <v>293</v>
      </c>
      <c r="AF193" s="98" t="s">
        <v>294</v>
      </c>
      <c r="AG193" s="108">
        <v>2632</v>
      </c>
      <c r="AH193" s="7" t="str">
        <f t="shared" si="7"/>
        <v>Calcul Charges sociales</v>
      </c>
      <c r="AK193" s="99" t="s">
        <v>285</v>
      </c>
      <c r="AL193" s="98" t="s">
        <v>286</v>
      </c>
      <c r="AM193" s="108">
        <v>7049.33</v>
      </c>
      <c r="AN193" s="7" t="str">
        <f t="shared" si="9"/>
        <v>Calcul Charges sociales</v>
      </c>
    </row>
    <row r="194" spans="2:40">
      <c r="B194" s="14" t="s">
        <v>422</v>
      </c>
      <c r="C194" s="13" t="s">
        <v>423</v>
      </c>
      <c r="D194" s="54">
        <v>19847.8</v>
      </c>
      <c r="E194" s="7" t="s">
        <v>545</v>
      </c>
      <c r="I194" s="99" t="s">
        <v>413</v>
      </c>
      <c r="J194" s="98" t="s">
        <v>414</v>
      </c>
      <c r="K194" s="108">
        <v>8.36</v>
      </c>
      <c r="L194" s="7" t="str">
        <f t="shared" si="5"/>
        <v>Calcul Charges sociales</v>
      </c>
      <c r="N194" s="99" t="s">
        <v>665</v>
      </c>
      <c r="O194" s="98" t="s">
        <v>666</v>
      </c>
      <c r="P194" s="110">
        <v>105</v>
      </c>
      <c r="Q194" s="7" t="s">
        <v>474</v>
      </c>
      <c r="S194" s="99" t="s">
        <v>416</v>
      </c>
      <c r="T194" s="98" t="s">
        <v>417</v>
      </c>
      <c r="U194" s="108">
        <v>0</v>
      </c>
      <c r="Y194" s="99" t="s">
        <v>415</v>
      </c>
      <c r="Z194" s="98" t="s">
        <v>74</v>
      </c>
      <c r="AA194" s="108">
        <v>5000</v>
      </c>
      <c r="AB194" s="7" t="str">
        <f t="shared" si="8"/>
        <v>Provisions sur primes</v>
      </c>
      <c r="AE194" s="99" t="s">
        <v>295</v>
      </c>
      <c r="AF194" s="98" t="s">
        <v>296</v>
      </c>
      <c r="AG194" s="108">
        <v>7560</v>
      </c>
      <c r="AH194" s="7" t="str">
        <f t="shared" si="7"/>
        <v>Calcul Charges sociales</v>
      </c>
      <c r="AK194" s="99" t="s">
        <v>409</v>
      </c>
      <c r="AL194" s="98" t="s">
        <v>410</v>
      </c>
      <c r="AM194" s="108">
        <v>19999.990000000002</v>
      </c>
      <c r="AN194" s="7" t="str">
        <f t="shared" si="9"/>
        <v>Calcul Charges sociales</v>
      </c>
    </row>
    <row r="195" spans="2:40">
      <c r="B195" s="14" t="s">
        <v>311</v>
      </c>
      <c r="C195" s="13" t="s">
        <v>312</v>
      </c>
      <c r="D195" s="54">
        <v>895.1</v>
      </c>
      <c r="E195" s="7" t="s">
        <v>550</v>
      </c>
      <c r="I195" s="99" t="s">
        <v>287</v>
      </c>
      <c r="J195" s="98" t="s">
        <v>288</v>
      </c>
      <c r="K195" s="108">
        <v>3529139.14</v>
      </c>
      <c r="L195" s="7" t="str">
        <f t="shared" si="5"/>
        <v>Rémunérations</v>
      </c>
      <c r="N195" s="99" t="s">
        <v>315</v>
      </c>
      <c r="O195" s="98" t="s">
        <v>316</v>
      </c>
      <c r="P195" s="110">
        <v>2201.1799999999998</v>
      </c>
      <c r="Q195" s="7" t="s">
        <v>474</v>
      </c>
      <c r="S195" s="99" t="s">
        <v>420</v>
      </c>
      <c r="T195" s="98" t="s">
        <v>421</v>
      </c>
      <c r="U195" s="108">
        <v>0</v>
      </c>
      <c r="V195" s="7" t="str">
        <f t="shared" si="6"/>
        <v>Calcul Charges sociales</v>
      </c>
      <c r="Y195" s="99" t="s">
        <v>625</v>
      </c>
      <c r="Z195" s="98" t="s">
        <v>626</v>
      </c>
      <c r="AA195" s="108">
        <v>0</v>
      </c>
      <c r="AB195" s="7">
        <f t="shared" si="8"/>
        <v>0</v>
      </c>
      <c r="AE195" s="99" t="s">
        <v>416</v>
      </c>
      <c r="AF195" s="98" t="s">
        <v>417</v>
      </c>
      <c r="AG195" s="108">
        <v>0</v>
      </c>
      <c r="AH195" s="7">
        <f t="shared" si="7"/>
        <v>0</v>
      </c>
      <c r="AK195" s="99" t="s">
        <v>411</v>
      </c>
      <c r="AL195" s="98" t="s">
        <v>412</v>
      </c>
      <c r="AM195" s="108">
        <v>616.94000000000005</v>
      </c>
      <c r="AN195" s="7" t="str">
        <f t="shared" si="9"/>
        <v>Calcul Charges sociales</v>
      </c>
    </row>
    <row r="196" spans="2:40">
      <c r="B196" s="14" t="s">
        <v>313</v>
      </c>
      <c r="C196" s="13" t="s">
        <v>314</v>
      </c>
      <c r="D196" s="54">
        <v>5336.5</v>
      </c>
      <c r="E196" s="7" t="s">
        <v>550</v>
      </c>
      <c r="I196" s="99" t="s">
        <v>289</v>
      </c>
      <c r="J196" s="98" t="s">
        <v>290</v>
      </c>
      <c r="K196" s="108">
        <v>100019.03</v>
      </c>
      <c r="L196" s="7" t="str">
        <f t="shared" si="5"/>
        <v>Calcul Charges sociales</v>
      </c>
      <c r="N196" s="99" t="s">
        <v>427</v>
      </c>
      <c r="O196" s="98" t="s">
        <v>428</v>
      </c>
      <c r="P196" s="110">
        <v>331.32</v>
      </c>
      <c r="Q196" s="7" t="s">
        <v>474</v>
      </c>
      <c r="S196" s="99" t="s">
        <v>297</v>
      </c>
      <c r="T196" s="98" t="s">
        <v>298</v>
      </c>
      <c r="U196" s="108">
        <v>2062.4</v>
      </c>
      <c r="V196" s="7" t="str">
        <f t="shared" si="6"/>
        <v>Calcul Charges sociales</v>
      </c>
      <c r="Y196" s="99" t="s">
        <v>293</v>
      </c>
      <c r="Z196" s="98" t="s">
        <v>294</v>
      </c>
      <c r="AA196" s="108">
        <v>2599.69</v>
      </c>
      <c r="AB196" s="7" t="str">
        <f t="shared" si="8"/>
        <v>Calcul Charges sociales</v>
      </c>
      <c r="AE196" s="99" t="s">
        <v>420</v>
      </c>
      <c r="AF196" s="98" t="s">
        <v>421</v>
      </c>
      <c r="AG196" s="108">
        <v>12802.92</v>
      </c>
      <c r="AH196" s="7" t="str">
        <f t="shared" si="7"/>
        <v>Calcul Charges sociales</v>
      </c>
      <c r="AK196" s="99" t="s">
        <v>287</v>
      </c>
      <c r="AL196" s="98" t="s">
        <v>288</v>
      </c>
      <c r="AM196" s="108">
        <v>1664313.84</v>
      </c>
      <c r="AN196" s="7" t="str">
        <f t="shared" si="9"/>
        <v>Rémunérations</v>
      </c>
    </row>
    <row r="197" spans="2:40">
      <c r="B197" s="14" t="s">
        <v>424</v>
      </c>
      <c r="C197" s="13" t="s">
        <v>126</v>
      </c>
      <c r="D197" s="21">
        <v>-100865.22</v>
      </c>
      <c r="E197" s="73" t="s">
        <v>553</v>
      </c>
      <c r="I197" s="99" t="s">
        <v>291</v>
      </c>
      <c r="J197" s="98" t="s">
        <v>292</v>
      </c>
      <c r="K197" s="108">
        <v>10796.28</v>
      </c>
      <c r="L197" s="7" t="str">
        <f t="shared" si="5"/>
        <v>Provisions sur primes</v>
      </c>
      <c r="N197" s="99" t="s">
        <v>317</v>
      </c>
      <c r="O197" s="98" t="s">
        <v>318</v>
      </c>
      <c r="P197" s="110">
        <v>177.44</v>
      </c>
      <c r="Q197" s="7" t="s">
        <v>474</v>
      </c>
      <c r="S197" s="99" t="s">
        <v>663</v>
      </c>
      <c r="T197" s="98" t="s">
        <v>664</v>
      </c>
      <c r="U197" s="108">
        <v>167.42</v>
      </c>
      <c r="V197" s="7" t="str">
        <f t="shared" si="6"/>
        <v>Calcul Charges sociales</v>
      </c>
      <c r="Y197" s="99" t="s">
        <v>295</v>
      </c>
      <c r="Z197" s="98" t="s">
        <v>296</v>
      </c>
      <c r="AA197" s="108">
        <v>7006.5</v>
      </c>
      <c r="AB197" s="7" t="str">
        <f t="shared" si="8"/>
        <v>Calcul Charges sociales</v>
      </c>
      <c r="AE197" s="99" t="s">
        <v>297</v>
      </c>
      <c r="AF197" s="98" t="s">
        <v>298</v>
      </c>
      <c r="AG197" s="108">
        <v>6896.35</v>
      </c>
      <c r="AH197" s="7" t="str">
        <f t="shared" si="7"/>
        <v>Calcul Charges sociales</v>
      </c>
      <c r="AK197" s="99" t="s">
        <v>289</v>
      </c>
      <c r="AL197" s="98" t="s">
        <v>290</v>
      </c>
      <c r="AM197" s="108">
        <v>75583.91</v>
      </c>
      <c r="AN197" s="7" t="str">
        <f t="shared" si="9"/>
        <v>Calcul Charges sociales</v>
      </c>
    </row>
    <row r="198" spans="2:40">
      <c r="B198" s="14" t="s">
        <v>425</v>
      </c>
      <c r="C198" s="13" t="s">
        <v>426</v>
      </c>
      <c r="D198" s="24">
        <v>3403.05</v>
      </c>
      <c r="E198" s="7" t="s">
        <v>474</v>
      </c>
      <c r="I198" s="99" t="s">
        <v>415</v>
      </c>
      <c r="J198" s="98" t="s">
        <v>74</v>
      </c>
      <c r="K198" s="108">
        <v>29548.59</v>
      </c>
      <c r="L198" s="7" t="str">
        <f t="shared" si="5"/>
        <v>Provisions sur primes</v>
      </c>
      <c r="N198" s="99" t="s">
        <v>429</v>
      </c>
      <c r="O198" s="98" t="s">
        <v>430</v>
      </c>
      <c r="P198" s="110">
        <v>531.84</v>
      </c>
      <c r="Q198" s="7" t="s">
        <v>474</v>
      </c>
      <c r="S198" s="99" t="s">
        <v>299</v>
      </c>
      <c r="T198" s="98" t="s">
        <v>300</v>
      </c>
      <c r="U198" s="108">
        <v>95517.4</v>
      </c>
      <c r="V198" s="7" t="str">
        <f t="shared" si="6"/>
        <v>Calcul Charges sociales</v>
      </c>
      <c r="Y198" s="99" t="s">
        <v>416</v>
      </c>
      <c r="Z198" s="98" t="s">
        <v>417</v>
      </c>
      <c r="AA198" s="108">
        <v>0</v>
      </c>
      <c r="AB198" s="7">
        <f t="shared" si="8"/>
        <v>0</v>
      </c>
      <c r="AE198" s="99" t="s">
        <v>663</v>
      </c>
      <c r="AF198" s="98" t="s">
        <v>664</v>
      </c>
      <c r="AG198" s="108">
        <v>167.42</v>
      </c>
      <c r="AH198" s="7" t="str">
        <f t="shared" si="7"/>
        <v>Calcul Charges sociales</v>
      </c>
      <c r="AK198" s="99" t="s">
        <v>291</v>
      </c>
      <c r="AL198" s="98" t="s">
        <v>292</v>
      </c>
      <c r="AM198" s="108">
        <v>12292.83</v>
      </c>
      <c r="AN198" s="7" t="str">
        <f t="shared" si="9"/>
        <v>Provisions sur primes</v>
      </c>
    </row>
    <row r="199" spans="2:40">
      <c r="B199" s="14" t="s">
        <v>315</v>
      </c>
      <c r="C199" s="13" t="s">
        <v>316</v>
      </c>
      <c r="D199" s="24">
        <v>2570.2600000000002</v>
      </c>
      <c r="E199" s="7" t="s">
        <v>474</v>
      </c>
      <c r="I199" s="99" t="s">
        <v>625</v>
      </c>
      <c r="J199" s="98" t="s">
        <v>626</v>
      </c>
      <c r="K199" s="108">
        <v>39000</v>
      </c>
      <c r="L199" s="7" t="s">
        <v>544</v>
      </c>
      <c r="N199" s="99" t="s">
        <v>667</v>
      </c>
      <c r="O199" s="98" t="s">
        <v>668</v>
      </c>
      <c r="P199" s="110">
        <v>327.98</v>
      </c>
      <c r="Q199" s="7" t="s">
        <v>474</v>
      </c>
      <c r="S199" s="99" t="s">
        <v>627</v>
      </c>
      <c r="T199" s="98" t="s">
        <v>628</v>
      </c>
      <c r="U199" s="108">
        <v>0</v>
      </c>
      <c r="Y199" s="99" t="s">
        <v>420</v>
      </c>
      <c r="Z199" s="98" t="s">
        <v>421</v>
      </c>
      <c r="AA199" s="108">
        <v>0</v>
      </c>
      <c r="AB199" s="7" t="str">
        <f t="shared" si="8"/>
        <v>Calcul Charges sociales</v>
      </c>
      <c r="AE199" s="99" t="s">
        <v>299</v>
      </c>
      <c r="AF199" s="98" t="s">
        <v>300</v>
      </c>
      <c r="AG199" s="108">
        <v>87183.37</v>
      </c>
      <c r="AH199" s="7" t="str">
        <f t="shared" si="7"/>
        <v>Calcul Charges sociales</v>
      </c>
      <c r="AK199" s="99" t="s">
        <v>415</v>
      </c>
      <c r="AL199" s="98" t="s">
        <v>74</v>
      </c>
      <c r="AM199" s="108">
        <v>30000</v>
      </c>
      <c r="AN199" s="7" t="str">
        <f t="shared" si="9"/>
        <v>Provisions sur primes</v>
      </c>
    </row>
    <row r="200" spans="2:40">
      <c r="B200" s="14" t="s">
        <v>427</v>
      </c>
      <c r="C200" s="13" t="s">
        <v>428</v>
      </c>
      <c r="D200" s="24">
        <v>24</v>
      </c>
      <c r="E200" s="7" t="s">
        <v>474</v>
      </c>
      <c r="I200" s="99" t="s">
        <v>293</v>
      </c>
      <c r="J200" s="98" t="s">
        <v>294</v>
      </c>
      <c r="K200" s="108">
        <v>31720.35</v>
      </c>
      <c r="L200" s="7" t="str">
        <f t="shared" si="5"/>
        <v>Calcul Charges sociales</v>
      </c>
      <c r="N200" s="99" t="s">
        <v>669</v>
      </c>
      <c r="O200" s="98" t="s">
        <v>670</v>
      </c>
      <c r="P200" s="110">
        <v>151.97999999999999</v>
      </c>
      <c r="Q200" s="7" t="s">
        <v>474</v>
      </c>
      <c r="S200" s="99" t="s">
        <v>301</v>
      </c>
      <c r="T200" s="98" t="s">
        <v>302</v>
      </c>
      <c r="U200" s="108">
        <v>24387.58</v>
      </c>
      <c r="V200" s="7" t="str">
        <f t="shared" si="6"/>
        <v>Calcul Charges sociales</v>
      </c>
      <c r="Y200" s="99" t="s">
        <v>297</v>
      </c>
      <c r="Z200" s="98" t="s">
        <v>298</v>
      </c>
      <c r="AA200" s="108">
        <v>-2921.09</v>
      </c>
      <c r="AB200" s="7" t="str">
        <f t="shared" si="8"/>
        <v>Calcul Charges sociales</v>
      </c>
      <c r="AE200" s="99" t="s">
        <v>627</v>
      </c>
      <c r="AF200" s="98" t="s">
        <v>628</v>
      </c>
      <c r="AG200" s="108">
        <v>0</v>
      </c>
      <c r="AH200" s="7">
        <f t="shared" si="7"/>
        <v>0</v>
      </c>
      <c r="AK200" s="99" t="s">
        <v>625</v>
      </c>
      <c r="AL200" s="98" t="s">
        <v>626</v>
      </c>
      <c r="AM200" s="108">
        <v>0</v>
      </c>
      <c r="AN200" s="7">
        <v>0</v>
      </c>
    </row>
    <row r="201" spans="2:40">
      <c r="B201" s="14" t="s">
        <v>317</v>
      </c>
      <c r="C201" s="13" t="s">
        <v>318</v>
      </c>
      <c r="D201" s="24">
        <v>1076.72</v>
      </c>
      <c r="E201" s="7" t="s">
        <v>474</v>
      </c>
      <c r="I201" s="99" t="s">
        <v>295</v>
      </c>
      <c r="J201" s="98" t="s">
        <v>296</v>
      </c>
      <c r="K201" s="108">
        <v>77771.42</v>
      </c>
      <c r="L201" s="7" t="str">
        <f t="shared" si="5"/>
        <v>Calcul Charges sociales</v>
      </c>
      <c r="N201" s="99" t="s">
        <v>319</v>
      </c>
      <c r="O201" s="98" t="s">
        <v>320</v>
      </c>
      <c r="P201" s="110">
        <v>1539.26</v>
      </c>
      <c r="Q201" s="7" t="s">
        <v>474</v>
      </c>
      <c r="S201" s="99" t="s">
        <v>305</v>
      </c>
      <c r="T201" s="98" t="s">
        <v>306</v>
      </c>
      <c r="U201" s="108">
        <v>8522.7800000000007</v>
      </c>
      <c r="V201" s="7" t="str">
        <f t="shared" si="6"/>
        <v>Calcul Charges sociales</v>
      </c>
      <c r="Y201" s="99" t="s">
        <v>663</v>
      </c>
      <c r="Z201" s="98" t="s">
        <v>664</v>
      </c>
      <c r="AA201" s="108">
        <v>167.42</v>
      </c>
      <c r="AB201" s="7" t="str">
        <f t="shared" si="8"/>
        <v>Calcul Charges sociales</v>
      </c>
      <c r="AE201" s="99" t="s">
        <v>301</v>
      </c>
      <c r="AF201" s="98" t="s">
        <v>302</v>
      </c>
      <c r="AG201" s="108">
        <v>21886.79</v>
      </c>
      <c r="AH201" s="7" t="str">
        <f t="shared" si="7"/>
        <v>Calcul Charges sociales</v>
      </c>
      <c r="AK201" s="99" t="s">
        <v>293</v>
      </c>
      <c r="AL201" s="98" t="s">
        <v>294</v>
      </c>
      <c r="AM201" s="108">
        <v>15093.85</v>
      </c>
      <c r="AN201" s="7" t="str">
        <f t="shared" si="9"/>
        <v>Calcul Charges sociales</v>
      </c>
    </row>
    <row r="202" spans="2:40">
      <c r="B202" s="14" t="s">
        <v>429</v>
      </c>
      <c r="C202" s="13" t="s">
        <v>430</v>
      </c>
      <c r="D202" s="24">
        <v>294.67</v>
      </c>
      <c r="E202" s="7" t="s">
        <v>474</v>
      </c>
      <c r="I202" s="99" t="s">
        <v>416</v>
      </c>
      <c r="J202" s="98" t="s">
        <v>417</v>
      </c>
      <c r="K202" s="108">
        <v>1804</v>
      </c>
      <c r="L202" s="7" t="str">
        <f t="shared" si="5"/>
        <v>Calcul Charges sociales</v>
      </c>
      <c r="N202" s="99" t="s">
        <v>431</v>
      </c>
      <c r="O202" s="98" t="s">
        <v>432</v>
      </c>
      <c r="P202" s="110">
        <v>260.3</v>
      </c>
      <c r="Q202" s="7" t="s">
        <v>474</v>
      </c>
      <c r="S202" s="99" t="s">
        <v>307</v>
      </c>
      <c r="T202" s="98" t="s">
        <v>308</v>
      </c>
      <c r="U202" s="108">
        <v>749.19</v>
      </c>
      <c r="V202" s="7" t="str">
        <f t="shared" si="6"/>
        <v>Calcul Charges sociales</v>
      </c>
      <c r="Y202" s="99" t="s">
        <v>299</v>
      </c>
      <c r="Z202" s="98" t="s">
        <v>300</v>
      </c>
      <c r="AA202" s="108">
        <v>89709.2</v>
      </c>
      <c r="AB202" s="7" t="str">
        <f t="shared" si="8"/>
        <v>Calcul Charges sociales</v>
      </c>
      <c r="AE202" s="99" t="s">
        <v>305</v>
      </c>
      <c r="AF202" s="98" t="s">
        <v>306</v>
      </c>
      <c r="AG202" s="108">
        <v>7926.62</v>
      </c>
      <c r="AH202" s="7" t="str">
        <f t="shared" si="7"/>
        <v>Calcul Charges sociales</v>
      </c>
      <c r="AK202" s="99" t="s">
        <v>295</v>
      </c>
      <c r="AL202" s="98" t="s">
        <v>296</v>
      </c>
      <c r="AM202" s="108">
        <v>39676.5</v>
      </c>
      <c r="AN202" s="7" t="str">
        <f t="shared" si="9"/>
        <v>Calcul Charges sociales</v>
      </c>
    </row>
    <row r="203" spans="2:40">
      <c r="B203" s="14" t="s">
        <v>319</v>
      </c>
      <c r="C203" s="13" t="s">
        <v>320</v>
      </c>
      <c r="D203" s="24">
        <v>10585.25</v>
      </c>
      <c r="E203" s="7" t="s">
        <v>474</v>
      </c>
      <c r="I203" s="99" t="s">
        <v>418</v>
      </c>
      <c r="J203" s="98" t="s">
        <v>419</v>
      </c>
      <c r="K203" s="108">
        <v>2942</v>
      </c>
      <c r="L203" s="7" t="str">
        <f t="shared" si="5"/>
        <v>Calcul Charges sociales</v>
      </c>
      <c r="N203" s="99" t="s">
        <v>321</v>
      </c>
      <c r="O203" s="98" t="s">
        <v>322</v>
      </c>
      <c r="P203" s="110">
        <v>309.02999999999997</v>
      </c>
      <c r="Q203" s="7" t="s">
        <v>474</v>
      </c>
      <c r="S203" s="99" t="s">
        <v>309</v>
      </c>
      <c r="T203" s="98" t="s">
        <v>698</v>
      </c>
      <c r="U203" s="108">
        <v>714.21</v>
      </c>
      <c r="V203" s="7" t="str">
        <f t="shared" si="6"/>
        <v>Calcul Charges sociales</v>
      </c>
      <c r="Y203" s="99" t="s">
        <v>627</v>
      </c>
      <c r="Z203" s="98" t="s">
        <v>628</v>
      </c>
      <c r="AA203" s="108">
        <v>0</v>
      </c>
      <c r="AB203" s="7">
        <f t="shared" si="8"/>
        <v>0</v>
      </c>
      <c r="AE203" s="99" t="s">
        <v>307</v>
      </c>
      <c r="AF203" s="98" t="s">
        <v>308</v>
      </c>
      <c r="AG203" s="108">
        <v>15203.68</v>
      </c>
      <c r="AH203" s="7" t="str">
        <f t="shared" si="7"/>
        <v>Calcul Charges sociales</v>
      </c>
      <c r="AK203" s="99" t="s">
        <v>416</v>
      </c>
      <c r="AL203" s="98" t="s">
        <v>417</v>
      </c>
      <c r="AM203" s="108">
        <v>0</v>
      </c>
      <c r="AN203" s="7">
        <v>0</v>
      </c>
    </row>
    <row r="204" spans="2:40">
      <c r="B204" s="14" t="s">
        <v>431</v>
      </c>
      <c r="C204" s="13" t="s">
        <v>432</v>
      </c>
      <c r="D204" s="24">
        <v>2333.61</v>
      </c>
      <c r="E204" s="7" t="s">
        <v>474</v>
      </c>
      <c r="I204" s="99" t="s">
        <v>420</v>
      </c>
      <c r="J204" s="98" t="s">
        <v>421</v>
      </c>
      <c r="K204" s="108">
        <v>7487.22</v>
      </c>
      <c r="L204" s="7" t="str">
        <f t="shared" si="5"/>
        <v>Calcul Charges sociales</v>
      </c>
      <c r="N204" s="99" t="s">
        <v>671</v>
      </c>
      <c r="O204" s="98" t="s">
        <v>672</v>
      </c>
      <c r="P204" s="110">
        <v>1500</v>
      </c>
      <c r="Q204" s="7" t="s">
        <v>474</v>
      </c>
      <c r="S204" s="99" t="s">
        <v>422</v>
      </c>
      <c r="T204" s="98" t="s">
        <v>423</v>
      </c>
      <c r="U204" s="108">
        <v>0</v>
      </c>
      <c r="V204" s="7" t="str">
        <f t="shared" si="6"/>
        <v>Provisions sur primes</v>
      </c>
      <c r="Y204" s="99" t="s">
        <v>301</v>
      </c>
      <c r="Z204" s="98" t="s">
        <v>302</v>
      </c>
      <c r="AA204" s="108">
        <v>22081.19</v>
      </c>
      <c r="AB204" s="7" t="str">
        <f t="shared" si="8"/>
        <v>Calcul Charges sociales</v>
      </c>
      <c r="AE204" s="99" t="s">
        <v>309</v>
      </c>
      <c r="AF204" s="98" t="s">
        <v>698</v>
      </c>
      <c r="AG204" s="108">
        <v>1251.67</v>
      </c>
      <c r="AH204" s="7" t="str">
        <f t="shared" si="7"/>
        <v>Calcul Charges sociales</v>
      </c>
      <c r="AK204" s="99" t="s">
        <v>418</v>
      </c>
      <c r="AL204" s="98" t="s">
        <v>419</v>
      </c>
      <c r="AM204" s="108">
        <v>1375</v>
      </c>
      <c r="AN204" s="7" t="str">
        <f t="shared" si="9"/>
        <v>Calcul Charges sociales</v>
      </c>
    </row>
    <row r="205" spans="2:40">
      <c r="B205" s="14" t="s">
        <v>321</v>
      </c>
      <c r="C205" s="13" t="s">
        <v>322</v>
      </c>
      <c r="D205" s="24">
        <v>4699.18</v>
      </c>
      <c r="E205" s="7" t="s">
        <v>474</v>
      </c>
      <c r="I205" s="99" t="s">
        <v>297</v>
      </c>
      <c r="J205" s="98" t="s">
        <v>298</v>
      </c>
      <c r="K205" s="108">
        <v>-9931.3700000000008</v>
      </c>
      <c r="L205" s="7" t="str">
        <f t="shared" si="5"/>
        <v>Calcul Charges sociales</v>
      </c>
      <c r="N205" s="99" t="s">
        <v>323</v>
      </c>
      <c r="O205" s="98" t="s">
        <v>324</v>
      </c>
      <c r="P205" s="110">
        <v>57.5</v>
      </c>
      <c r="Q205" s="7" t="s">
        <v>488</v>
      </c>
      <c r="S205" s="99" t="s">
        <v>311</v>
      </c>
      <c r="T205" s="98" t="s">
        <v>312</v>
      </c>
      <c r="U205" s="108">
        <v>1031.2</v>
      </c>
      <c r="V205" s="7" t="str">
        <f t="shared" si="6"/>
        <v>Calcul Charges sociales</v>
      </c>
      <c r="Y205" s="99" t="s">
        <v>305</v>
      </c>
      <c r="Z205" s="98" t="s">
        <v>306</v>
      </c>
      <c r="AA205" s="108">
        <v>8059.75</v>
      </c>
      <c r="AB205" s="7" t="str">
        <f t="shared" si="8"/>
        <v>Calcul Charges sociales</v>
      </c>
      <c r="AE205" s="99" t="s">
        <v>422</v>
      </c>
      <c r="AF205" s="98" t="s">
        <v>423</v>
      </c>
      <c r="AG205" s="108">
        <v>2500</v>
      </c>
      <c r="AH205" s="7" t="str">
        <f t="shared" si="7"/>
        <v>Provisions sur primes</v>
      </c>
      <c r="AK205" s="99" t="s">
        <v>420</v>
      </c>
      <c r="AL205" s="98" t="s">
        <v>421</v>
      </c>
      <c r="AM205" s="108">
        <v>13482.74</v>
      </c>
      <c r="AN205" s="7" t="str">
        <f t="shared" si="9"/>
        <v>Calcul Charges sociales</v>
      </c>
    </row>
    <row r="206" spans="2:40">
      <c r="B206" s="14" t="s">
        <v>323</v>
      </c>
      <c r="C206" s="13" t="s">
        <v>324</v>
      </c>
      <c r="D206" s="24">
        <v>1595.24</v>
      </c>
      <c r="E206" s="7" t="s">
        <v>488</v>
      </c>
      <c r="I206" s="99" t="s">
        <v>299</v>
      </c>
      <c r="J206" s="98" t="s">
        <v>300</v>
      </c>
      <c r="K206" s="108">
        <v>1213468.71</v>
      </c>
      <c r="L206" s="7" t="str">
        <f t="shared" si="5"/>
        <v>Calcul Charges sociales</v>
      </c>
      <c r="N206" s="99" t="s">
        <v>438</v>
      </c>
      <c r="O206" s="98" t="s">
        <v>439</v>
      </c>
      <c r="P206" s="110">
        <v>4912.1499999999996</v>
      </c>
      <c r="Q206" s="7" t="s">
        <v>497</v>
      </c>
      <c r="S206" s="99" t="s">
        <v>629</v>
      </c>
      <c r="T206" s="98" t="s">
        <v>630</v>
      </c>
      <c r="U206" s="108">
        <v>1666.67</v>
      </c>
      <c r="V206" s="7" t="str">
        <f t="shared" si="6"/>
        <v>Calcul Charges sociales</v>
      </c>
      <c r="Y206" s="99" t="s">
        <v>307</v>
      </c>
      <c r="Z206" s="98" t="s">
        <v>308</v>
      </c>
      <c r="AA206" s="108">
        <v>3808.38</v>
      </c>
      <c r="AB206" s="7" t="str">
        <f t="shared" si="8"/>
        <v>Calcul Charges sociales</v>
      </c>
      <c r="AE206" s="99" t="s">
        <v>311</v>
      </c>
      <c r="AF206" s="98" t="s">
        <v>312</v>
      </c>
      <c r="AG206" s="108">
        <v>3448.18</v>
      </c>
      <c r="AH206" s="7" t="str">
        <f t="shared" si="7"/>
        <v>Calcul Charges sociales</v>
      </c>
      <c r="AK206" s="99" t="s">
        <v>297</v>
      </c>
      <c r="AL206" s="98" t="s">
        <v>298</v>
      </c>
      <c r="AM206" s="108">
        <v>16575.8</v>
      </c>
      <c r="AN206" s="7" t="str">
        <f t="shared" si="9"/>
        <v>Calcul Charges sociales</v>
      </c>
    </row>
    <row r="207" spans="2:40">
      <c r="B207" s="14" t="s">
        <v>433</v>
      </c>
      <c r="C207" s="13" t="s">
        <v>434</v>
      </c>
      <c r="D207" s="21">
        <v>131000</v>
      </c>
      <c r="E207" s="73" t="s">
        <v>541</v>
      </c>
      <c r="I207" s="99" t="s">
        <v>627</v>
      </c>
      <c r="J207" s="98" t="s">
        <v>628</v>
      </c>
      <c r="K207" s="108">
        <v>1757</v>
      </c>
      <c r="L207" s="7" t="s">
        <v>550</v>
      </c>
      <c r="N207" s="99" t="s">
        <v>440</v>
      </c>
      <c r="O207" s="98" t="s">
        <v>441</v>
      </c>
      <c r="P207" s="110">
        <v>28225.72</v>
      </c>
      <c r="Q207" s="7" t="s">
        <v>497</v>
      </c>
      <c r="S207" s="99" t="s">
        <v>313</v>
      </c>
      <c r="T207" s="98" t="s">
        <v>314</v>
      </c>
      <c r="U207" s="108">
        <v>179.17</v>
      </c>
      <c r="V207" s="7" t="s">
        <v>550</v>
      </c>
      <c r="Y207" s="99" t="s">
        <v>309</v>
      </c>
      <c r="Z207" s="98" t="s">
        <v>698</v>
      </c>
      <c r="AA207" s="108">
        <v>1042.3599999999999</v>
      </c>
      <c r="AB207" s="7" t="str">
        <f t="shared" si="8"/>
        <v>Calcul Charges sociales</v>
      </c>
      <c r="AE207" s="99" t="s">
        <v>629</v>
      </c>
      <c r="AF207" s="98" t="s">
        <v>630</v>
      </c>
      <c r="AG207" s="108">
        <v>9212.67</v>
      </c>
      <c r="AH207" s="7" t="str">
        <f t="shared" si="7"/>
        <v>Calcul Charges sociales</v>
      </c>
      <c r="AK207" s="99" t="s">
        <v>663</v>
      </c>
      <c r="AL207" s="98" t="s">
        <v>664</v>
      </c>
      <c r="AM207" s="108">
        <v>1004.52</v>
      </c>
      <c r="AN207" s="7" t="str">
        <f t="shared" si="9"/>
        <v>Calcul Charges sociales</v>
      </c>
    </row>
    <row r="208" spans="2:40">
      <c r="B208" s="14" t="s">
        <v>435</v>
      </c>
      <c r="C208" s="13" t="s">
        <v>436</v>
      </c>
      <c r="D208" s="21">
        <v>25533.01</v>
      </c>
      <c r="E208" s="7" t="s">
        <v>488</v>
      </c>
      <c r="I208" s="99" t="s">
        <v>301</v>
      </c>
      <c r="J208" s="98" t="s">
        <v>302</v>
      </c>
      <c r="K208" s="108">
        <v>254067.71</v>
      </c>
      <c r="L208" s="7" t="str">
        <f t="shared" si="5"/>
        <v>Calcul Charges sociales</v>
      </c>
      <c r="N208" s="99" t="s">
        <v>635</v>
      </c>
      <c r="O208" s="98" t="s">
        <v>636</v>
      </c>
      <c r="P208" s="110">
        <v>30000</v>
      </c>
      <c r="Q208" s="7" t="s">
        <v>534</v>
      </c>
      <c r="S208" s="99" t="s">
        <v>424</v>
      </c>
      <c r="T208" s="98" t="s">
        <v>126</v>
      </c>
      <c r="U208" s="108">
        <v>-7698.72</v>
      </c>
      <c r="V208" s="7" t="str">
        <f t="shared" si="6"/>
        <v>Pas pris en compte pour le moment</v>
      </c>
      <c r="Y208" s="99" t="s">
        <v>422</v>
      </c>
      <c r="Z208" s="98" t="s">
        <v>423</v>
      </c>
      <c r="AA208" s="108">
        <v>2500</v>
      </c>
      <c r="AB208" s="7" t="str">
        <f t="shared" si="8"/>
        <v>Provisions sur primes</v>
      </c>
      <c r="AE208" s="99" t="s">
        <v>721</v>
      </c>
      <c r="AF208" s="98" t="s">
        <v>722</v>
      </c>
      <c r="AG208" s="108">
        <v>13987.09</v>
      </c>
      <c r="AH208" s="7" t="s">
        <v>550</v>
      </c>
      <c r="AK208" s="99" t="s">
        <v>299</v>
      </c>
      <c r="AL208" s="98" t="s">
        <v>300</v>
      </c>
      <c r="AM208" s="108">
        <v>557863.41</v>
      </c>
      <c r="AN208" s="7" t="str">
        <f t="shared" si="9"/>
        <v>Calcul Charges sociales</v>
      </c>
    </row>
    <row r="209" spans="2:40">
      <c r="B209" s="14" t="s">
        <v>437</v>
      </c>
      <c r="C209" s="13" t="s">
        <v>15</v>
      </c>
      <c r="D209" s="24">
        <v>662.22</v>
      </c>
      <c r="E209" s="7" t="s">
        <v>488</v>
      </c>
      <c r="I209" s="99" t="s">
        <v>303</v>
      </c>
      <c r="J209" s="98" t="s">
        <v>304</v>
      </c>
      <c r="K209" s="108">
        <v>51511.6</v>
      </c>
      <c r="L209" s="7" t="str">
        <f t="shared" si="5"/>
        <v>Calcul Charges sociales</v>
      </c>
      <c r="N209" s="99" t="s">
        <v>450</v>
      </c>
      <c r="O209" s="98" t="s">
        <v>451</v>
      </c>
      <c r="P209" s="110">
        <v>-51000</v>
      </c>
      <c r="Q209" s="7" t="s">
        <v>553</v>
      </c>
      <c r="S209" s="99" t="s">
        <v>425</v>
      </c>
      <c r="T209" s="98" t="s">
        <v>426</v>
      </c>
      <c r="U209" s="108">
        <v>37.520000000000003</v>
      </c>
      <c r="V209" s="7" t="str">
        <f t="shared" si="6"/>
        <v>Frais bancaires</v>
      </c>
      <c r="Y209" s="99" t="s">
        <v>311</v>
      </c>
      <c r="Z209" s="98" t="s">
        <v>312</v>
      </c>
      <c r="AA209" s="108">
        <v>-1460.55</v>
      </c>
      <c r="AB209" s="7" t="str">
        <f t="shared" si="8"/>
        <v>Calcul Charges sociales</v>
      </c>
      <c r="AE209" s="99" t="s">
        <v>313</v>
      </c>
      <c r="AF209" s="98" t="s">
        <v>314</v>
      </c>
      <c r="AG209" s="108">
        <v>0</v>
      </c>
      <c r="AH209" s="7" t="str">
        <f t="shared" si="7"/>
        <v>Calcul Charges sociales</v>
      </c>
      <c r="AK209" s="99" t="s">
        <v>627</v>
      </c>
      <c r="AL209" s="98" t="s">
        <v>628</v>
      </c>
      <c r="AM209" s="108">
        <v>0</v>
      </c>
      <c r="AN209" s="7" t="s">
        <v>550</v>
      </c>
    </row>
    <row r="210" spans="2:40">
      <c r="B210" s="14" t="s">
        <v>438</v>
      </c>
      <c r="C210" s="13" t="s">
        <v>439</v>
      </c>
      <c r="D210" s="24">
        <v>17674.73</v>
      </c>
      <c r="E210" s="7" t="s">
        <v>497</v>
      </c>
      <c r="I210" s="99" t="s">
        <v>305</v>
      </c>
      <c r="J210" s="98" t="s">
        <v>306</v>
      </c>
      <c r="K210" s="108">
        <v>126378.16</v>
      </c>
      <c r="L210" s="7" t="str">
        <f t="shared" si="5"/>
        <v>Calcul Charges sociales</v>
      </c>
      <c r="N210" s="99" t="s">
        <v>325</v>
      </c>
      <c r="O210" s="98" t="s">
        <v>326</v>
      </c>
      <c r="P210" s="110">
        <v>-1028544.49</v>
      </c>
      <c r="S210" s="99" t="s">
        <v>631</v>
      </c>
      <c r="T210" s="98" t="s">
        <v>632</v>
      </c>
      <c r="U210" s="108">
        <v>0</v>
      </c>
      <c r="V210" s="7" t="s">
        <v>474</v>
      </c>
      <c r="Y210" s="99" t="s">
        <v>629</v>
      </c>
      <c r="Z210" s="98" t="s">
        <v>630</v>
      </c>
      <c r="AA210" s="108">
        <v>-6690.33</v>
      </c>
      <c r="AB210" s="7" t="str">
        <f t="shared" si="8"/>
        <v>Calcul Charges sociales</v>
      </c>
      <c r="AE210" s="99" t="s">
        <v>424</v>
      </c>
      <c r="AF210" s="98" t="s">
        <v>126</v>
      </c>
      <c r="AG210" s="108">
        <v>-8282.4599999999991</v>
      </c>
      <c r="AH210" s="7" t="str">
        <f t="shared" si="7"/>
        <v>Pas pris en compte pour le moment</v>
      </c>
      <c r="AK210" s="99" t="s">
        <v>301</v>
      </c>
      <c r="AL210" s="98" t="s">
        <v>302</v>
      </c>
      <c r="AM210" s="108">
        <v>140776</v>
      </c>
      <c r="AN210" s="7" t="str">
        <f t="shared" si="9"/>
        <v>Calcul Charges sociales</v>
      </c>
    </row>
    <row r="211" spans="2:40">
      <c r="B211" s="14" t="s">
        <v>440</v>
      </c>
      <c r="C211" s="13" t="s">
        <v>441</v>
      </c>
      <c r="D211" s="24">
        <v>58790.45</v>
      </c>
      <c r="E211" s="7" t="s">
        <v>497</v>
      </c>
      <c r="I211" s="99" t="s">
        <v>307</v>
      </c>
      <c r="J211" s="98" t="s">
        <v>308</v>
      </c>
      <c r="K211" s="108">
        <v>50009.52</v>
      </c>
      <c r="L211" s="7" t="str">
        <f t="shared" si="5"/>
        <v>Calcul Charges sociales</v>
      </c>
      <c r="N211" s="99" t="s">
        <v>673</v>
      </c>
      <c r="O211" s="98" t="s">
        <v>674</v>
      </c>
      <c r="P211" s="110">
        <v>-1016175</v>
      </c>
      <c r="S211" s="99" t="s">
        <v>633</v>
      </c>
      <c r="T211" s="98" t="s">
        <v>634</v>
      </c>
      <c r="U211" s="108">
        <v>0</v>
      </c>
      <c r="V211" s="7" t="str">
        <f t="shared" si="6"/>
        <v>Frais bancaires</v>
      </c>
      <c r="Y211" s="99" t="s">
        <v>313</v>
      </c>
      <c r="Z211" s="98" t="s">
        <v>314</v>
      </c>
      <c r="AA211" s="108">
        <v>0</v>
      </c>
      <c r="AB211" s="7" t="str">
        <f t="shared" si="8"/>
        <v>Calcul Charges sociales</v>
      </c>
      <c r="AE211" s="99" t="s">
        <v>425</v>
      </c>
      <c r="AF211" s="98" t="s">
        <v>426</v>
      </c>
      <c r="AG211" s="108">
        <v>0</v>
      </c>
      <c r="AH211" s="7" t="str">
        <f t="shared" si="7"/>
        <v>Frais bancaires</v>
      </c>
      <c r="AK211" s="99" t="s">
        <v>305</v>
      </c>
      <c r="AL211" s="98" t="s">
        <v>306</v>
      </c>
      <c r="AM211" s="108">
        <v>50118.49</v>
      </c>
      <c r="AN211" s="7" t="str">
        <f t="shared" si="9"/>
        <v>Calcul Charges sociales</v>
      </c>
    </row>
    <row r="212" spans="2:40">
      <c r="B212" s="14" t="s">
        <v>442</v>
      </c>
      <c r="C212" s="13" t="s">
        <v>443</v>
      </c>
      <c r="D212" s="24">
        <v>78770</v>
      </c>
      <c r="E212" s="7" t="s">
        <v>497</v>
      </c>
      <c r="I212" s="99" t="s">
        <v>309</v>
      </c>
      <c r="J212" s="98" t="s">
        <v>310</v>
      </c>
      <c r="K212" s="108">
        <v>5398.14</v>
      </c>
      <c r="L212" s="7" t="str">
        <f t="shared" si="5"/>
        <v>Calcul Charges sociales</v>
      </c>
      <c r="N212" s="99" t="s">
        <v>454</v>
      </c>
      <c r="O212" s="98" t="s">
        <v>370</v>
      </c>
      <c r="P212" s="110">
        <v>-270</v>
      </c>
      <c r="S212" s="99" t="s">
        <v>665</v>
      </c>
      <c r="T212" s="98" t="s">
        <v>666</v>
      </c>
      <c r="U212" s="108">
        <v>103.3</v>
      </c>
      <c r="V212" s="7" t="str">
        <f t="shared" si="6"/>
        <v>Frais bancaires</v>
      </c>
      <c r="Y212" s="99" t="s">
        <v>424</v>
      </c>
      <c r="Z212" s="98" t="s">
        <v>126</v>
      </c>
      <c r="AA212" s="108">
        <v>-10088.52</v>
      </c>
      <c r="AB212" s="7" t="str">
        <f t="shared" si="8"/>
        <v>Pas pris en compte pour le moment</v>
      </c>
      <c r="AE212" s="99" t="s">
        <v>631</v>
      </c>
      <c r="AF212" s="98" t="s">
        <v>632</v>
      </c>
      <c r="AG212" s="108">
        <v>0</v>
      </c>
      <c r="AH212" s="7" t="str">
        <f t="shared" si="7"/>
        <v>Frais bancaires</v>
      </c>
      <c r="AK212" s="99" t="s">
        <v>307</v>
      </c>
      <c r="AL212" s="98" t="s">
        <v>308</v>
      </c>
      <c r="AM212" s="108">
        <v>37791.949999999997</v>
      </c>
      <c r="AN212" s="7" t="str">
        <f t="shared" si="9"/>
        <v>Calcul Charges sociales</v>
      </c>
    </row>
    <row r="213" spans="2:40">
      <c r="B213" s="14" t="s">
        <v>444</v>
      </c>
      <c r="C213" s="13" t="s">
        <v>445</v>
      </c>
      <c r="D213" s="24">
        <v>12403.81</v>
      </c>
      <c r="E213" s="7" t="s">
        <v>497</v>
      </c>
      <c r="I213" s="99" t="s">
        <v>422</v>
      </c>
      <c r="J213" s="98" t="s">
        <v>423</v>
      </c>
      <c r="K213" s="108">
        <v>-28652.2</v>
      </c>
      <c r="L213" s="7" t="str">
        <f t="shared" si="5"/>
        <v>Provisions sur primes</v>
      </c>
      <c r="N213" s="99" t="s">
        <v>327</v>
      </c>
      <c r="O213" s="98" t="s">
        <v>328</v>
      </c>
      <c r="P213" s="110">
        <v>-24595.5</v>
      </c>
      <c r="S213" s="99" t="s">
        <v>315</v>
      </c>
      <c r="T213" s="98" t="s">
        <v>316</v>
      </c>
      <c r="U213" s="108">
        <v>162.1</v>
      </c>
      <c r="V213" s="7" t="str">
        <f t="shared" si="6"/>
        <v>Frais bancaires</v>
      </c>
      <c r="Y213" s="99" t="s">
        <v>425</v>
      </c>
      <c r="Z213" s="98" t="s">
        <v>426</v>
      </c>
      <c r="AA213" s="108">
        <v>13.19</v>
      </c>
      <c r="AB213" s="7" t="str">
        <f t="shared" si="8"/>
        <v>Frais bancaires</v>
      </c>
      <c r="AE213" s="99" t="s">
        <v>633</v>
      </c>
      <c r="AF213" s="98" t="s">
        <v>634</v>
      </c>
      <c r="AG213" s="108">
        <v>0</v>
      </c>
      <c r="AH213" s="7" t="str">
        <f t="shared" si="7"/>
        <v>Frais bancaires</v>
      </c>
      <c r="AK213" s="99" t="s">
        <v>309</v>
      </c>
      <c r="AL213" s="98" t="s">
        <v>698</v>
      </c>
      <c r="AM213" s="108">
        <v>6146.4</v>
      </c>
      <c r="AN213" s="7" t="str">
        <f t="shared" si="9"/>
        <v>Calcul Charges sociales</v>
      </c>
    </row>
    <row r="214" spans="2:40">
      <c r="B214" s="14" t="s">
        <v>446</v>
      </c>
      <c r="C214" s="13" t="s">
        <v>447</v>
      </c>
      <c r="D214" s="24">
        <v>46000</v>
      </c>
      <c r="E214" s="7" t="s">
        <v>497</v>
      </c>
      <c r="I214" s="99" t="s">
        <v>311</v>
      </c>
      <c r="J214" s="98" t="s">
        <v>312</v>
      </c>
      <c r="K214" s="108">
        <v>-4965.6899999999996</v>
      </c>
      <c r="L214" s="7" t="str">
        <f t="shared" si="5"/>
        <v>Calcul Charges sociales</v>
      </c>
      <c r="N214" s="99" t="s">
        <v>637</v>
      </c>
      <c r="O214" s="98" t="s">
        <v>638</v>
      </c>
      <c r="P214" s="110">
        <v>1000</v>
      </c>
      <c r="S214" s="99" t="s">
        <v>427</v>
      </c>
      <c r="T214" s="98" t="s">
        <v>428</v>
      </c>
      <c r="U214" s="108">
        <v>106.6</v>
      </c>
      <c r="V214" s="7" t="str">
        <f t="shared" si="6"/>
        <v>Frais bancaires</v>
      </c>
      <c r="Y214" s="99" t="s">
        <v>631</v>
      </c>
      <c r="Z214" s="98" t="s">
        <v>632</v>
      </c>
      <c r="AA214" s="108">
        <v>0</v>
      </c>
      <c r="AB214" s="7" t="str">
        <f t="shared" si="8"/>
        <v>Frais bancaires</v>
      </c>
      <c r="AE214" s="99" t="s">
        <v>665</v>
      </c>
      <c r="AF214" s="98" t="s">
        <v>666</v>
      </c>
      <c r="AG214" s="108">
        <v>99.91</v>
      </c>
      <c r="AH214" s="7" t="str">
        <f t="shared" si="7"/>
        <v>Frais bancaires</v>
      </c>
      <c r="AK214" s="99" t="s">
        <v>422</v>
      </c>
      <c r="AL214" s="98" t="s">
        <v>423</v>
      </c>
      <c r="AM214" s="108">
        <v>15000</v>
      </c>
      <c r="AN214" s="7" t="str">
        <f t="shared" si="9"/>
        <v>Provisions sur primes</v>
      </c>
    </row>
    <row r="215" spans="2:40">
      <c r="B215" s="14" t="s">
        <v>448</v>
      </c>
      <c r="C215" s="13" t="s">
        <v>449</v>
      </c>
      <c r="D215" s="21">
        <v>25393</v>
      </c>
      <c r="E215" s="73" t="s">
        <v>553</v>
      </c>
      <c r="I215" s="99" t="s">
        <v>629</v>
      </c>
      <c r="J215" s="98" t="s">
        <v>630</v>
      </c>
      <c r="K215" s="108">
        <v>8357</v>
      </c>
      <c r="L215" s="7" t="s">
        <v>550</v>
      </c>
      <c r="N215" s="99" t="s">
        <v>643</v>
      </c>
      <c r="O215" s="98" t="s">
        <v>644</v>
      </c>
      <c r="P215" s="110">
        <v>-39866.67</v>
      </c>
      <c r="S215" s="99" t="s">
        <v>317</v>
      </c>
      <c r="T215" s="98" t="s">
        <v>318</v>
      </c>
      <c r="U215" s="108">
        <v>53.82</v>
      </c>
      <c r="V215" s="7" t="str">
        <f t="shared" si="6"/>
        <v>Frais bancaires</v>
      </c>
      <c r="Y215" s="99" t="s">
        <v>633</v>
      </c>
      <c r="Z215" s="98" t="s">
        <v>634</v>
      </c>
      <c r="AA215" s="108">
        <v>0</v>
      </c>
      <c r="AB215" s="7" t="str">
        <f t="shared" si="8"/>
        <v>Frais bancaires</v>
      </c>
      <c r="AE215" s="99" t="s">
        <v>315</v>
      </c>
      <c r="AF215" s="98" t="s">
        <v>316</v>
      </c>
      <c r="AG215" s="108">
        <v>151.66999999999999</v>
      </c>
      <c r="AH215" s="7" t="str">
        <f t="shared" si="7"/>
        <v>Frais bancaires</v>
      </c>
      <c r="AK215" s="99" t="s">
        <v>311</v>
      </c>
      <c r="AL215" s="98" t="s">
        <v>312</v>
      </c>
      <c r="AM215" s="108">
        <v>8287.9</v>
      </c>
      <c r="AN215" s="7" t="str">
        <f t="shared" si="9"/>
        <v>Calcul Charges sociales</v>
      </c>
    </row>
    <row r="216" spans="2:40">
      <c r="B216" s="14" t="s">
        <v>450</v>
      </c>
      <c r="C216" s="13" t="s">
        <v>451</v>
      </c>
      <c r="D216" s="21">
        <v>-100471.99</v>
      </c>
      <c r="E216" s="73" t="s">
        <v>553</v>
      </c>
      <c r="I216" s="99" t="s">
        <v>313</v>
      </c>
      <c r="J216" s="98" t="s">
        <v>314</v>
      </c>
      <c r="K216" s="108">
        <v>4336.5</v>
      </c>
      <c r="L216" s="7" t="str">
        <f t="shared" si="5"/>
        <v>Calcul Charges sociales</v>
      </c>
      <c r="N216" s="99" t="s">
        <v>331</v>
      </c>
      <c r="O216" s="98" t="s">
        <v>332</v>
      </c>
      <c r="P216" s="110">
        <v>-9900</v>
      </c>
      <c r="S216" s="99" t="s">
        <v>429</v>
      </c>
      <c r="T216" s="98" t="s">
        <v>430</v>
      </c>
      <c r="U216" s="108">
        <v>170.46</v>
      </c>
      <c r="V216" s="7" t="str">
        <f t="shared" si="6"/>
        <v>Frais bancaires</v>
      </c>
      <c r="Y216" s="99" t="s">
        <v>665</v>
      </c>
      <c r="Z216" s="98" t="s">
        <v>666</v>
      </c>
      <c r="AA216" s="108">
        <v>101.61</v>
      </c>
      <c r="AB216" s="7" t="str">
        <f t="shared" si="8"/>
        <v>Frais bancaires</v>
      </c>
      <c r="AE216" s="99" t="s">
        <v>427</v>
      </c>
      <c r="AF216" s="98" t="s">
        <v>428</v>
      </c>
      <c r="AG216" s="108">
        <v>102.74</v>
      </c>
      <c r="AH216" s="7" t="str">
        <f t="shared" si="7"/>
        <v>Frais bancaires</v>
      </c>
      <c r="AK216" s="99" t="s">
        <v>629</v>
      </c>
      <c r="AL216" s="98" t="s">
        <v>630</v>
      </c>
      <c r="AM216" s="108">
        <v>9189.01</v>
      </c>
      <c r="AN216" s="7" t="str">
        <f t="shared" si="9"/>
        <v>Calcul Charges sociales</v>
      </c>
    </row>
    <row r="217" spans="2:40">
      <c r="B217" s="14" t="s">
        <v>452</v>
      </c>
      <c r="C217" s="13" t="s">
        <v>453</v>
      </c>
      <c r="D217" s="21">
        <v>-70702.33</v>
      </c>
      <c r="E217" s="73" t="s">
        <v>553</v>
      </c>
      <c r="I217" s="99" t="s">
        <v>424</v>
      </c>
      <c r="J217" s="98" t="s">
        <v>126</v>
      </c>
      <c r="K217" s="108">
        <v>-131807.62</v>
      </c>
      <c r="L217" s="7" t="str">
        <f t="shared" si="5"/>
        <v>Pas pris en compte pour le moment</v>
      </c>
      <c r="N217" s="99" t="s">
        <v>337</v>
      </c>
      <c r="O217" s="98" t="s">
        <v>338</v>
      </c>
      <c r="P217" s="110">
        <v>-3750</v>
      </c>
      <c r="S217" s="99" t="s">
        <v>667</v>
      </c>
      <c r="T217" s="98" t="s">
        <v>668</v>
      </c>
      <c r="U217" s="108">
        <v>277.23</v>
      </c>
      <c r="V217" s="7" t="str">
        <f t="shared" si="6"/>
        <v>Frais bancaires</v>
      </c>
      <c r="Y217" s="99" t="s">
        <v>315</v>
      </c>
      <c r="Z217" s="98" t="s">
        <v>316</v>
      </c>
      <c r="AA217" s="108">
        <v>156.88999999999999</v>
      </c>
      <c r="AB217" s="7" t="str">
        <f t="shared" si="8"/>
        <v>Frais bancaires</v>
      </c>
      <c r="AE217" s="99" t="s">
        <v>317</v>
      </c>
      <c r="AF217" s="98" t="s">
        <v>318</v>
      </c>
      <c r="AG217" s="108">
        <v>48.48</v>
      </c>
      <c r="AH217" s="7" t="str">
        <f t="shared" si="7"/>
        <v>Frais bancaires</v>
      </c>
      <c r="AK217" s="99" t="s">
        <v>721</v>
      </c>
      <c r="AL217" s="98" t="s">
        <v>722</v>
      </c>
      <c r="AM217" s="108">
        <v>13987.09</v>
      </c>
      <c r="AN217" s="7" t="s">
        <v>550</v>
      </c>
    </row>
    <row r="218" spans="2:40">
      <c r="B218" s="14" t="s">
        <v>325</v>
      </c>
      <c r="C218" s="13" t="s">
        <v>326</v>
      </c>
      <c r="D218" s="21">
        <v>-6425954.0599999996</v>
      </c>
      <c r="I218" s="99" t="s">
        <v>425</v>
      </c>
      <c r="J218" s="98" t="s">
        <v>426</v>
      </c>
      <c r="K218" s="108">
        <v>3403.07</v>
      </c>
      <c r="L218" s="7" t="str">
        <f t="shared" si="5"/>
        <v>Frais bancaires</v>
      </c>
      <c r="N218" s="99" t="s">
        <v>339</v>
      </c>
      <c r="O218" s="98" t="s">
        <v>340</v>
      </c>
      <c r="P218" s="110">
        <v>-9187.5</v>
      </c>
      <c r="S218" s="99" t="s">
        <v>669</v>
      </c>
      <c r="T218" s="98" t="s">
        <v>670</v>
      </c>
      <c r="U218" s="108">
        <v>47.82</v>
      </c>
      <c r="V218" s="7" t="str">
        <f t="shared" si="6"/>
        <v>Frais bancaires</v>
      </c>
      <c r="Y218" s="99" t="s">
        <v>427</v>
      </c>
      <c r="Z218" s="98" t="s">
        <v>428</v>
      </c>
      <c r="AA218" s="108">
        <v>104.67</v>
      </c>
      <c r="AB218" s="7" t="str">
        <f t="shared" si="8"/>
        <v>Frais bancaires</v>
      </c>
      <c r="AE218" s="99" t="s">
        <v>429</v>
      </c>
      <c r="AF218" s="98" t="s">
        <v>430</v>
      </c>
      <c r="AG218" s="108">
        <v>163.62</v>
      </c>
      <c r="AH218" s="7" t="str">
        <f t="shared" si="7"/>
        <v>Frais bancaires</v>
      </c>
      <c r="AK218" s="99" t="s">
        <v>313</v>
      </c>
      <c r="AL218" s="98" t="s">
        <v>314</v>
      </c>
      <c r="AM218" s="108">
        <v>179.17</v>
      </c>
      <c r="AN218" s="7" t="s">
        <v>550</v>
      </c>
    </row>
    <row r="219" spans="2:40">
      <c r="B219" s="14" t="s">
        <v>454</v>
      </c>
      <c r="C219" s="13" t="s">
        <v>370</v>
      </c>
      <c r="D219" s="21">
        <v>-14488</v>
      </c>
      <c r="I219" s="99" t="s">
        <v>631</v>
      </c>
      <c r="J219" s="98" t="s">
        <v>632</v>
      </c>
      <c r="K219" s="108">
        <v>1.04</v>
      </c>
      <c r="L219" s="7" t="s">
        <v>474</v>
      </c>
      <c r="N219" s="99" t="s">
        <v>457</v>
      </c>
      <c r="O219" s="98" t="s">
        <v>458</v>
      </c>
      <c r="P219" s="110">
        <v>-1050.17</v>
      </c>
      <c r="S219" s="99" t="s">
        <v>319</v>
      </c>
      <c r="T219" s="98" t="s">
        <v>320</v>
      </c>
      <c r="U219" s="108">
        <v>1705.34</v>
      </c>
      <c r="V219" s="7" t="str">
        <f t="shared" si="6"/>
        <v>Frais bancaires</v>
      </c>
      <c r="Y219" s="99" t="s">
        <v>317</v>
      </c>
      <c r="Z219" s="98" t="s">
        <v>318</v>
      </c>
      <c r="AA219" s="108">
        <v>51.15</v>
      </c>
      <c r="AB219" s="7" t="str">
        <f t="shared" si="8"/>
        <v>Frais bancaires</v>
      </c>
      <c r="AE219" s="99" t="s">
        <v>669</v>
      </c>
      <c r="AF219" s="98" t="s">
        <v>670</v>
      </c>
      <c r="AG219" s="108">
        <v>44.97</v>
      </c>
      <c r="AH219" s="7" t="str">
        <f t="shared" si="7"/>
        <v>Frais bancaires</v>
      </c>
      <c r="AK219" s="99" t="s">
        <v>424</v>
      </c>
      <c r="AL219" s="98" t="s">
        <v>126</v>
      </c>
      <c r="AM219" s="108">
        <v>-53102.74</v>
      </c>
      <c r="AN219" s="7" t="str">
        <f t="shared" si="9"/>
        <v>Pas pris en compte pour le moment</v>
      </c>
    </row>
    <row r="220" spans="2:40">
      <c r="B220" s="14" t="s">
        <v>327</v>
      </c>
      <c r="C220" s="13" t="s">
        <v>328</v>
      </c>
      <c r="D220" s="21">
        <v>-180321.32</v>
      </c>
      <c r="I220" s="99" t="s">
        <v>633</v>
      </c>
      <c r="J220" s="98" t="s">
        <v>634</v>
      </c>
      <c r="K220" s="108">
        <v>4.53</v>
      </c>
      <c r="L220" s="7" t="s">
        <v>474</v>
      </c>
      <c r="N220" s="99" t="s">
        <v>459</v>
      </c>
      <c r="O220" s="98" t="s">
        <v>460</v>
      </c>
      <c r="P220" s="110">
        <v>-86.68</v>
      </c>
      <c r="S220" s="99" t="s">
        <v>431</v>
      </c>
      <c r="T220" s="98" t="s">
        <v>432</v>
      </c>
      <c r="U220" s="108">
        <v>102.76</v>
      </c>
      <c r="V220" s="7" t="str">
        <f t="shared" si="6"/>
        <v>Frais bancaires</v>
      </c>
      <c r="Y220" s="99" t="s">
        <v>429</v>
      </c>
      <c r="Z220" s="98" t="s">
        <v>430</v>
      </c>
      <c r="AA220" s="108">
        <v>167.04</v>
      </c>
      <c r="AB220" s="7" t="str">
        <f t="shared" si="8"/>
        <v>Frais bancaires</v>
      </c>
      <c r="AE220" s="99" t="s">
        <v>319</v>
      </c>
      <c r="AF220" s="98" t="s">
        <v>320</v>
      </c>
      <c r="AG220" s="108">
        <v>-185.81</v>
      </c>
      <c r="AH220" s="7" t="str">
        <f t="shared" si="7"/>
        <v>Frais bancaires</v>
      </c>
      <c r="AK220" s="99" t="s">
        <v>425</v>
      </c>
      <c r="AL220" s="98" t="s">
        <v>426</v>
      </c>
      <c r="AM220" s="108">
        <v>1406.99</v>
      </c>
      <c r="AN220" s="7" t="str">
        <f t="shared" si="9"/>
        <v>Frais bancaires</v>
      </c>
    </row>
    <row r="221" spans="2:40" ht="15.75" thickBot="1">
      <c r="B221" s="14" t="s">
        <v>455</v>
      </c>
      <c r="C221" s="13" t="s">
        <v>456</v>
      </c>
      <c r="D221" s="21">
        <v>-4500</v>
      </c>
      <c r="I221" s="99" t="s">
        <v>315</v>
      </c>
      <c r="J221" s="98" t="s">
        <v>316</v>
      </c>
      <c r="K221" s="108">
        <v>1648.58</v>
      </c>
      <c r="L221" s="7" t="str">
        <f t="shared" si="5"/>
        <v>Frais bancaires</v>
      </c>
      <c r="N221" s="100" t="s">
        <v>675</v>
      </c>
      <c r="O221" s="101" t="s">
        <v>676</v>
      </c>
      <c r="P221" s="111">
        <v>-502.26</v>
      </c>
      <c r="S221" s="99" t="s">
        <v>321</v>
      </c>
      <c r="T221" s="98" t="s">
        <v>322</v>
      </c>
      <c r="U221" s="108">
        <v>228.86</v>
      </c>
      <c r="V221" s="7" t="str">
        <f t="shared" si="6"/>
        <v>Frais bancaires</v>
      </c>
      <c r="Y221" s="99" t="s">
        <v>669</v>
      </c>
      <c r="Z221" s="98" t="s">
        <v>670</v>
      </c>
      <c r="AA221" s="108">
        <v>46.39</v>
      </c>
      <c r="AB221" s="7" t="str">
        <f t="shared" si="8"/>
        <v>Frais bancaires</v>
      </c>
      <c r="AE221" s="99" t="s">
        <v>431</v>
      </c>
      <c r="AF221" s="98" t="s">
        <v>432</v>
      </c>
      <c r="AG221" s="108">
        <v>954.86</v>
      </c>
      <c r="AH221" s="7" t="str">
        <f t="shared" si="7"/>
        <v>Frais bancaires</v>
      </c>
      <c r="AK221" s="99" t="s">
        <v>631</v>
      </c>
      <c r="AL221" s="98" t="s">
        <v>632</v>
      </c>
      <c r="AM221" s="108">
        <v>0</v>
      </c>
      <c r="AN221" s="7" t="s">
        <v>474</v>
      </c>
    </row>
    <row r="222" spans="2:40">
      <c r="B222" s="14" t="s">
        <v>329</v>
      </c>
      <c r="C222" s="13" t="s">
        <v>330</v>
      </c>
      <c r="D222" s="21">
        <v>-49496</v>
      </c>
      <c r="I222" s="99" t="s">
        <v>427</v>
      </c>
      <c r="J222" s="98" t="s">
        <v>428</v>
      </c>
      <c r="K222" s="108">
        <v>492.55</v>
      </c>
      <c r="L222" s="7" t="str">
        <f t="shared" si="5"/>
        <v>Frais bancaires</v>
      </c>
      <c r="S222" s="99" t="s">
        <v>323</v>
      </c>
      <c r="T222" s="98" t="s">
        <v>324</v>
      </c>
      <c r="U222" s="108">
        <v>96.1</v>
      </c>
      <c r="V222" s="7" t="str">
        <f t="shared" si="6"/>
        <v>Frais courants</v>
      </c>
      <c r="Y222" s="99" t="s">
        <v>319</v>
      </c>
      <c r="Z222" s="98" t="s">
        <v>320</v>
      </c>
      <c r="AA222" s="108">
        <v>157.71</v>
      </c>
      <c r="AB222" s="7" t="str">
        <f t="shared" si="8"/>
        <v>Frais bancaires</v>
      </c>
      <c r="AE222" s="99" t="s">
        <v>321</v>
      </c>
      <c r="AF222" s="98" t="s">
        <v>322</v>
      </c>
      <c r="AG222" s="108">
        <v>1217.45</v>
      </c>
      <c r="AH222" s="7" t="str">
        <f t="shared" si="7"/>
        <v>Frais bancaires</v>
      </c>
      <c r="AK222" s="99" t="s">
        <v>633</v>
      </c>
      <c r="AL222" s="98" t="s">
        <v>634</v>
      </c>
      <c r="AM222" s="108">
        <v>0.44</v>
      </c>
      <c r="AN222" s="7" t="str">
        <f t="shared" si="9"/>
        <v>Frais bancaires</v>
      </c>
    </row>
    <row r="223" spans="2:40">
      <c r="B223" s="14" t="s">
        <v>331</v>
      </c>
      <c r="C223" s="13" t="s">
        <v>332</v>
      </c>
      <c r="D223" s="21">
        <v>-35608</v>
      </c>
      <c r="I223" s="99" t="s">
        <v>317</v>
      </c>
      <c r="J223" s="98" t="s">
        <v>318</v>
      </c>
      <c r="K223" s="108">
        <v>1348.45</v>
      </c>
      <c r="L223" s="7" t="str">
        <f t="shared" si="5"/>
        <v>Frais bancaires</v>
      </c>
      <c r="S223" s="99" t="s">
        <v>437</v>
      </c>
      <c r="T223" s="98" t="s">
        <v>699</v>
      </c>
      <c r="U223" s="108">
        <v>0</v>
      </c>
      <c r="Y223" s="99" t="s">
        <v>431</v>
      </c>
      <c r="Z223" s="98" t="s">
        <v>432</v>
      </c>
      <c r="AA223" s="108">
        <v>202.14</v>
      </c>
      <c r="AB223" s="7" t="str">
        <f t="shared" si="8"/>
        <v>Frais bancaires</v>
      </c>
      <c r="AE223" s="99" t="s">
        <v>323</v>
      </c>
      <c r="AF223" s="98" t="s">
        <v>324</v>
      </c>
      <c r="AG223" s="108">
        <v>0</v>
      </c>
      <c r="AH223" s="7" t="str">
        <f t="shared" si="7"/>
        <v>Frais courants</v>
      </c>
      <c r="AK223" s="99" t="s">
        <v>665</v>
      </c>
      <c r="AL223" s="98" t="s">
        <v>666</v>
      </c>
      <c r="AM223" s="108">
        <v>409.82</v>
      </c>
      <c r="AN223" s="7" t="str">
        <f t="shared" si="9"/>
        <v>Frais bancaires</v>
      </c>
    </row>
    <row r="224" spans="2:40">
      <c r="B224" s="14" t="s">
        <v>333</v>
      </c>
      <c r="C224" s="13" t="s">
        <v>334</v>
      </c>
      <c r="D224" s="21">
        <v>-18263.330000000002</v>
      </c>
      <c r="I224" s="99" t="s">
        <v>429</v>
      </c>
      <c r="J224" s="98" t="s">
        <v>430</v>
      </c>
      <c r="K224" s="108">
        <v>942.67</v>
      </c>
      <c r="L224" s="7" t="str">
        <f t="shared" si="5"/>
        <v>Frais bancaires</v>
      </c>
      <c r="P224" s="7" t="s">
        <v>680</v>
      </c>
      <c r="Q224" s="7" t="s">
        <v>11</v>
      </c>
      <c r="S224" s="99" t="s">
        <v>438</v>
      </c>
      <c r="T224" s="98" t="s">
        <v>439</v>
      </c>
      <c r="U224" s="108">
        <v>0</v>
      </c>
      <c r="V224" s="7" t="str">
        <f t="shared" si="6"/>
        <v>Dotations</v>
      </c>
      <c r="Y224" s="99" t="s">
        <v>321</v>
      </c>
      <c r="Z224" s="98" t="s">
        <v>322</v>
      </c>
      <c r="AA224" s="108">
        <v>1108.31</v>
      </c>
      <c r="AB224" s="7" t="str">
        <f t="shared" si="8"/>
        <v>Frais bancaires</v>
      </c>
      <c r="AE224" s="99" t="s">
        <v>437</v>
      </c>
      <c r="AF224" s="98" t="s">
        <v>699</v>
      </c>
      <c r="AG224" s="108">
        <v>603.61</v>
      </c>
      <c r="AH224" s="7" t="s">
        <v>488</v>
      </c>
      <c r="AK224" s="99" t="s">
        <v>315</v>
      </c>
      <c r="AL224" s="98" t="s">
        <v>316</v>
      </c>
      <c r="AM224" s="108">
        <v>988.09</v>
      </c>
      <c r="AN224" s="7" t="str">
        <f t="shared" si="9"/>
        <v>Frais bancaires</v>
      </c>
    </row>
    <row r="225" spans="2:40">
      <c r="B225" s="14" t="s">
        <v>335</v>
      </c>
      <c r="C225" s="13" t="s">
        <v>336</v>
      </c>
      <c r="D225" s="21">
        <v>-10800</v>
      </c>
      <c r="I225" s="99" t="s">
        <v>319</v>
      </c>
      <c r="J225" s="98" t="s">
        <v>320</v>
      </c>
      <c r="K225" s="108">
        <v>21937.29</v>
      </c>
      <c r="L225" s="7" t="str">
        <f t="shared" si="5"/>
        <v>Frais bancaires</v>
      </c>
      <c r="P225" s="108">
        <v>5.6933333333333325</v>
      </c>
      <c r="Q225" s="7" t="s">
        <v>488</v>
      </c>
      <c r="S225" s="99" t="s">
        <v>440</v>
      </c>
      <c r="T225" s="98" t="s">
        <v>441</v>
      </c>
      <c r="U225" s="108">
        <v>0</v>
      </c>
      <c r="V225" s="7" t="str">
        <f t="shared" si="6"/>
        <v>Dotations</v>
      </c>
      <c r="Y225" s="99" t="s">
        <v>323</v>
      </c>
      <c r="Z225" s="98" t="s">
        <v>324</v>
      </c>
      <c r="AA225" s="108">
        <v>246.39</v>
      </c>
      <c r="AB225" s="7" t="str">
        <f t="shared" si="8"/>
        <v>Frais courants</v>
      </c>
      <c r="AE225" s="99" t="s">
        <v>438</v>
      </c>
      <c r="AF225" s="98" t="s">
        <v>439</v>
      </c>
      <c r="AG225" s="108">
        <v>10160.799999999999</v>
      </c>
      <c r="AH225" s="7" t="str">
        <f t="shared" si="7"/>
        <v>Dotations</v>
      </c>
      <c r="AK225" s="99" t="s">
        <v>427</v>
      </c>
      <c r="AL225" s="98" t="s">
        <v>428</v>
      </c>
      <c r="AM225" s="108">
        <v>645.33000000000004</v>
      </c>
      <c r="AN225" s="7" t="str">
        <f t="shared" si="9"/>
        <v>Frais bancaires</v>
      </c>
    </row>
    <row r="226" spans="2:40">
      <c r="B226" s="14" t="s">
        <v>337</v>
      </c>
      <c r="C226" s="13" t="s">
        <v>338</v>
      </c>
      <c r="D226" s="21">
        <v>-11400</v>
      </c>
      <c r="I226" s="99" t="s">
        <v>431</v>
      </c>
      <c r="J226" s="98" t="s">
        <v>432</v>
      </c>
      <c r="K226" s="108">
        <v>187.26</v>
      </c>
      <c r="L226" s="7" t="str">
        <f t="shared" si="5"/>
        <v>Frais bancaires</v>
      </c>
      <c r="O226" s="7">
        <v>3</v>
      </c>
      <c r="P226" s="108">
        <v>33392.78</v>
      </c>
      <c r="Q226" s="7" t="s">
        <v>551</v>
      </c>
      <c r="S226" s="99" t="s">
        <v>442</v>
      </c>
      <c r="T226" s="98" t="s">
        <v>443</v>
      </c>
      <c r="U226" s="108">
        <v>0</v>
      </c>
      <c r="V226" s="7" t="s">
        <v>497</v>
      </c>
      <c r="Y226" s="99" t="s">
        <v>437</v>
      </c>
      <c r="Z226" s="98" t="s">
        <v>699</v>
      </c>
      <c r="AA226" s="108">
        <v>0</v>
      </c>
      <c r="AB226" s="7">
        <f t="shared" si="8"/>
        <v>0</v>
      </c>
      <c r="AE226" s="99" t="s">
        <v>440</v>
      </c>
      <c r="AF226" s="98" t="s">
        <v>441</v>
      </c>
      <c r="AG226" s="108">
        <v>57559.199999999997</v>
      </c>
      <c r="AH226" s="7" t="str">
        <f t="shared" si="7"/>
        <v>Dotations</v>
      </c>
      <c r="AK226" s="99" t="s">
        <v>317</v>
      </c>
      <c r="AL226" s="98" t="s">
        <v>318</v>
      </c>
      <c r="AM226" s="108">
        <v>330.89</v>
      </c>
      <c r="AN226" s="7" t="str">
        <f t="shared" si="9"/>
        <v>Frais bancaires</v>
      </c>
    </row>
    <row r="227" spans="2:40">
      <c r="B227" s="14" t="s">
        <v>339</v>
      </c>
      <c r="C227" s="13" t="s">
        <v>340</v>
      </c>
      <c r="D227" s="21">
        <v>-39812.5</v>
      </c>
      <c r="I227" s="99" t="s">
        <v>321</v>
      </c>
      <c r="J227" s="98" t="s">
        <v>322</v>
      </c>
      <c r="K227" s="108">
        <v>7266.61</v>
      </c>
      <c r="L227" s="7" t="str">
        <f t="shared" si="5"/>
        <v>Frais bancaires</v>
      </c>
      <c r="P227" s="108">
        <v>4280.0133333333333</v>
      </c>
      <c r="Q227" s="7" t="s">
        <v>551</v>
      </c>
      <c r="S227" s="99" t="s">
        <v>635</v>
      </c>
      <c r="T227" s="98" t="s">
        <v>636</v>
      </c>
      <c r="U227" s="108">
        <v>10000</v>
      </c>
      <c r="V227" s="7" t="str">
        <f t="shared" si="6"/>
        <v>Participation</v>
      </c>
      <c r="Y227" s="99" t="s">
        <v>438</v>
      </c>
      <c r="Z227" s="98" t="s">
        <v>439</v>
      </c>
      <c r="AA227" s="108">
        <v>0</v>
      </c>
      <c r="AB227" s="7" t="str">
        <f t="shared" si="8"/>
        <v>Dotations</v>
      </c>
      <c r="AE227" s="99" t="s">
        <v>442</v>
      </c>
      <c r="AF227" s="98" t="s">
        <v>443</v>
      </c>
      <c r="AG227" s="108">
        <v>0</v>
      </c>
      <c r="AH227" s="7" t="str">
        <f t="shared" si="7"/>
        <v>Dotations</v>
      </c>
      <c r="AK227" s="99" t="s">
        <v>429</v>
      </c>
      <c r="AL227" s="98" t="s">
        <v>430</v>
      </c>
      <c r="AM227" s="108">
        <v>1032.96</v>
      </c>
      <c r="AN227" s="7" t="str">
        <f t="shared" si="9"/>
        <v>Frais bancaires</v>
      </c>
    </row>
    <row r="228" spans="2:40">
      <c r="B228" s="14" t="s">
        <v>457</v>
      </c>
      <c r="C228" s="13" t="s">
        <v>458</v>
      </c>
      <c r="D228" s="21">
        <v>-0.62</v>
      </c>
      <c r="I228" s="99" t="s">
        <v>323</v>
      </c>
      <c r="J228" s="98" t="s">
        <v>324</v>
      </c>
      <c r="K228" s="108">
        <v>2317.16</v>
      </c>
      <c r="L228" s="7" t="str">
        <f t="shared" si="5"/>
        <v>Frais courants</v>
      </c>
      <c r="P228" s="108">
        <v>185.23666666666668</v>
      </c>
      <c r="Q228" s="7" t="s">
        <v>477</v>
      </c>
      <c r="S228" s="99" t="s">
        <v>448</v>
      </c>
      <c r="T228" s="98" t="s">
        <v>449</v>
      </c>
      <c r="U228" s="108">
        <v>0</v>
      </c>
      <c r="Y228" s="99" t="s">
        <v>440</v>
      </c>
      <c r="Z228" s="98" t="s">
        <v>441</v>
      </c>
      <c r="AA228" s="108">
        <v>0</v>
      </c>
      <c r="AB228" s="7" t="str">
        <f t="shared" si="8"/>
        <v>Dotations</v>
      </c>
      <c r="AE228" s="99" t="s">
        <v>635</v>
      </c>
      <c r="AF228" s="98" t="s">
        <v>636</v>
      </c>
      <c r="AG228" s="108">
        <v>10000</v>
      </c>
      <c r="AH228" s="7" t="str">
        <f t="shared" si="7"/>
        <v>Participation</v>
      </c>
      <c r="AK228" s="99" t="s">
        <v>667</v>
      </c>
      <c r="AL228" s="98" t="s">
        <v>668</v>
      </c>
      <c r="AM228" s="108">
        <v>605.21</v>
      </c>
      <c r="AN228" s="7" t="str">
        <f t="shared" si="9"/>
        <v>Frais bancaires</v>
      </c>
    </row>
    <row r="229" spans="2:40">
      <c r="B229" s="14" t="s">
        <v>459</v>
      </c>
      <c r="C229" s="13" t="s">
        <v>460</v>
      </c>
      <c r="D229" s="21">
        <v>-2044.81</v>
      </c>
      <c r="I229" s="99" t="s">
        <v>433</v>
      </c>
      <c r="J229" s="98" t="s">
        <v>434</v>
      </c>
      <c r="K229" s="108">
        <v>115346.35</v>
      </c>
      <c r="L229" s="7" t="str">
        <f t="shared" si="5"/>
        <v>Absent sur nouvel exercice</v>
      </c>
      <c r="P229" s="108">
        <v>-772.13666666666666</v>
      </c>
      <c r="Q229" s="7" t="s">
        <v>554</v>
      </c>
      <c r="S229" s="99" t="s">
        <v>450</v>
      </c>
      <c r="T229" s="98" t="s">
        <v>451</v>
      </c>
      <c r="U229" s="108">
        <v>-17000</v>
      </c>
      <c r="V229" s="7" t="str">
        <f t="shared" si="6"/>
        <v>Pas pris en compte pour le moment</v>
      </c>
      <c r="Y229" s="99" t="s">
        <v>442</v>
      </c>
      <c r="Z229" s="98" t="s">
        <v>443</v>
      </c>
      <c r="AA229" s="108">
        <v>0</v>
      </c>
      <c r="AB229" s="7" t="str">
        <f t="shared" si="8"/>
        <v>Dotations</v>
      </c>
      <c r="AE229" s="99" t="s">
        <v>448</v>
      </c>
      <c r="AF229" s="98" t="s">
        <v>449</v>
      </c>
      <c r="AG229" s="108">
        <v>22075.919999999998</v>
      </c>
      <c r="AK229" s="99" t="s">
        <v>669</v>
      </c>
      <c r="AL229" s="98" t="s">
        <v>670</v>
      </c>
      <c r="AM229" s="108">
        <v>291.16000000000003</v>
      </c>
      <c r="AN229" s="7" t="str">
        <f t="shared" si="9"/>
        <v>Frais bancaires</v>
      </c>
    </row>
    <row r="230" spans="2:40">
      <c r="B230" s="14" t="s">
        <v>461</v>
      </c>
      <c r="C230" s="13" t="s">
        <v>462</v>
      </c>
      <c r="D230" s="21" t="s">
        <v>15</v>
      </c>
      <c r="I230" s="99" t="s">
        <v>435</v>
      </c>
      <c r="J230" s="98" t="s">
        <v>436</v>
      </c>
      <c r="K230" s="108">
        <v>27771.29</v>
      </c>
      <c r="L230" s="7" t="str">
        <f t="shared" si="5"/>
        <v>Frais courants</v>
      </c>
      <c r="P230" s="108">
        <v>-709.71999999999991</v>
      </c>
      <c r="Q230" s="7" t="s">
        <v>554</v>
      </c>
      <c r="S230" s="99" t="s">
        <v>452</v>
      </c>
      <c r="T230" s="98" t="s">
        <v>453</v>
      </c>
      <c r="U230" s="108">
        <v>0</v>
      </c>
      <c r="Y230" s="99" t="s">
        <v>635</v>
      </c>
      <c r="Z230" s="98" t="s">
        <v>636</v>
      </c>
      <c r="AA230" s="108">
        <v>-132.88999999999999</v>
      </c>
      <c r="AB230" s="7" t="str">
        <f t="shared" si="8"/>
        <v>Participation</v>
      </c>
      <c r="AE230" s="99" t="s">
        <v>450</v>
      </c>
      <c r="AF230" s="98" t="s">
        <v>451</v>
      </c>
      <c r="AG230" s="108">
        <v>-17000</v>
      </c>
      <c r="AK230" s="99" t="s">
        <v>319</v>
      </c>
      <c r="AL230" s="98" t="s">
        <v>320</v>
      </c>
      <c r="AM230" s="108">
        <v>4900.25</v>
      </c>
      <c r="AN230" s="7" t="str">
        <f t="shared" si="9"/>
        <v>Frais bancaires</v>
      </c>
    </row>
    <row r="231" spans="2:40">
      <c r="B231" s="14" t="s">
        <v>463</v>
      </c>
      <c r="C231" s="13" t="s">
        <v>464</v>
      </c>
      <c r="D231" s="21">
        <v>-14374.64</v>
      </c>
      <c r="I231" s="99" t="s">
        <v>437</v>
      </c>
      <c r="J231" s="98" t="s">
        <v>15</v>
      </c>
      <c r="K231" s="108">
        <v>47334.84</v>
      </c>
      <c r="L231" s="7" t="str">
        <f t="shared" ref="L231:L238" si="10">VLOOKUP(I231,$B$94:$E$232,4,FALSE)</f>
        <v>Frais courants</v>
      </c>
      <c r="P231" s="108">
        <v>2142.6633333333334</v>
      </c>
      <c r="Q231" s="7" t="s">
        <v>488</v>
      </c>
      <c r="S231" s="99" t="s">
        <v>325</v>
      </c>
      <c r="T231" s="98" t="s">
        <v>326</v>
      </c>
      <c r="U231" s="108">
        <v>-840808.33</v>
      </c>
      <c r="Y231" s="99" t="s">
        <v>448</v>
      </c>
      <c r="Z231" s="98" t="s">
        <v>449</v>
      </c>
      <c r="AA231" s="108">
        <v>34200</v>
      </c>
      <c r="AB231" s="7">
        <f t="shared" si="8"/>
        <v>0</v>
      </c>
      <c r="AE231" s="99" t="s">
        <v>452</v>
      </c>
      <c r="AF231" s="98" t="s">
        <v>453</v>
      </c>
      <c r="AG231" s="108">
        <v>0</v>
      </c>
      <c r="AK231" s="99" t="s">
        <v>431</v>
      </c>
      <c r="AL231" s="98" t="s">
        <v>432</v>
      </c>
      <c r="AM231" s="108">
        <v>1520.06</v>
      </c>
      <c r="AN231" s="7" t="str">
        <f t="shared" si="9"/>
        <v>Frais bancaires</v>
      </c>
    </row>
    <row r="232" spans="2:40" ht="15.75" thickBot="1">
      <c r="B232" s="15" t="s">
        <v>341</v>
      </c>
      <c r="C232" s="16" t="s">
        <v>342</v>
      </c>
      <c r="D232" s="22">
        <v>-662.22</v>
      </c>
      <c r="I232" s="99" t="s">
        <v>438</v>
      </c>
      <c r="J232" s="98" t="s">
        <v>439</v>
      </c>
      <c r="K232" s="108">
        <v>23438.43</v>
      </c>
      <c r="L232" s="7" t="str">
        <f t="shared" si="10"/>
        <v>Dotations</v>
      </c>
      <c r="P232" s="108">
        <v>1033.3399999999999</v>
      </c>
      <c r="Q232" s="7" t="s">
        <v>488</v>
      </c>
      <c r="S232" s="99" t="s">
        <v>673</v>
      </c>
      <c r="T232" s="98" t="s">
        <v>674</v>
      </c>
      <c r="U232" s="108">
        <v>233090.19</v>
      </c>
      <c r="Y232" s="99" t="s">
        <v>450</v>
      </c>
      <c r="Z232" s="98" t="s">
        <v>451</v>
      </c>
      <c r="AA232" s="108">
        <v>-17000</v>
      </c>
      <c r="AB232" s="7" t="str">
        <f t="shared" si="8"/>
        <v>Pas pris en compte pour le moment</v>
      </c>
      <c r="AE232" s="99" t="s">
        <v>325</v>
      </c>
      <c r="AF232" s="98" t="s">
        <v>326</v>
      </c>
      <c r="AG232" s="108">
        <v>-1047352.54</v>
      </c>
      <c r="AK232" s="99" t="s">
        <v>321</v>
      </c>
      <c r="AL232" s="98" t="s">
        <v>322</v>
      </c>
      <c r="AM232" s="108">
        <v>2863.65</v>
      </c>
      <c r="AN232" s="7" t="str">
        <f t="shared" si="9"/>
        <v>Frais bancaires</v>
      </c>
    </row>
    <row r="233" spans="2:40">
      <c r="I233" s="99" t="s">
        <v>440</v>
      </c>
      <c r="J233" s="98" t="s">
        <v>441</v>
      </c>
      <c r="K233" s="108">
        <v>92889.72</v>
      </c>
      <c r="L233" s="7" t="str">
        <f t="shared" si="10"/>
        <v>Dotations</v>
      </c>
      <c r="P233" s="108">
        <v>716.80333333333328</v>
      </c>
      <c r="Q233" s="7" t="s">
        <v>488</v>
      </c>
      <c r="S233" s="99" t="s">
        <v>454</v>
      </c>
      <c r="T233" s="98" t="s">
        <v>370</v>
      </c>
      <c r="U233" s="108">
        <v>-295</v>
      </c>
      <c r="Y233" s="99" t="s">
        <v>452</v>
      </c>
      <c r="Z233" s="98" t="s">
        <v>453</v>
      </c>
      <c r="AA233" s="108">
        <v>0</v>
      </c>
      <c r="AE233" s="99" t="s">
        <v>673</v>
      </c>
      <c r="AF233" s="98" t="s">
        <v>674</v>
      </c>
      <c r="AG233" s="108">
        <v>309614.44</v>
      </c>
      <c r="AK233" s="99" t="s">
        <v>671</v>
      </c>
      <c r="AL233" s="98" t="s">
        <v>672</v>
      </c>
      <c r="AM233" s="108">
        <v>1500</v>
      </c>
      <c r="AN233" s="7" t="str">
        <f t="shared" si="9"/>
        <v>Frais bancaires</v>
      </c>
    </row>
    <row r="234" spans="2:40">
      <c r="I234" s="99" t="s">
        <v>442</v>
      </c>
      <c r="J234" s="98" t="s">
        <v>443</v>
      </c>
      <c r="K234" s="108">
        <v>160000</v>
      </c>
      <c r="L234" s="7" t="str">
        <f t="shared" si="10"/>
        <v>Dotations</v>
      </c>
      <c r="P234" s="108">
        <v>1351.5</v>
      </c>
      <c r="Q234" s="7" t="s">
        <v>554</v>
      </c>
      <c r="S234" s="99" t="s">
        <v>327</v>
      </c>
      <c r="T234" s="98" t="s">
        <v>328</v>
      </c>
      <c r="U234" s="108">
        <v>-7926.5</v>
      </c>
      <c r="Y234" s="99" t="s">
        <v>325</v>
      </c>
      <c r="Z234" s="98" t="s">
        <v>326</v>
      </c>
      <c r="AA234" s="108">
        <v>-481532.59</v>
      </c>
      <c r="AE234" s="99" t="s">
        <v>454</v>
      </c>
      <c r="AF234" s="98" t="s">
        <v>370</v>
      </c>
      <c r="AG234" s="108">
        <v>-83.33</v>
      </c>
      <c r="AK234" s="99" t="s">
        <v>323</v>
      </c>
      <c r="AL234" s="98" t="s">
        <v>324</v>
      </c>
      <c r="AM234" s="108">
        <v>399.99</v>
      </c>
      <c r="AN234" s="7" t="str">
        <f t="shared" si="9"/>
        <v>Frais courants</v>
      </c>
    </row>
    <row r="235" spans="2:40">
      <c r="I235" s="99" t="s">
        <v>635</v>
      </c>
      <c r="J235" s="98" t="s">
        <v>636</v>
      </c>
      <c r="K235" s="108">
        <v>104462</v>
      </c>
      <c r="L235" s="7" t="s">
        <v>534</v>
      </c>
      <c r="P235" s="108">
        <v>32993.700000000004</v>
      </c>
      <c r="Q235" s="7" t="s">
        <v>554</v>
      </c>
      <c r="S235" s="99" t="s">
        <v>637</v>
      </c>
      <c r="T235" s="98" t="s">
        <v>638</v>
      </c>
      <c r="U235" s="108">
        <v>-2000</v>
      </c>
      <c r="Y235" s="99" t="s">
        <v>673</v>
      </c>
      <c r="Z235" s="98" t="s">
        <v>674</v>
      </c>
      <c r="AA235" s="108">
        <v>-148501.97</v>
      </c>
      <c r="AE235" s="99" t="s">
        <v>327</v>
      </c>
      <c r="AF235" s="98" t="s">
        <v>328</v>
      </c>
      <c r="AG235" s="108">
        <v>-28948.799999999999</v>
      </c>
      <c r="AK235" s="99" t="s">
        <v>437</v>
      </c>
      <c r="AL235" s="98" t="s">
        <v>699</v>
      </c>
      <c r="AM235" s="108">
        <v>603.61</v>
      </c>
      <c r="AN235" s="7" t="s">
        <v>488</v>
      </c>
    </row>
    <row r="236" spans="2:40">
      <c r="I236" s="99" t="s">
        <v>448</v>
      </c>
      <c r="J236" s="98" t="s">
        <v>449</v>
      </c>
      <c r="K236" s="108">
        <v>10132</v>
      </c>
      <c r="L236" s="7" t="str">
        <f t="shared" si="10"/>
        <v>Pas pris en compte pour le moment</v>
      </c>
      <c r="P236" s="108">
        <v>261.55666666666667</v>
      </c>
      <c r="Q236" s="7" t="s">
        <v>554</v>
      </c>
      <c r="S236" s="99" t="s">
        <v>639</v>
      </c>
      <c r="T236" s="98" t="s">
        <v>640</v>
      </c>
      <c r="U236" s="108">
        <v>-400</v>
      </c>
      <c r="Y236" s="99" t="s">
        <v>327</v>
      </c>
      <c r="Z236" s="98" t="s">
        <v>328</v>
      </c>
      <c r="AA236" s="108">
        <v>-15949.5</v>
      </c>
      <c r="AE236" s="99" t="s">
        <v>637</v>
      </c>
      <c r="AF236" s="98" t="s">
        <v>638</v>
      </c>
      <c r="AG236" s="108">
        <v>-3000</v>
      </c>
      <c r="AK236" s="99" t="s">
        <v>438</v>
      </c>
      <c r="AL236" s="98" t="s">
        <v>439</v>
      </c>
      <c r="AM236" s="108">
        <v>10160.799999999999</v>
      </c>
      <c r="AN236" s="7" t="str">
        <f t="shared" si="9"/>
        <v>Dotations</v>
      </c>
    </row>
    <row r="237" spans="2:40">
      <c r="I237" s="99" t="s">
        <v>450</v>
      </c>
      <c r="J237" s="98" t="s">
        <v>451</v>
      </c>
      <c r="K237" s="108">
        <v>-130871.99</v>
      </c>
      <c r="L237" s="7" t="str">
        <f t="shared" si="10"/>
        <v>Pas pris en compte pour le moment</v>
      </c>
      <c r="P237" s="108">
        <v>500</v>
      </c>
      <c r="Q237" s="7" t="s">
        <v>489</v>
      </c>
      <c r="S237" s="99" t="s">
        <v>641</v>
      </c>
      <c r="T237" s="98" t="s">
        <v>642</v>
      </c>
      <c r="U237" s="108">
        <v>0</v>
      </c>
      <c r="Y237" s="99" t="s">
        <v>637</v>
      </c>
      <c r="Z237" s="98" t="s">
        <v>638</v>
      </c>
      <c r="AA237" s="108">
        <v>0</v>
      </c>
      <c r="AE237" s="99" t="s">
        <v>639</v>
      </c>
      <c r="AF237" s="98" t="s">
        <v>640</v>
      </c>
      <c r="AG237" s="108">
        <v>0</v>
      </c>
      <c r="AK237" s="99" t="s">
        <v>440</v>
      </c>
      <c r="AL237" s="98" t="s">
        <v>441</v>
      </c>
      <c r="AM237" s="108">
        <v>57559.199999999997</v>
      </c>
      <c r="AN237" s="7" t="str">
        <f t="shared" ref="AN237:AN241" si="11">VLOOKUP(AK237,$N$100:$Q$221,4,FALSE)</f>
        <v>Dotations</v>
      </c>
    </row>
    <row r="238" spans="2:40">
      <c r="I238" s="99" t="s">
        <v>452</v>
      </c>
      <c r="J238" s="98" t="s">
        <v>453</v>
      </c>
      <c r="K238" s="108">
        <v>-88302.33</v>
      </c>
      <c r="L238" s="7" t="str">
        <f t="shared" si="10"/>
        <v>Pas pris en compte pour le moment</v>
      </c>
      <c r="P238" s="108">
        <v>440.99</v>
      </c>
      <c r="Q238" s="7" t="s">
        <v>489</v>
      </c>
      <c r="S238" s="99" t="s">
        <v>643</v>
      </c>
      <c r="T238" s="98" t="s">
        <v>644</v>
      </c>
      <c r="U238" s="108">
        <v>17940</v>
      </c>
      <c r="Y238" s="99" t="s">
        <v>639</v>
      </c>
      <c r="Z238" s="98" t="s">
        <v>640</v>
      </c>
      <c r="AA238" s="108">
        <v>0</v>
      </c>
      <c r="AE238" s="99" t="s">
        <v>641</v>
      </c>
      <c r="AF238" s="98" t="s">
        <v>642</v>
      </c>
      <c r="AG238" s="108">
        <v>0</v>
      </c>
      <c r="AK238" s="99" t="s">
        <v>442</v>
      </c>
      <c r="AL238" s="98" t="s">
        <v>443</v>
      </c>
      <c r="AM238" s="108">
        <v>0</v>
      </c>
      <c r="AN238" s="7" t="s">
        <v>497</v>
      </c>
    </row>
    <row r="239" spans="2:40">
      <c r="I239" s="99" t="s">
        <v>325</v>
      </c>
      <c r="J239" s="98" t="s">
        <v>326</v>
      </c>
      <c r="K239" s="108">
        <v>-8922004.8499999996</v>
      </c>
      <c r="P239" s="108">
        <v>1359.3233333333333</v>
      </c>
      <c r="Q239" s="7" t="s">
        <v>541</v>
      </c>
      <c r="S239" s="99" t="s">
        <v>331</v>
      </c>
      <c r="T239" s="98" t="s">
        <v>332</v>
      </c>
      <c r="U239" s="108">
        <v>-3960</v>
      </c>
      <c r="Y239" s="99" t="s">
        <v>641</v>
      </c>
      <c r="Z239" s="98" t="s">
        <v>642</v>
      </c>
      <c r="AA239" s="108">
        <v>0</v>
      </c>
      <c r="AE239" s="99" t="s">
        <v>643</v>
      </c>
      <c r="AF239" s="98" t="s">
        <v>644</v>
      </c>
      <c r="AG239" s="108">
        <v>-7416.67</v>
      </c>
      <c r="AK239" s="99" t="s">
        <v>635</v>
      </c>
      <c r="AL239" s="98" t="s">
        <v>636</v>
      </c>
      <c r="AM239" s="108">
        <v>49867.11</v>
      </c>
      <c r="AN239" s="7" t="str">
        <f t="shared" si="11"/>
        <v>Participation</v>
      </c>
    </row>
    <row r="240" spans="2:40">
      <c r="I240" s="99" t="s">
        <v>454</v>
      </c>
      <c r="J240" s="98" t="s">
        <v>370</v>
      </c>
      <c r="K240" s="108">
        <v>-14488</v>
      </c>
      <c r="P240" s="108">
        <v>989</v>
      </c>
      <c r="Q240" s="7" t="s">
        <v>489</v>
      </c>
      <c r="S240" s="99" t="s">
        <v>335</v>
      </c>
      <c r="T240" s="98" t="s">
        <v>336</v>
      </c>
      <c r="U240" s="108">
        <v>0</v>
      </c>
      <c r="Y240" s="99" t="s">
        <v>712</v>
      </c>
      <c r="Z240" s="98" t="s">
        <v>713</v>
      </c>
      <c r="AA240" s="108">
        <v>-200</v>
      </c>
      <c r="AE240" s="99" t="s">
        <v>331</v>
      </c>
      <c r="AF240" s="98" t="s">
        <v>332</v>
      </c>
      <c r="AG240" s="108">
        <v>-3300</v>
      </c>
      <c r="AK240" s="99" t="s">
        <v>448</v>
      </c>
      <c r="AL240" s="98" t="s">
        <v>449</v>
      </c>
      <c r="AM240" s="108">
        <v>56275.92</v>
      </c>
      <c r="AN240" s="7" t="s">
        <v>553</v>
      </c>
    </row>
    <row r="241" spans="9:40">
      <c r="I241" s="99" t="s">
        <v>327</v>
      </c>
      <c r="J241" s="98" t="s">
        <v>328</v>
      </c>
      <c r="K241" s="108">
        <v>-216474.32</v>
      </c>
      <c r="P241" s="108">
        <v>60.82</v>
      </c>
      <c r="Q241" s="7" t="s">
        <v>541</v>
      </c>
      <c r="S241" s="99" t="s">
        <v>337</v>
      </c>
      <c r="T241" s="98" t="s">
        <v>338</v>
      </c>
      <c r="U241" s="108">
        <v>-1250</v>
      </c>
      <c r="Y241" s="99" t="s">
        <v>643</v>
      </c>
      <c r="Z241" s="98" t="s">
        <v>644</v>
      </c>
      <c r="AA241" s="108">
        <v>-5980</v>
      </c>
      <c r="AE241" s="99" t="s">
        <v>335</v>
      </c>
      <c r="AF241" s="98" t="s">
        <v>336</v>
      </c>
      <c r="AG241" s="108">
        <v>0</v>
      </c>
      <c r="AK241" s="99" t="s">
        <v>450</v>
      </c>
      <c r="AL241" s="98" t="s">
        <v>451</v>
      </c>
      <c r="AM241" s="108">
        <v>-102000</v>
      </c>
      <c r="AN241" s="7" t="str">
        <f t="shared" si="11"/>
        <v>Pas pris en compte pour le moment</v>
      </c>
    </row>
    <row r="242" spans="9:40">
      <c r="I242" s="99" t="s">
        <v>637</v>
      </c>
      <c r="J242" s="98" t="s">
        <v>638</v>
      </c>
      <c r="K242" s="108">
        <v>-4000</v>
      </c>
      <c r="P242" s="108">
        <v>607.87333333333333</v>
      </c>
      <c r="Q242" s="7" t="s">
        <v>489</v>
      </c>
      <c r="S242" s="99" t="s">
        <v>339</v>
      </c>
      <c r="T242" s="98" t="s">
        <v>340</v>
      </c>
      <c r="U242" s="108">
        <v>-3062.5</v>
      </c>
      <c r="Y242" s="99" t="s">
        <v>331</v>
      </c>
      <c r="Z242" s="98" t="s">
        <v>332</v>
      </c>
      <c r="AA242" s="108">
        <v>-3300</v>
      </c>
      <c r="AE242" s="99" t="s">
        <v>337</v>
      </c>
      <c r="AF242" s="98" t="s">
        <v>338</v>
      </c>
      <c r="AG242" s="108">
        <v>-1250</v>
      </c>
      <c r="AK242" s="99" t="s">
        <v>452</v>
      </c>
      <c r="AL242" s="98" t="s">
        <v>453</v>
      </c>
      <c r="AM242" s="108">
        <v>0</v>
      </c>
      <c r="AN242" s="7" t="s">
        <v>553</v>
      </c>
    </row>
    <row r="243" spans="9:40">
      <c r="I243" s="99" t="s">
        <v>639</v>
      </c>
      <c r="J243" s="98" t="s">
        <v>640</v>
      </c>
      <c r="K243" s="108">
        <v>-333.33</v>
      </c>
      <c r="P243" s="108">
        <v>3476.3066666666668</v>
      </c>
      <c r="Q243" s="7" t="s">
        <v>489</v>
      </c>
      <c r="S243" s="99" t="s">
        <v>457</v>
      </c>
      <c r="T243" s="98" t="s">
        <v>458</v>
      </c>
      <c r="U243" s="108">
        <v>0</v>
      </c>
      <c r="Y243" s="99" t="s">
        <v>335</v>
      </c>
      <c r="Z243" s="98" t="s">
        <v>336</v>
      </c>
      <c r="AA243" s="108">
        <v>0</v>
      </c>
      <c r="AE243" s="99" t="s">
        <v>339</v>
      </c>
      <c r="AF243" s="98" t="s">
        <v>340</v>
      </c>
      <c r="AG243" s="108">
        <v>-3062.5</v>
      </c>
      <c r="AK243" s="99" t="s">
        <v>325</v>
      </c>
      <c r="AL243" s="98" t="s">
        <v>326</v>
      </c>
      <c r="AM243" s="108">
        <v>-3398237.95</v>
      </c>
    </row>
    <row r="244" spans="9:40">
      <c r="I244" s="99" t="s">
        <v>641</v>
      </c>
      <c r="J244" s="98" t="s">
        <v>642</v>
      </c>
      <c r="K244" s="108">
        <v>-2700</v>
      </c>
      <c r="P244" s="108">
        <v>1982.57</v>
      </c>
      <c r="Q244" s="7" t="s">
        <v>488</v>
      </c>
      <c r="S244" s="99" t="s">
        <v>459</v>
      </c>
      <c r="T244" s="98" t="s">
        <v>460</v>
      </c>
      <c r="U244" s="108">
        <v>0</v>
      </c>
      <c r="Y244" s="99" t="s">
        <v>337</v>
      </c>
      <c r="Z244" s="98" t="s">
        <v>338</v>
      </c>
      <c r="AA244" s="108">
        <v>-1250</v>
      </c>
      <c r="AE244" s="99" t="s">
        <v>457</v>
      </c>
      <c r="AF244" s="98" t="s">
        <v>458</v>
      </c>
      <c r="AG244" s="108">
        <v>0</v>
      </c>
      <c r="AK244" s="99" t="s">
        <v>673</v>
      </c>
      <c r="AL244" s="98" t="s">
        <v>674</v>
      </c>
      <c r="AM244" s="108">
        <v>-621972.34</v>
      </c>
    </row>
    <row r="245" spans="9:40">
      <c r="I245" s="99" t="s">
        <v>455</v>
      </c>
      <c r="J245" s="98" t="s">
        <v>456</v>
      </c>
      <c r="K245" s="108">
        <v>-4500</v>
      </c>
      <c r="P245" s="108">
        <v>542.57666666666671</v>
      </c>
      <c r="Q245" s="7" t="s">
        <v>488</v>
      </c>
      <c r="S245" s="99" t="s">
        <v>645</v>
      </c>
      <c r="T245" s="98" t="s">
        <v>462</v>
      </c>
      <c r="U245" s="108">
        <v>0</v>
      </c>
      <c r="Y245" s="99" t="s">
        <v>339</v>
      </c>
      <c r="Z245" s="98" t="s">
        <v>340</v>
      </c>
      <c r="AA245" s="108">
        <v>-3062.5</v>
      </c>
      <c r="AE245" s="99" t="s">
        <v>459</v>
      </c>
      <c r="AF245" s="98" t="s">
        <v>460</v>
      </c>
      <c r="AG245" s="108">
        <v>0</v>
      </c>
      <c r="AK245" s="99" t="s">
        <v>454</v>
      </c>
      <c r="AL245" s="98" t="s">
        <v>370</v>
      </c>
      <c r="AM245" s="108">
        <v>-648.33000000000004</v>
      </c>
    </row>
    <row r="246" spans="9:40">
      <c r="I246" s="99" t="s">
        <v>643</v>
      </c>
      <c r="J246" s="98" t="s">
        <v>644</v>
      </c>
      <c r="K246" s="108">
        <v>-4983.33</v>
      </c>
      <c r="P246" s="108">
        <v>1577.9333333333334</v>
      </c>
      <c r="Q246" s="7" t="s">
        <v>488</v>
      </c>
      <c r="S246" s="99" t="s">
        <v>463</v>
      </c>
      <c r="T246" s="98" t="s">
        <v>464</v>
      </c>
      <c r="U246" s="108">
        <v>0</v>
      </c>
      <c r="Y246" s="99" t="s">
        <v>457</v>
      </c>
      <c r="Z246" s="98" t="s">
        <v>458</v>
      </c>
      <c r="AA246" s="108">
        <v>0</v>
      </c>
      <c r="AE246" s="99" t="s">
        <v>645</v>
      </c>
      <c r="AF246" s="98" t="s">
        <v>462</v>
      </c>
      <c r="AG246" s="108">
        <v>0</v>
      </c>
      <c r="AK246" s="99" t="s">
        <v>327</v>
      </c>
      <c r="AL246" s="98" t="s">
        <v>328</v>
      </c>
      <c r="AM246" s="108">
        <v>-77420.3</v>
      </c>
    </row>
    <row r="247" spans="9:40">
      <c r="I247" s="99" t="s">
        <v>329</v>
      </c>
      <c r="J247" s="98" t="s">
        <v>330</v>
      </c>
      <c r="K247" s="108">
        <v>-49496</v>
      </c>
      <c r="P247" s="108">
        <v>837.75</v>
      </c>
      <c r="Q247" s="7" t="s">
        <v>540</v>
      </c>
      <c r="S247" s="99" t="s">
        <v>646</v>
      </c>
      <c r="T247" s="98" t="s">
        <v>700</v>
      </c>
      <c r="U247" s="108">
        <v>0</v>
      </c>
      <c r="Y247" s="99" t="s">
        <v>459</v>
      </c>
      <c r="Z247" s="98" t="s">
        <v>460</v>
      </c>
      <c r="AA247" s="108">
        <v>-720</v>
      </c>
      <c r="AE247" s="99" t="s">
        <v>463</v>
      </c>
      <c r="AF247" s="98" t="s">
        <v>464</v>
      </c>
      <c r="AG247" s="108">
        <v>0</v>
      </c>
      <c r="AK247" s="99" t="s">
        <v>637</v>
      </c>
      <c r="AL247" s="98" t="s">
        <v>638</v>
      </c>
      <c r="AM247" s="108">
        <v>-4000</v>
      </c>
    </row>
    <row r="248" spans="9:40">
      <c r="I248" s="99" t="s">
        <v>331</v>
      </c>
      <c r="J248" s="98" t="s">
        <v>332</v>
      </c>
      <c r="K248" s="108">
        <v>-58708</v>
      </c>
      <c r="P248" s="108">
        <v>2071.5766666666664</v>
      </c>
      <c r="Q248" s="7" t="s">
        <v>488</v>
      </c>
      <c r="S248" s="99" t="s">
        <v>648</v>
      </c>
      <c r="T248" s="98" t="s">
        <v>649</v>
      </c>
      <c r="U248" s="108">
        <v>0</v>
      </c>
      <c r="Y248" s="99" t="s">
        <v>714</v>
      </c>
      <c r="Z248" s="98" t="s">
        <v>715</v>
      </c>
      <c r="AA248" s="108">
        <v>-37342.129999999997</v>
      </c>
      <c r="AE248" s="99" t="s">
        <v>646</v>
      </c>
      <c r="AF248" s="98" t="s">
        <v>700</v>
      </c>
      <c r="AG248" s="108">
        <v>0</v>
      </c>
      <c r="AK248" s="99" t="s">
        <v>639</v>
      </c>
      <c r="AL248" s="98" t="s">
        <v>640</v>
      </c>
      <c r="AM248" s="108">
        <v>-400</v>
      </c>
    </row>
    <row r="249" spans="9:40">
      <c r="I249" s="99" t="s">
        <v>333</v>
      </c>
      <c r="J249" s="98" t="s">
        <v>334</v>
      </c>
      <c r="K249" s="108">
        <v>-18263.330000000002</v>
      </c>
      <c r="P249" s="108">
        <v>274.20333333333332</v>
      </c>
      <c r="Q249" s="7" t="s">
        <v>6</v>
      </c>
      <c r="S249" s="99" t="s">
        <v>701</v>
      </c>
      <c r="T249" s="98" t="s">
        <v>702</v>
      </c>
      <c r="U249" s="108">
        <v>0</v>
      </c>
      <c r="Y249" s="99" t="s">
        <v>716</v>
      </c>
      <c r="Z249" s="98" t="s">
        <v>717</v>
      </c>
      <c r="AA249" s="108">
        <v>-379.37</v>
      </c>
      <c r="AE249" s="99" t="s">
        <v>648</v>
      </c>
      <c r="AF249" s="98" t="s">
        <v>649</v>
      </c>
      <c r="AG249" s="108">
        <v>0</v>
      </c>
      <c r="AK249" s="99" t="s">
        <v>641</v>
      </c>
      <c r="AL249" s="98" t="s">
        <v>642</v>
      </c>
      <c r="AM249" s="108">
        <v>0</v>
      </c>
    </row>
    <row r="250" spans="9:40" ht="15.75" thickBot="1">
      <c r="I250" s="99" t="s">
        <v>335</v>
      </c>
      <c r="J250" s="98" t="s">
        <v>336</v>
      </c>
      <c r="K250" s="108">
        <v>-11700</v>
      </c>
      <c r="P250" s="108">
        <v>0.83333333333333337</v>
      </c>
      <c r="Q250" s="7" t="s">
        <v>6</v>
      </c>
      <c r="S250" s="100" t="s">
        <v>675</v>
      </c>
      <c r="T250" s="101" t="s">
        <v>676</v>
      </c>
      <c r="U250" s="109">
        <v>-167.42</v>
      </c>
      <c r="Y250" s="99" t="s">
        <v>645</v>
      </c>
      <c r="Z250" s="98" t="s">
        <v>462</v>
      </c>
      <c r="AA250" s="108">
        <v>0</v>
      </c>
      <c r="AE250" s="99" t="s">
        <v>701</v>
      </c>
      <c r="AF250" s="98" t="s">
        <v>702</v>
      </c>
      <c r="AG250" s="108">
        <v>0</v>
      </c>
      <c r="AK250" s="99" t="s">
        <v>712</v>
      </c>
      <c r="AL250" s="98" t="s">
        <v>713</v>
      </c>
      <c r="AM250" s="108">
        <v>-200</v>
      </c>
    </row>
    <row r="251" spans="9:40">
      <c r="I251" s="99" t="s">
        <v>337</v>
      </c>
      <c r="J251" s="98" t="s">
        <v>338</v>
      </c>
      <c r="K251" s="108">
        <v>-16400</v>
      </c>
      <c r="P251" s="108">
        <v>134.42333333333332</v>
      </c>
      <c r="Q251" s="7" t="s">
        <v>6</v>
      </c>
      <c r="Y251" s="99" t="s">
        <v>463</v>
      </c>
      <c r="Z251" s="98" t="s">
        <v>464</v>
      </c>
      <c r="AA251" s="108">
        <v>0</v>
      </c>
      <c r="AE251" s="99" t="s">
        <v>723</v>
      </c>
      <c r="AF251" s="98" t="s">
        <v>724</v>
      </c>
      <c r="AG251" s="108">
        <v>-49.4</v>
      </c>
      <c r="AK251" s="99" t="s">
        <v>643</v>
      </c>
      <c r="AL251" s="98" t="s">
        <v>644</v>
      </c>
      <c r="AM251" s="108">
        <v>-35323.339999999997</v>
      </c>
    </row>
    <row r="252" spans="9:40" ht="15.75" thickBot="1">
      <c r="I252" s="99" t="s">
        <v>339</v>
      </c>
      <c r="J252" s="98" t="s">
        <v>340</v>
      </c>
      <c r="K252" s="108">
        <v>-52062.5</v>
      </c>
      <c r="P252" s="108">
        <v>46.65</v>
      </c>
      <c r="Q252" s="7" t="s">
        <v>6</v>
      </c>
      <c r="Y252" s="99" t="s">
        <v>646</v>
      </c>
      <c r="Z252" s="98" t="s">
        <v>700</v>
      </c>
      <c r="AA252" s="108">
        <v>0</v>
      </c>
      <c r="AE252" s="100" t="s">
        <v>675</v>
      </c>
      <c r="AF252" s="101" t="s">
        <v>676</v>
      </c>
      <c r="AG252" s="109">
        <v>-167.42</v>
      </c>
      <c r="AK252" s="99" t="s">
        <v>331</v>
      </c>
      <c r="AL252" s="98" t="s">
        <v>332</v>
      </c>
      <c r="AM252" s="108">
        <v>-20460</v>
      </c>
    </row>
    <row r="253" spans="9:40">
      <c r="I253" s="99" t="s">
        <v>457</v>
      </c>
      <c r="J253" s="98" t="s">
        <v>458</v>
      </c>
      <c r="K253" s="108">
        <v>-69.56</v>
      </c>
      <c r="P253" s="108">
        <v>3411.0066666666667</v>
      </c>
      <c r="Q253" s="7" t="s">
        <v>6</v>
      </c>
      <c r="Y253" s="99" t="s">
        <v>648</v>
      </c>
      <c r="Z253" s="98" t="s">
        <v>649</v>
      </c>
      <c r="AA253" s="108">
        <v>0</v>
      </c>
      <c r="AK253" s="99" t="s">
        <v>335</v>
      </c>
      <c r="AL253" s="13" t="s">
        <v>336</v>
      </c>
      <c r="AM253" s="121">
        <v>0</v>
      </c>
    </row>
    <row r="254" spans="9:40">
      <c r="I254" s="99" t="s">
        <v>459</v>
      </c>
      <c r="J254" s="98" t="s">
        <v>460</v>
      </c>
      <c r="K254" s="108">
        <v>-2943.19</v>
      </c>
      <c r="P254" s="108">
        <v>55.933333333333337</v>
      </c>
      <c r="Q254" s="7" t="s">
        <v>6</v>
      </c>
      <c r="Y254" s="99" t="s">
        <v>701</v>
      </c>
      <c r="Z254" s="98" t="s">
        <v>702</v>
      </c>
      <c r="AA254" s="108">
        <v>0</v>
      </c>
      <c r="AK254" s="99" t="s">
        <v>337</v>
      </c>
      <c r="AL254" s="13" t="s">
        <v>338</v>
      </c>
      <c r="AM254" s="121">
        <v>-7500</v>
      </c>
    </row>
    <row r="255" spans="9:40" ht="15.75" thickBot="1">
      <c r="I255" s="99" t="s">
        <v>645</v>
      </c>
      <c r="J255" s="98" t="s">
        <v>462</v>
      </c>
      <c r="K255" s="108">
        <v>-46662.239999999998</v>
      </c>
      <c r="P255" s="108">
        <v>139.33000000000001</v>
      </c>
      <c r="Q255" s="7" t="s">
        <v>6</v>
      </c>
      <c r="T255" s="113" t="s">
        <v>678</v>
      </c>
      <c r="U255" t="s">
        <v>705</v>
      </c>
      <c r="V255"/>
      <c r="Y255" s="100" t="s">
        <v>675</v>
      </c>
      <c r="Z255" s="101" t="s">
        <v>676</v>
      </c>
      <c r="AA255" s="109">
        <v>-167.42</v>
      </c>
      <c r="AF255" s="113" t="s">
        <v>678</v>
      </c>
      <c r="AG255" t="s">
        <v>705</v>
      </c>
      <c r="AH255"/>
      <c r="AK255" s="99" t="s">
        <v>339</v>
      </c>
      <c r="AL255" s="13" t="s">
        <v>340</v>
      </c>
      <c r="AM255" s="121">
        <v>-18375</v>
      </c>
    </row>
    <row r="256" spans="9:40">
      <c r="I256" s="99" t="s">
        <v>463</v>
      </c>
      <c r="J256" s="98" t="s">
        <v>464</v>
      </c>
      <c r="K256" s="108">
        <v>-14386.52</v>
      </c>
      <c r="P256" s="108">
        <v>217.30999999999997</v>
      </c>
      <c r="Q256" s="7" t="s">
        <v>6</v>
      </c>
      <c r="T256" s="116" t="s">
        <v>541</v>
      </c>
      <c r="U256" s="23">
        <v>1364</v>
      </c>
      <c r="V256"/>
      <c r="AF256" s="114">
        <v>0</v>
      </c>
      <c r="AG256" s="23">
        <v>499</v>
      </c>
      <c r="AH256"/>
      <c r="AK256" s="99" t="s">
        <v>457</v>
      </c>
      <c r="AL256" s="13" t="s">
        <v>458</v>
      </c>
      <c r="AM256" s="121">
        <v>-1050.17</v>
      </c>
    </row>
    <row r="257" spans="9:40">
      <c r="I257" s="99" t="s">
        <v>341</v>
      </c>
      <c r="J257" s="98" t="s">
        <v>342</v>
      </c>
      <c r="K257" s="108">
        <v>0</v>
      </c>
      <c r="P257" s="108">
        <v>2224.3366666666666</v>
      </c>
      <c r="Q257" s="7" t="s">
        <v>465</v>
      </c>
      <c r="T257" s="116" t="s">
        <v>6</v>
      </c>
      <c r="U257" s="23">
        <v>14465.29</v>
      </c>
      <c r="V257"/>
      <c r="AF257" s="114" t="s">
        <v>541</v>
      </c>
      <c r="AG257" s="23">
        <v>1376</v>
      </c>
      <c r="AH257"/>
      <c r="AK257" s="99" t="s">
        <v>459</v>
      </c>
      <c r="AL257" s="13" t="s">
        <v>460</v>
      </c>
      <c r="AM257" s="121">
        <v>-806.68</v>
      </c>
    </row>
    <row r="258" spans="9:40">
      <c r="I258" s="99" t="s">
        <v>646</v>
      </c>
      <c r="J258" s="98" t="s">
        <v>647</v>
      </c>
      <c r="K258" s="108">
        <v>-600</v>
      </c>
      <c r="P258" s="108">
        <v>86.77</v>
      </c>
      <c r="Q258" s="7" t="s">
        <v>465</v>
      </c>
      <c r="T258" s="116" t="s">
        <v>551</v>
      </c>
      <c r="U258" s="23">
        <v>81741.14</v>
      </c>
      <c r="V258"/>
      <c r="AF258" s="114" t="s">
        <v>6</v>
      </c>
      <c r="AG258" s="23">
        <v>6376.1799999999994</v>
      </c>
      <c r="AH258"/>
      <c r="AK258" s="99" t="s">
        <v>714</v>
      </c>
      <c r="AL258" s="13" t="s">
        <v>715</v>
      </c>
      <c r="AM258" s="121">
        <v>-37342.129999999997</v>
      </c>
    </row>
    <row r="259" spans="9:40" ht="15.75" thickBot="1">
      <c r="I259" s="100" t="s">
        <v>648</v>
      </c>
      <c r="J259" s="101" t="s">
        <v>649</v>
      </c>
      <c r="K259" s="109">
        <v>-39000</v>
      </c>
      <c r="P259" s="108">
        <v>493.33333333333331</v>
      </c>
      <c r="Q259" s="7" t="s">
        <v>549</v>
      </c>
      <c r="T259" s="116" t="s">
        <v>550</v>
      </c>
      <c r="U259" s="23">
        <v>156968.16000000003</v>
      </c>
      <c r="V259"/>
      <c r="AF259" s="114" t="s">
        <v>551</v>
      </c>
      <c r="AG259" s="23">
        <v>27239.629999999997</v>
      </c>
      <c r="AH259"/>
      <c r="AK259" s="99" t="s">
        <v>716</v>
      </c>
      <c r="AL259" s="13" t="s">
        <v>717</v>
      </c>
      <c r="AM259" s="121">
        <v>-379.37</v>
      </c>
    </row>
    <row r="260" spans="9:40">
      <c r="P260" s="108">
        <v>1380.49</v>
      </c>
      <c r="Q260" s="7" t="s">
        <v>563</v>
      </c>
      <c r="T260" s="116" t="s">
        <v>477</v>
      </c>
      <c r="U260" s="23">
        <v>1312.43</v>
      </c>
      <c r="V260"/>
      <c r="Z260" s="113" t="s">
        <v>678</v>
      </c>
      <c r="AA260" t="s">
        <v>705</v>
      </c>
      <c r="AB260"/>
      <c r="AF260" s="114" t="s">
        <v>550</v>
      </c>
      <c r="AG260" s="23">
        <v>240583.48</v>
      </c>
      <c r="AH260"/>
      <c r="AK260" s="99" t="s">
        <v>645</v>
      </c>
      <c r="AL260" s="13" t="s">
        <v>462</v>
      </c>
      <c r="AM260" s="121">
        <v>0</v>
      </c>
    </row>
    <row r="261" spans="9:40">
      <c r="P261" s="108">
        <v>-1681.1833333333334</v>
      </c>
      <c r="Q261" s="7" t="s">
        <v>564</v>
      </c>
      <c r="T261" s="116" t="s">
        <v>465</v>
      </c>
      <c r="U261" s="23">
        <v>1575.3600000000001</v>
      </c>
      <c r="V261"/>
      <c r="Z261" s="116">
        <v>0</v>
      </c>
      <c r="AA261" s="23">
        <v>34200</v>
      </c>
      <c r="AB261"/>
      <c r="AF261" s="114" t="s">
        <v>477</v>
      </c>
      <c r="AG261" s="23">
        <v>9772.0399999999991</v>
      </c>
      <c r="AH261"/>
      <c r="AK261" s="99" t="s">
        <v>463</v>
      </c>
      <c r="AL261" s="13" t="s">
        <v>464</v>
      </c>
      <c r="AM261" s="121">
        <v>0</v>
      </c>
    </row>
    <row r="262" spans="9:40">
      <c r="P262" s="108">
        <v>6596.666666666667</v>
      </c>
      <c r="Q262" s="7" t="s">
        <v>565</v>
      </c>
      <c r="T262" s="116" t="s">
        <v>497</v>
      </c>
      <c r="U262" s="23">
        <v>0</v>
      </c>
      <c r="V262"/>
      <c r="Z262" s="116" t="s">
        <v>541</v>
      </c>
      <c r="AA262" s="23">
        <v>1356</v>
      </c>
      <c r="AB262"/>
      <c r="AF262" s="114" t="s">
        <v>465</v>
      </c>
      <c r="AG262" s="23">
        <v>710.74</v>
      </c>
      <c r="AH262"/>
      <c r="AK262" s="99" t="s">
        <v>646</v>
      </c>
      <c r="AL262" s="13" t="s">
        <v>700</v>
      </c>
      <c r="AM262" s="121">
        <v>0</v>
      </c>
    </row>
    <row r="263" spans="9:40">
      <c r="P263" s="108">
        <v>3000</v>
      </c>
      <c r="Q263" s="7" t="s">
        <v>566</v>
      </c>
      <c r="T263" s="116" t="s">
        <v>476</v>
      </c>
      <c r="U263" s="23">
        <v>2544.64</v>
      </c>
      <c r="V263"/>
      <c r="Z263" s="116" t="s">
        <v>6</v>
      </c>
      <c r="AA263" s="23">
        <v>-4295.88</v>
      </c>
      <c r="AB263"/>
      <c r="AF263" s="114" t="s">
        <v>497</v>
      </c>
      <c r="AG263" s="23">
        <v>67720</v>
      </c>
      <c r="AH263"/>
      <c r="AK263" s="99" t="s">
        <v>648</v>
      </c>
      <c r="AL263" s="13" t="s">
        <v>649</v>
      </c>
      <c r="AM263" s="121">
        <v>0</v>
      </c>
    </row>
    <row r="264" spans="9:40">
      <c r="P264" s="108">
        <v>14833.333333333334</v>
      </c>
      <c r="Q264" s="7" t="s">
        <v>567</v>
      </c>
      <c r="T264" s="116" t="s">
        <v>549</v>
      </c>
      <c r="U264" s="23">
        <v>300</v>
      </c>
      <c r="V264"/>
      <c r="Z264" s="116" t="s">
        <v>551</v>
      </c>
      <c r="AA264" s="23">
        <v>127372.26000000001</v>
      </c>
      <c r="AB264"/>
      <c r="AF264" s="114" t="s">
        <v>476</v>
      </c>
      <c r="AG264" s="23">
        <v>3196.79</v>
      </c>
      <c r="AH264"/>
      <c r="AK264" s="99" t="s">
        <v>701</v>
      </c>
      <c r="AL264" s="13" t="s">
        <v>702</v>
      </c>
      <c r="AM264" s="121">
        <v>0</v>
      </c>
    </row>
    <row r="265" spans="9:40">
      <c r="P265" s="108">
        <v>5823.09</v>
      </c>
      <c r="Q265" s="7" t="s">
        <v>466</v>
      </c>
      <c r="T265" s="116" t="s">
        <v>474</v>
      </c>
      <c r="U265" s="23">
        <v>5099.92</v>
      </c>
      <c r="V265"/>
      <c r="Z265" s="116" t="s">
        <v>550</v>
      </c>
      <c r="AA265" s="23">
        <v>145196.76</v>
      </c>
      <c r="AB265"/>
      <c r="AF265" s="114" t="s">
        <v>549</v>
      </c>
      <c r="AG265" s="23">
        <v>13156.27</v>
      </c>
      <c r="AH265"/>
      <c r="AK265" s="99" t="s">
        <v>723</v>
      </c>
      <c r="AL265" s="13" t="s">
        <v>724</v>
      </c>
      <c r="AM265" s="121">
        <v>-49.4</v>
      </c>
    </row>
    <row r="266" spans="9:40" ht="15.75" thickBot="1">
      <c r="P266" s="108">
        <v>4.4033333333333333</v>
      </c>
      <c r="Q266" s="7" t="s">
        <v>466</v>
      </c>
      <c r="T266" s="116" t="s">
        <v>488</v>
      </c>
      <c r="U266" s="23">
        <v>10345.099999999999</v>
      </c>
      <c r="V266"/>
      <c r="Z266" s="116" t="s">
        <v>477</v>
      </c>
      <c r="AA266" s="23">
        <v>478.77999999999975</v>
      </c>
      <c r="AB266"/>
      <c r="AF266" s="114" t="s">
        <v>474</v>
      </c>
      <c r="AG266" s="23">
        <v>3841.13</v>
      </c>
      <c r="AH266"/>
      <c r="AK266" s="100" t="s">
        <v>675</v>
      </c>
      <c r="AL266" s="16" t="s">
        <v>676</v>
      </c>
      <c r="AM266" s="122">
        <v>-1004.52</v>
      </c>
    </row>
    <row r="267" spans="9:40">
      <c r="P267" s="108">
        <v>1068.68</v>
      </c>
      <c r="Q267" s="7" t="s">
        <v>472</v>
      </c>
      <c r="T267" s="116" t="s">
        <v>466</v>
      </c>
      <c r="U267" s="23">
        <v>22299.87</v>
      </c>
      <c r="V267"/>
      <c r="Z267" s="116" t="s">
        <v>465</v>
      </c>
      <c r="AA267" s="23">
        <v>7564.96</v>
      </c>
      <c r="AB267"/>
      <c r="AF267" s="114" t="s">
        <v>488</v>
      </c>
      <c r="AG267" s="23">
        <v>11187.09</v>
      </c>
      <c r="AH267"/>
    </row>
    <row r="268" spans="9:40">
      <c r="P268" s="108">
        <v>5006.666666666667</v>
      </c>
      <c r="Q268" s="7" t="s">
        <v>547</v>
      </c>
      <c r="T268" s="116" t="s">
        <v>565</v>
      </c>
      <c r="U268" s="23">
        <v>12977.9</v>
      </c>
      <c r="V268"/>
      <c r="Z268" s="116" t="s">
        <v>497</v>
      </c>
      <c r="AA268" s="23">
        <v>0</v>
      </c>
      <c r="AB268"/>
      <c r="AF268" s="114" t="s">
        <v>466</v>
      </c>
      <c r="AG268" s="23">
        <v>23674.510000000002</v>
      </c>
      <c r="AH268"/>
    </row>
    <row r="269" spans="9:40">
      <c r="P269" s="108">
        <v>-13.566666666666668</v>
      </c>
      <c r="Q269" s="7" t="s">
        <v>488</v>
      </c>
      <c r="T269" s="116" t="s">
        <v>564</v>
      </c>
      <c r="U269" s="23">
        <v>493.15</v>
      </c>
      <c r="V269"/>
      <c r="Z269" s="116" t="s">
        <v>476</v>
      </c>
      <c r="AA269" s="23">
        <v>-1881.06</v>
      </c>
      <c r="AB269"/>
      <c r="AF269" s="114" t="s">
        <v>565</v>
      </c>
      <c r="AG269" s="23">
        <v>1400</v>
      </c>
      <c r="AH269"/>
      <c r="AL269" s="113" t="s">
        <v>678</v>
      </c>
      <c r="AM269" t="s">
        <v>705</v>
      </c>
      <c r="AN269"/>
    </row>
    <row r="270" spans="9:40">
      <c r="P270" s="108">
        <v>1000</v>
      </c>
      <c r="Q270" s="7" t="s">
        <v>488</v>
      </c>
      <c r="T270" s="116" t="s">
        <v>563</v>
      </c>
      <c r="U270" s="23">
        <v>3055.82</v>
      </c>
      <c r="V270"/>
      <c r="Z270" s="116" t="s">
        <v>549</v>
      </c>
      <c r="AA270" s="23">
        <v>2685.6</v>
      </c>
      <c r="AB270"/>
      <c r="AF270" s="114" t="s">
        <v>564</v>
      </c>
      <c r="AG270" s="23">
        <v>1293.1500000000001</v>
      </c>
      <c r="AH270"/>
      <c r="AL270" s="114">
        <v>0</v>
      </c>
      <c r="AM270" s="23">
        <v>0</v>
      </c>
      <c r="AN270"/>
    </row>
    <row r="271" spans="9:40">
      <c r="P271" s="108">
        <v>94.066666666666663</v>
      </c>
      <c r="Q271" s="7" t="s">
        <v>477</v>
      </c>
      <c r="T271" s="116" t="s">
        <v>567</v>
      </c>
      <c r="U271" s="23">
        <v>14000</v>
      </c>
      <c r="V271"/>
      <c r="Z271" s="116" t="s">
        <v>474</v>
      </c>
      <c r="AA271" s="23">
        <v>4385.99</v>
      </c>
      <c r="AB271"/>
      <c r="AF271" s="114" t="s">
        <v>563</v>
      </c>
      <c r="AG271" s="23">
        <v>-97.18</v>
      </c>
      <c r="AH271"/>
      <c r="AL271" s="114" t="s">
        <v>541</v>
      </c>
      <c r="AM271" s="23">
        <v>182.46</v>
      </c>
      <c r="AN271" s="23">
        <v>30.41</v>
      </c>
    </row>
    <row r="272" spans="9:40">
      <c r="P272" s="108">
        <v>10375.096666666666</v>
      </c>
      <c r="Q272" s="7" t="s">
        <v>477</v>
      </c>
      <c r="T272" s="116" t="s">
        <v>554</v>
      </c>
      <c r="U272" s="23">
        <v>47450.17</v>
      </c>
      <c r="V272"/>
      <c r="Z272" s="116" t="s">
        <v>488</v>
      </c>
      <c r="AA272" s="23">
        <v>31583.009999999995</v>
      </c>
      <c r="AB272"/>
      <c r="AF272" s="114" t="s">
        <v>567</v>
      </c>
      <c r="AG272" s="23">
        <v>14000</v>
      </c>
      <c r="AH272"/>
      <c r="AL272" s="114" t="s">
        <v>6</v>
      </c>
      <c r="AM272" s="23">
        <v>29384.66</v>
      </c>
      <c r="AN272" s="23">
        <v>4897.4433333333336</v>
      </c>
    </row>
    <row r="273" spans="16:40">
      <c r="P273" s="108">
        <v>905.5866666666667</v>
      </c>
      <c r="Q273" s="7" t="s">
        <v>477</v>
      </c>
      <c r="T273" s="116" t="s">
        <v>540</v>
      </c>
      <c r="U273" s="23">
        <v>5918.8</v>
      </c>
      <c r="Z273" s="116" t="s">
        <v>466</v>
      </c>
      <c r="AA273" s="23">
        <v>27716.09</v>
      </c>
      <c r="AB273"/>
      <c r="AF273" s="114" t="s">
        <v>554</v>
      </c>
      <c r="AG273" s="23">
        <v>43008.2</v>
      </c>
      <c r="AL273" s="114" t="s">
        <v>551</v>
      </c>
      <c r="AM273" s="23">
        <v>349371.41000000003</v>
      </c>
      <c r="AN273" s="23">
        <v>58228.568333333336</v>
      </c>
    </row>
    <row r="274" spans="16:40">
      <c r="P274" s="108">
        <v>7875.4333333333334</v>
      </c>
      <c r="Q274" s="7" t="s">
        <v>546</v>
      </c>
      <c r="T274" s="116" t="s">
        <v>489</v>
      </c>
      <c r="U274" s="23">
        <v>10482.16</v>
      </c>
      <c r="Z274" s="116" t="s">
        <v>565</v>
      </c>
      <c r="AA274" s="23">
        <v>4800</v>
      </c>
      <c r="AB274"/>
      <c r="AF274" s="114" t="s">
        <v>540</v>
      </c>
      <c r="AG274" s="23">
        <v>5077.9399999999996</v>
      </c>
      <c r="AL274" s="114" t="s">
        <v>550</v>
      </c>
      <c r="AM274" s="23">
        <v>1119232.9699999997</v>
      </c>
      <c r="AN274" s="23">
        <v>186538.82833333328</v>
      </c>
    </row>
    <row r="275" spans="16:40">
      <c r="P275" s="108">
        <v>4030.3633333333332</v>
      </c>
      <c r="Q275" s="7" t="s">
        <v>476</v>
      </c>
      <c r="T275" s="116" t="s">
        <v>534</v>
      </c>
      <c r="U275" s="23">
        <v>10000</v>
      </c>
      <c r="Z275" s="116" t="s">
        <v>564</v>
      </c>
      <c r="AA275" s="23">
        <v>509.59</v>
      </c>
      <c r="AB275"/>
      <c r="AF275" s="114" t="s">
        <v>489</v>
      </c>
      <c r="AG275" s="23">
        <v>5542.5599999999995</v>
      </c>
      <c r="AL275" s="114" t="s">
        <v>477</v>
      </c>
      <c r="AM275" s="23">
        <v>46243.21</v>
      </c>
      <c r="AN275" s="23">
        <v>7707.2016666666668</v>
      </c>
    </row>
    <row r="276" spans="16:40">
      <c r="P276" s="108">
        <v>4050.06</v>
      </c>
      <c r="Q276" s="7" t="s">
        <v>548</v>
      </c>
      <c r="T276" s="116" t="s">
        <v>553</v>
      </c>
      <c r="U276" s="23">
        <v>-7698.72</v>
      </c>
      <c r="Z276" s="116" t="s">
        <v>563</v>
      </c>
      <c r="AA276" s="23">
        <v>2362.85</v>
      </c>
      <c r="AB276"/>
      <c r="AF276" s="114" t="s">
        <v>534</v>
      </c>
      <c r="AG276" s="23">
        <v>10000</v>
      </c>
      <c r="AL276" s="114" t="s">
        <v>465</v>
      </c>
      <c r="AM276" s="23">
        <v>16784.38</v>
      </c>
      <c r="AN276" s="23">
        <v>2797.396666666667</v>
      </c>
    </row>
    <row r="277" spans="16:40">
      <c r="P277" s="108">
        <v>166.66666666666666</v>
      </c>
      <c r="Q277" s="7" t="s">
        <v>488</v>
      </c>
      <c r="T277" s="116" t="s">
        <v>548</v>
      </c>
      <c r="U277" s="23">
        <v>3367.54</v>
      </c>
      <c r="Z277" s="116" t="s">
        <v>567</v>
      </c>
      <c r="AA277" s="23">
        <v>14000</v>
      </c>
      <c r="AB277"/>
      <c r="AF277" s="114" t="s">
        <v>553</v>
      </c>
      <c r="AG277" s="23">
        <v>-8282.4599999999991</v>
      </c>
      <c r="AL277" s="114" t="s">
        <v>497</v>
      </c>
      <c r="AM277" s="23">
        <v>67720</v>
      </c>
      <c r="AN277" s="23">
        <v>11286.666666666666</v>
      </c>
    </row>
    <row r="278" spans="16:40">
      <c r="P278" s="108">
        <v>81.333333333333329</v>
      </c>
      <c r="Q278" s="7" t="s">
        <v>540</v>
      </c>
      <c r="T278" s="116" t="s">
        <v>545</v>
      </c>
      <c r="U278" s="23">
        <v>1428.43</v>
      </c>
      <c r="Z278" s="116" t="s">
        <v>554</v>
      </c>
      <c r="AA278" s="23">
        <v>-730.57</v>
      </c>
      <c r="AF278" s="114" t="s">
        <v>548</v>
      </c>
      <c r="AG278" s="23">
        <v>6929.3</v>
      </c>
      <c r="AL278" s="114" t="s">
        <v>476</v>
      </c>
      <c r="AM278" s="23">
        <v>15961.36</v>
      </c>
      <c r="AN278" s="23">
        <v>2660.2266666666669</v>
      </c>
    </row>
    <row r="279" spans="16:40">
      <c r="P279" s="108">
        <v>821.88</v>
      </c>
      <c r="Q279" s="7" t="s">
        <v>540</v>
      </c>
      <c r="T279" s="116" t="s">
        <v>472</v>
      </c>
      <c r="U279" s="23">
        <v>15656.62</v>
      </c>
      <c r="Z279" s="116" t="s">
        <v>540</v>
      </c>
      <c r="AA279" s="23">
        <v>4857.6100000000006</v>
      </c>
      <c r="AF279" s="114" t="s">
        <v>545</v>
      </c>
      <c r="AG279" s="23">
        <v>10003.35</v>
      </c>
      <c r="AL279" s="114" t="s">
        <v>549</v>
      </c>
      <c r="AM279" s="23">
        <v>17621.87</v>
      </c>
      <c r="AN279" s="23">
        <v>2936.978333333333</v>
      </c>
    </row>
    <row r="280" spans="16:40">
      <c r="P280" s="108">
        <v>2747.646666666667</v>
      </c>
      <c r="Q280" s="7" t="s">
        <v>540</v>
      </c>
      <c r="T280" s="116" t="s">
        <v>544</v>
      </c>
      <c r="U280" s="23">
        <v>286037.28999999998</v>
      </c>
      <c r="Z280" s="116" t="s">
        <v>489</v>
      </c>
      <c r="AA280" s="23">
        <v>13101.83</v>
      </c>
      <c r="AF280" s="114" t="s">
        <v>472</v>
      </c>
      <c r="AG280" s="23">
        <v>25.46</v>
      </c>
      <c r="AL280" s="114" t="s">
        <v>474</v>
      </c>
      <c r="AM280" s="23">
        <v>42194.219999999994</v>
      </c>
      <c r="AN280" s="23">
        <v>7032.369999999999</v>
      </c>
    </row>
    <row r="281" spans="16:40">
      <c r="P281" s="108">
        <v>220</v>
      </c>
      <c r="Q281" s="7" t="s">
        <v>540</v>
      </c>
      <c r="T281" s="116" t="s">
        <v>547</v>
      </c>
      <c r="U281" s="23">
        <v>15364.6</v>
      </c>
      <c r="Z281" s="116" t="s">
        <v>534</v>
      </c>
      <c r="AA281" s="23">
        <v>-132.88999999999999</v>
      </c>
      <c r="AF281" s="114" t="s">
        <v>544</v>
      </c>
      <c r="AG281" s="23">
        <v>261867.41</v>
      </c>
      <c r="AL281" s="114" t="s">
        <v>488</v>
      </c>
      <c r="AM281" s="23">
        <v>93249.97</v>
      </c>
      <c r="AN281" s="23">
        <v>15541.661666666667</v>
      </c>
    </row>
    <row r="282" spans="16:40">
      <c r="P282" s="108">
        <v>277.14</v>
      </c>
      <c r="Q282" s="7" t="s">
        <v>474</v>
      </c>
      <c r="T282" s="116" t="s">
        <v>546</v>
      </c>
      <c r="U282" s="23">
        <v>6576.93</v>
      </c>
      <c r="Z282" s="116" t="s">
        <v>553</v>
      </c>
      <c r="AA282" s="23">
        <v>-27088.52</v>
      </c>
      <c r="AF282" s="114" t="s">
        <v>547</v>
      </c>
      <c r="AG282" s="23">
        <v>0</v>
      </c>
      <c r="AL282" s="114" t="s">
        <v>466</v>
      </c>
      <c r="AM282" s="23">
        <v>72086.429999999993</v>
      </c>
      <c r="AN282" s="23">
        <v>12014.404999999999</v>
      </c>
    </row>
    <row r="283" spans="16:40">
      <c r="P283" s="108">
        <v>1800.8133333333333</v>
      </c>
      <c r="Q283" s="7" t="s">
        <v>474</v>
      </c>
      <c r="T283" s="116" t="s">
        <v>704</v>
      </c>
      <c r="U283" s="23">
        <v>0</v>
      </c>
      <c r="Z283" s="116" t="s">
        <v>548</v>
      </c>
      <c r="AA283" s="23">
        <v>10685.37</v>
      </c>
      <c r="AF283" s="114" t="s">
        <v>546</v>
      </c>
      <c r="AG283" s="23">
        <v>8076.5</v>
      </c>
      <c r="AL283" s="114" t="s">
        <v>565</v>
      </c>
      <c r="AM283" s="23">
        <v>38967.9</v>
      </c>
      <c r="AN283" s="23">
        <v>6494.6500000000005</v>
      </c>
    </row>
    <row r="284" spans="16:40">
      <c r="P284" s="108">
        <v>887.27666666666664</v>
      </c>
      <c r="Q284" s="7" t="s">
        <v>474</v>
      </c>
      <c r="T284" s="116" t="s">
        <v>679</v>
      </c>
      <c r="U284" s="23">
        <v>723126.6</v>
      </c>
      <c r="Z284" s="116" t="s">
        <v>545</v>
      </c>
      <c r="AA284" s="23">
        <v>9584.7199999999993</v>
      </c>
      <c r="AF284" s="114" t="s">
        <v>679</v>
      </c>
      <c r="AG284" s="23">
        <v>768177.09000000008</v>
      </c>
      <c r="AL284" s="114" t="s">
        <v>564</v>
      </c>
      <c r="AM284" s="23">
        <v>-2747.66</v>
      </c>
      <c r="AN284" s="23">
        <v>-457.94333333333333</v>
      </c>
    </row>
    <row r="285" spans="16:40">
      <c r="P285" s="108">
        <v>303.43</v>
      </c>
      <c r="Q285" s="7" t="s">
        <v>474</v>
      </c>
      <c r="T285" s="28"/>
      <c r="U285" s="28"/>
      <c r="Z285" s="116" t="s">
        <v>472</v>
      </c>
      <c r="AA285" s="23">
        <v>3016.13</v>
      </c>
      <c r="AL285" s="114" t="s">
        <v>563</v>
      </c>
      <c r="AM285" s="23">
        <v>9462.9599999999991</v>
      </c>
      <c r="AN285" s="23">
        <v>1577.1599999999999</v>
      </c>
    </row>
    <row r="286" spans="16:40">
      <c r="P286" s="108">
        <v>66.320000000000007</v>
      </c>
      <c r="Q286" s="7" t="s">
        <v>474</v>
      </c>
      <c r="Z286" s="116" t="s">
        <v>544</v>
      </c>
      <c r="AA286" s="23">
        <v>269706.52</v>
      </c>
      <c r="AL286" s="114" t="s">
        <v>567</v>
      </c>
      <c r="AM286" s="23">
        <v>86500</v>
      </c>
      <c r="AN286" s="23">
        <v>14416.666666666666</v>
      </c>
    </row>
    <row r="287" spans="16:40">
      <c r="P287" s="108">
        <v>263.89</v>
      </c>
      <c r="Q287" s="7" t="s">
        <v>474</v>
      </c>
      <c r="Z287" s="116" t="s">
        <v>547</v>
      </c>
      <c r="AA287" s="23">
        <v>2115.81</v>
      </c>
      <c r="AL287" s="114" t="s">
        <v>566</v>
      </c>
      <c r="AM287" s="23">
        <v>5000</v>
      </c>
      <c r="AN287" s="23">
        <v>833.33333333333337</v>
      </c>
    </row>
    <row r="288" spans="16:40">
      <c r="P288" s="108">
        <v>214</v>
      </c>
      <c r="Q288" s="7" t="s">
        <v>474</v>
      </c>
      <c r="Z288" s="116" t="s">
        <v>546</v>
      </c>
      <c r="AA288" s="23">
        <v>5606.71</v>
      </c>
      <c r="AL288" s="114" t="s">
        <v>554</v>
      </c>
      <c r="AM288" s="23">
        <v>189102.49999999997</v>
      </c>
      <c r="AN288" s="23">
        <v>31517.083333333328</v>
      </c>
    </row>
    <row r="289" spans="16:40">
      <c r="P289" s="108">
        <v>7174.5033333333331</v>
      </c>
      <c r="Q289" s="7" t="s">
        <v>550</v>
      </c>
      <c r="Z289" s="116" t="s">
        <v>679</v>
      </c>
      <c r="AA289" s="23">
        <v>688757.67</v>
      </c>
      <c r="AL289" s="114" t="s">
        <v>540</v>
      </c>
      <c r="AM289" s="23">
        <v>31530.680000000004</v>
      </c>
      <c r="AN289" s="23">
        <v>5255.1133333333337</v>
      </c>
    </row>
    <row r="290" spans="16:40">
      <c r="P290" s="108">
        <v>2819.22</v>
      </c>
      <c r="Q290" s="7" t="s">
        <v>550</v>
      </c>
      <c r="AL290" s="114" t="s">
        <v>489</v>
      </c>
      <c r="AM290" s="23">
        <v>55343.03</v>
      </c>
      <c r="AN290" s="23">
        <v>9223.8383333333331</v>
      </c>
    </row>
    <row r="291" spans="16:40">
      <c r="P291" s="108">
        <v>1268.6600000000001</v>
      </c>
      <c r="Q291" s="7" t="s">
        <v>550</v>
      </c>
      <c r="AL291" s="114" t="s">
        <v>534</v>
      </c>
      <c r="AM291" s="23">
        <v>49867.11</v>
      </c>
      <c r="AN291" s="23">
        <v>8311.1849999999995</v>
      </c>
    </row>
    <row r="292" spans="16:40">
      <c r="P292" s="108">
        <v>1917.0733333333335</v>
      </c>
      <c r="Q292" s="7" t="s">
        <v>550</v>
      </c>
      <c r="AL292" s="114" t="s">
        <v>553</v>
      </c>
      <c r="AM292" s="23">
        <v>-98826.82</v>
      </c>
      <c r="AN292" s="23">
        <v>-16471.136666666669</v>
      </c>
    </row>
    <row r="293" spans="16:40">
      <c r="P293" s="108">
        <v>278.08333333333331</v>
      </c>
      <c r="Q293" s="7" t="s">
        <v>550</v>
      </c>
      <c r="AL293" s="114" t="s">
        <v>548</v>
      </c>
      <c r="AM293" s="23">
        <v>33132.39</v>
      </c>
      <c r="AN293" s="23">
        <v>5522.0649999999996</v>
      </c>
    </row>
    <row r="294" spans="16:40">
      <c r="P294" s="108">
        <v>7500</v>
      </c>
      <c r="Q294" s="7" t="s">
        <v>550</v>
      </c>
      <c r="AL294" s="114" t="s">
        <v>545</v>
      </c>
      <c r="AM294" s="23">
        <v>57292.83</v>
      </c>
      <c r="AN294" s="23">
        <v>9548.8050000000003</v>
      </c>
    </row>
    <row r="295" spans="16:40">
      <c r="P295" s="108">
        <v>4358.25</v>
      </c>
      <c r="Q295" s="7" t="s">
        <v>550</v>
      </c>
      <c r="AL295" s="114" t="s">
        <v>472</v>
      </c>
      <c r="AM295" s="23">
        <v>21904.25</v>
      </c>
      <c r="AN295" s="23">
        <v>3650.7083333333335</v>
      </c>
    </row>
    <row r="296" spans="16:40">
      <c r="P296" s="108">
        <v>3333.3333333333335</v>
      </c>
      <c r="Q296" s="7" t="s">
        <v>550</v>
      </c>
      <c r="AL296" s="114" t="s">
        <v>544</v>
      </c>
      <c r="AM296" s="23">
        <v>1664313.84</v>
      </c>
      <c r="AN296" s="23">
        <v>277385.64</v>
      </c>
    </row>
    <row r="297" spans="16:40">
      <c r="P297" s="108">
        <v>205.64666666666668</v>
      </c>
      <c r="Q297" s="7" t="s">
        <v>550</v>
      </c>
      <c r="AL297" s="114" t="s">
        <v>547</v>
      </c>
      <c r="AM297" s="23">
        <v>17500.41</v>
      </c>
      <c r="AN297" s="23">
        <v>2916.7350000000001</v>
      </c>
    </row>
    <row r="298" spans="16:40">
      <c r="P298" s="108">
        <v>282221.79666666669</v>
      </c>
      <c r="Q298" s="7" t="s">
        <v>544</v>
      </c>
      <c r="AL298" s="114" t="s">
        <v>546</v>
      </c>
      <c r="AM298" s="23">
        <v>43886.44</v>
      </c>
      <c r="AN298" s="23">
        <v>7314.4066666666668</v>
      </c>
    </row>
    <row r="299" spans="16:40">
      <c r="P299" s="108">
        <v>12020.470000000001</v>
      </c>
      <c r="Q299" s="7" t="s">
        <v>550</v>
      </c>
      <c r="AL299" s="114" t="s">
        <v>679</v>
      </c>
      <c r="AM299" s="23">
        <v>4072262.8000000003</v>
      </c>
      <c r="AN299" s="23">
        <v>678710.46666666667</v>
      </c>
    </row>
    <row r="300" spans="16:40">
      <c r="P300" s="108">
        <v>2092.11</v>
      </c>
      <c r="Q300" s="7" t="s">
        <v>545</v>
      </c>
    </row>
    <row r="301" spans="16:40">
      <c r="P301" s="108">
        <v>6666.666666666667</v>
      </c>
      <c r="Q301" s="7" t="s">
        <v>545</v>
      </c>
    </row>
    <row r="302" spans="16:40">
      <c r="P302" s="108">
        <v>2414.66</v>
      </c>
      <c r="Q302" s="7" t="s">
        <v>550</v>
      </c>
    </row>
    <row r="303" spans="16:40">
      <c r="P303" s="108">
        <v>6199.5</v>
      </c>
      <c r="Q303" s="7" t="s">
        <v>550</v>
      </c>
    </row>
    <row r="304" spans="16:40">
      <c r="P304" s="108">
        <v>458.33333333333331</v>
      </c>
      <c r="Q304" s="7" t="s">
        <v>550</v>
      </c>
    </row>
    <row r="305" spans="16:17">
      <c r="P305" s="108">
        <v>226.60666666666668</v>
      </c>
      <c r="Q305" s="7" t="s">
        <v>550</v>
      </c>
    </row>
    <row r="306" spans="16:17">
      <c r="P306" s="108">
        <v>3512.7133333333331</v>
      </c>
      <c r="Q306" s="7" t="s">
        <v>550</v>
      </c>
    </row>
    <row r="307" spans="16:17">
      <c r="P307" s="108">
        <v>167.42</v>
      </c>
      <c r="Q307" s="7" t="s">
        <v>550</v>
      </c>
    </row>
    <row r="308" spans="16:17">
      <c r="P308" s="108">
        <v>95151.146666666667</v>
      </c>
      <c r="Q308" s="7" t="s">
        <v>550</v>
      </c>
    </row>
    <row r="309" spans="16:17">
      <c r="P309" s="108">
        <v>24140.146666666667</v>
      </c>
      <c r="Q309" s="7" t="s">
        <v>550</v>
      </c>
    </row>
    <row r="310" spans="16:17">
      <c r="P310" s="108">
        <v>8536.4466666666667</v>
      </c>
      <c r="Q310" s="7" t="s">
        <v>550</v>
      </c>
    </row>
    <row r="311" spans="16:17">
      <c r="P311" s="108">
        <v>6010.2333333333336</v>
      </c>
      <c r="Q311" s="7" t="s">
        <v>550</v>
      </c>
    </row>
    <row r="312" spans="16:17">
      <c r="P312" s="108">
        <v>1046.0533333333333</v>
      </c>
      <c r="Q312" s="7" t="s">
        <v>550</v>
      </c>
    </row>
    <row r="313" spans="16:17">
      <c r="P313" s="108">
        <v>3333.3333333333335</v>
      </c>
      <c r="Q313" s="7" t="s">
        <v>545</v>
      </c>
    </row>
    <row r="314" spans="16:17">
      <c r="P314" s="108">
        <v>1756.3566666666666</v>
      </c>
      <c r="Q314" s="7" t="s">
        <v>550</v>
      </c>
    </row>
    <row r="315" spans="16:17">
      <c r="P315" s="108">
        <v>1666.6666666666667</v>
      </c>
      <c r="Q315" s="7" t="s">
        <v>550</v>
      </c>
    </row>
    <row r="316" spans="16:17">
      <c r="P316" s="108">
        <v>-9011.0133333333342</v>
      </c>
      <c r="Q316" s="7" t="s">
        <v>553</v>
      </c>
    </row>
    <row r="317" spans="16:17">
      <c r="P317" s="108">
        <v>452.09333333333331</v>
      </c>
      <c r="Q317" s="7" t="s">
        <v>474</v>
      </c>
    </row>
    <row r="318" spans="16:17">
      <c r="P318" s="108">
        <v>0.14666666666666667</v>
      </c>
      <c r="Q318" s="7" t="s">
        <v>474</v>
      </c>
    </row>
    <row r="319" spans="16:17">
      <c r="P319" s="108">
        <v>35</v>
      </c>
      <c r="Q319" s="7" t="s">
        <v>474</v>
      </c>
    </row>
    <row r="320" spans="16:17">
      <c r="P320" s="108">
        <v>733.72666666666657</v>
      </c>
      <c r="Q320" s="7" t="s">
        <v>474</v>
      </c>
    </row>
    <row r="321" spans="16:17">
      <c r="P321" s="108">
        <v>110.44</v>
      </c>
      <c r="Q321" s="7" t="s">
        <v>474</v>
      </c>
    </row>
    <row r="322" spans="16:17">
      <c r="P322" s="108">
        <v>59.146666666666668</v>
      </c>
      <c r="Q322" s="7" t="s">
        <v>474</v>
      </c>
    </row>
    <row r="323" spans="16:17">
      <c r="P323" s="108">
        <v>177.28</v>
      </c>
      <c r="Q323" s="7" t="s">
        <v>474</v>
      </c>
    </row>
    <row r="324" spans="16:17">
      <c r="P324" s="108">
        <v>109.32666666666667</v>
      </c>
      <c r="Q324" s="7" t="s">
        <v>474</v>
      </c>
    </row>
    <row r="325" spans="16:17">
      <c r="P325" s="108">
        <v>50.66</v>
      </c>
      <c r="Q325" s="7" t="s">
        <v>474</v>
      </c>
    </row>
    <row r="326" spans="16:17">
      <c r="P326" s="108">
        <v>513.0866666666667</v>
      </c>
      <c r="Q326" s="7" t="s">
        <v>474</v>
      </c>
    </row>
    <row r="327" spans="16:17">
      <c r="P327" s="108">
        <v>86.766666666666666</v>
      </c>
      <c r="Q327" s="7" t="s">
        <v>474</v>
      </c>
    </row>
    <row r="328" spans="16:17">
      <c r="P328" s="108">
        <v>103.00999999999999</v>
      </c>
      <c r="Q328" s="7" t="s">
        <v>474</v>
      </c>
    </row>
    <row r="329" spans="16:17">
      <c r="P329" s="108">
        <v>500</v>
      </c>
      <c r="Q329" s="7" t="s">
        <v>474</v>
      </c>
    </row>
    <row r="330" spans="16:17">
      <c r="P330" s="108">
        <v>19.166666666666668</v>
      </c>
      <c r="Q330" s="7" t="s">
        <v>488</v>
      </c>
    </row>
    <row r="331" spans="16:17">
      <c r="P331" s="108">
        <v>1637.3833333333332</v>
      </c>
      <c r="Q331" s="7" t="s">
        <v>497</v>
      </c>
    </row>
    <row r="332" spans="16:17">
      <c r="P332" s="108">
        <v>9408.5733333333337</v>
      </c>
      <c r="Q332" s="7" t="s">
        <v>497</v>
      </c>
    </row>
    <row r="333" spans="16:17">
      <c r="P333" s="108">
        <v>10000</v>
      </c>
      <c r="Q333" s="7" t="s">
        <v>534</v>
      </c>
    </row>
    <row r="334" spans="16:17">
      <c r="P334" s="108">
        <v>-17000</v>
      </c>
      <c r="Q334" s="7" t="s">
        <v>553</v>
      </c>
    </row>
    <row r="337" spans="15:17">
      <c r="O337" s="113" t="s">
        <v>678</v>
      </c>
      <c r="P337" t="s">
        <v>681</v>
      </c>
      <c r="Q337"/>
    </row>
    <row r="338" spans="15:17">
      <c r="O338" s="114" t="s">
        <v>541</v>
      </c>
      <c r="P338" s="23">
        <v>1420.1433333333332</v>
      </c>
      <c r="Q338"/>
    </row>
    <row r="339" spans="15:17">
      <c r="O339" s="114" t="s">
        <v>6</v>
      </c>
      <c r="P339" s="23">
        <v>4279.6900000000005</v>
      </c>
      <c r="Q339"/>
    </row>
    <row r="340" spans="15:17">
      <c r="O340" s="114" t="s">
        <v>551</v>
      </c>
      <c r="P340" s="23">
        <v>37672.793333333335</v>
      </c>
      <c r="Q340"/>
    </row>
    <row r="341" spans="15:17">
      <c r="O341" s="114" t="s">
        <v>550</v>
      </c>
      <c r="P341" s="23">
        <v>192161.52333333332</v>
      </c>
      <c r="Q341"/>
    </row>
    <row r="342" spans="15:17">
      <c r="O342" s="114" t="s">
        <v>477</v>
      </c>
      <c r="P342" s="23">
        <v>11559.986666666666</v>
      </c>
      <c r="Q342"/>
    </row>
    <row r="343" spans="15:17">
      <c r="O343" s="114" t="s">
        <v>465</v>
      </c>
      <c r="P343" s="23">
        <v>2311.1066666666666</v>
      </c>
      <c r="Q343"/>
    </row>
    <row r="344" spans="15:17">
      <c r="O344" s="114" t="s">
        <v>497</v>
      </c>
      <c r="P344" s="23">
        <v>11045.956666666667</v>
      </c>
      <c r="Q344"/>
    </row>
    <row r="345" spans="15:17">
      <c r="O345" s="114" t="s">
        <v>476</v>
      </c>
      <c r="P345" s="23">
        <v>4030.3633333333332</v>
      </c>
      <c r="Q345"/>
    </row>
    <row r="346" spans="15:17">
      <c r="O346" s="114" t="s">
        <v>549</v>
      </c>
      <c r="P346" s="23">
        <v>493.33333333333331</v>
      </c>
      <c r="Q346"/>
    </row>
    <row r="347" spans="15:17">
      <c r="O347" s="114" t="s">
        <v>474</v>
      </c>
      <c r="P347" s="23">
        <v>6743.5533333333324</v>
      </c>
      <c r="Q347"/>
    </row>
    <row r="348" spans="15:17">
      <c r="O348" s="114" t="s">
        <v>488</v>
      </c>
      <c r="P348" s="23">
        <v>11245.42333333333</v>
      </c>
      <c r="Q348"/>
    </row>
    <row r="349" spans="15:17">
      <c r="O349" s="114" t="s">
        <v>466</v>
      </c>
      <c r="P349" s="23">
        <v>5827.4933333333338</v>
      </c>
      <c r="Q349"/>
    </row>
    <row r="350" spans="15:17">
      <c r="O350" s="114" t="s">
        <v>565</v>
      </c>
      <c r="P350" s="23">
        <v>6596.666666666667</v>
      </c>
      <c r="Q350"/>
    </row>
    <row r="351" spans="15:17">
      <c r="O351" s="114" t="s">
        <v>564</v>
      </c>
      <c r="P351" s="23">
        <v>-1681.1833333333334</v>
      </c>
      <c r="Q351"/>
    </row>
    <row r="352" spans="15:17">
      <c r="O352" s="114" t="s">
        <v>563</v>
      </c>
      <c r="P352" s="23">
        <v>1380.49</v>
      </c>
      <c r="Q352"/>
    </row>
    <row r="353" spans="15:17">
      <c r="O353" s="114" t="s">
        <v>567</v>
      </c>
      <c r="P353" s="23">
        <v>14833.333333333334</v>
      </c>
      <c r="Q353"/>
    </row>
    <row r="354" spans="15:17">
      <c r="O354" s="114" t="s">
        <v>566</v>
      </c>
      <c r="P354" s="23">
        <v>3000</v>
      </c>
      <c r="Q354"/>
    </row>
    <row r="355" spans="15:17">
      <c r="O355" s="114" t="s">
        <v>554</v>
      </c>
      <c r="P355" s="23">
        <v>33124.9</v>
      </c>
    </row>
    <row r="356" spans="15:17">
      <c r="O356" s="114" t="s">
        <v>540</v>
      </c>
      <c r="P356" s="23">
        <v>4708.6100000000006</v>
      </c>
    </row>
    <row r="357" spans="15:17">
      <c r="O357" s="114" t="s">
        <v>489</v>
      </c>
      <c r="P357" s="23">
        <v>6014.17</v>
      </c>
    </row>
    <row r="358" spans="15:17">
      <c r="O358" s="114" t="s">
        <v>534</v>
      </c>
      <c r="P358" s="23">
        <v>10000</v>
      </c>
    </row>
    <row r="359" spans="15:17">
      <c r="O359" s="114" t="s">
        <v>553</v>
      </c>
      <c r="P359" s="23">
        <v>-26011.013333333336</v>
      </c>
    </row>
    <row r="360" spans="15:17">
      <c r="O360" s="114" t="s">
        <v>548</v>
      </c>
      <c r="P360" s="23">
        <v>4050.06</v>
      </c>
    </row>
    <row r="361" spans="15:17">
      <c r="O361" s="114" t="s">
        <v>545</v>
      </c>
      <c r="P361" s="23">
        <v>12092.11</v>
      </c>
    </row>
    <row r="362" spans="15:17">
      <c r="O362" s="114" t="s">
        <v>472</v>
      </c>
      <c r="P362" s="23">
        <v>1068.68</v>
      </c>
    </row>
    <row r="363" spans="15:17">
      <c r="O363" s="114" t="s">
        <v>544</v>
      </c>
      <c r="P363" s="23">
        <v>282221.79666666669</v>
      </c>
    </row>
    <row r="364" spans="15:17">
      <c r="O364" s="114" t="s">
        <v>547</v>
      </c>
      <c r="P364" s="23">
        <v>5006.666666666667</v>
      </c>
    </row>
    <row r="365" spans="15:17">
      <c r="O365" s="114" t="s">
        <v>546</v>
      </c>
      <c r="P365" s="23">
        <v>7875.4333333333334</v>
      </c>
    </row>
    <row r="366" spans="15:17">
      <c r="O366" s="114" t="s">
        <v>679</v>
      </c>
      <c r="P366" s="23">
        <v>653072.08666666655</v>
      </c>
    </row>
  </sheetData>
  <autoFilter ref="B4:D169"/>
  <pageMargins left="0.7" right="0.7" top="0.75" bottom="0.75" header="0.3" footer="0.3"/>
  <pageSetup paperSize="9" orientation="portrait" r:id="rId6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BF47"/>
  <sheetViews>
    <sheetView showGridLines="0" zoomScale="80" zoomScaleNormal="80" workbookViewId="0">
      <pane xSplit="2" topLeftCell="AD1" activePane="topRight" state="frozen"/>
      <selection activeCell="F132" activeCellId="1" sqref="AF109 F132"/>
      <selection pane="topRight" activeCell="C41" sqref="C41"/>
    </sheetView>
  </sheetViews>
  <sheetFormatPr defaultColWidth="11.42578125" defaultRowHeight="15"/>
  <cols>
    <col min="2" max="2" width="32.42578125" bestFit="1" customWidth="1"/>
    <col min="3" max="3" width="12.42578125" bestFit="1" customWidth="1"/>
    <col min="4" max="5" width="11.42578125" customWidth="1"/>
    <col min="6" max="6" width="4.42578125" customWidth="1"/>
    <col min="7" max="9" width="11.42578125" customWidth="1"/>
    <col min="10" max="10" width="4.42578125" customWidth="1"/>
    <col min="11" max="13" width="11.42578125" customWidth="1"/>
    <col min="14" max="14" width="4.42578125" customWidth="1"/>
    <col min="15" max="17" width="11.42578125" customWidth="1"/>
    <col min="18" max="18" width="4.42578125" customWidth="1"/>
    <col min="19" max="21" width="11.42578125" customWidth="1"/>
    <col min="22" max="22" width="4.42578125" customWidth="1"/>
    <col min="23" max="25" width="11.42578125" customWidth="1"/>
    <col min="26" max="26" width="4.42578125" customWidth="1"/>
    <col min="27" max="29" width="11.42578125" customWidth="1"/>
    <col min="30" max="30" width="4.42578125" customWidth="1"/>
    <col min="31" max="33" width="11.42578125" customWidth="1"/>
    <col min="34" max="34" width="4.42578125" customWidth="1"/>
    <col min="35" max="37" width="11.42578125" customWidth="1"/>
    <col min="38" max="38" width="4.42578125" customWidth="1"/>
    <col min="39" max="41" width="11.42578125" customWidth="1"/>
    <col min="42" max="42" width="4.42578125" customWidth="1"/>
    <col min="43" max="45" width="11.42578125" customWidth="1"/>
    <col min="46" max="46" width="4.42578125" customWidth="1"/>
    <col min="47" max="49" width="11.42578125" customWidth="1"/>
    <col min="50" max="50" width="5.42578125" customWidth="1"/>
    <col min="51" max="51" width="2.42578125" customWidth="1"/>
    <col min="52" max="54" width="12.42578125" customWidth="1"/>
    <col min="55" max="55" width="4.42578125" customWidth="1"/>
    <col min="56" max="58" width="12.42578125" customWidth="1"/>
  </cols>
  <sheetData>
    <row r="1" spans="2:58">
      <c r="B1" s="82" t="s">
        <v>570</v>
      </c>
      <c r="C1" s="83">
        <v>43191</v>
      </c>
    </row>
    <row r="2" spans="2:58" ht="21">
      <c r="B2" s="32" t="s">
        <v>560</v>
      </c>
      <c r="BC2" s="49"/>
    </row>
    <row r="3" spans="2:58" s="86" customFormat="1">
      <c r="C3" s="86" t="str">
        <f>IF(C4&lt;$C$1,"O","")</f>
        <v>O</v>
      </c>
      <c r="D3" s="86" t="str">
        <f>IF(C4&lt;$C$1,"R","")</f>
        <v>R</v>
      </c>
      <c r="E3" s="86" t="str">
        <f>IF(C4&lt;$C$1,"D","")</f>
        <v>D</v>
      </c>
      <c r="G3" s="86" t="str">
        <f>IF(G4&lt;$C$1,"O","")</f>
        <v>O</v>
      </c>
      <c r="H3" s="86" t="str">
        <f>IF(G4&lt;$C$1,"R","")</f>
        <v>R</v>
      </c>
      <c r="I3" s="86" t="str">
        <f>IF(G4&lt;$C$1,"D","")</f>
        <v>D</v>
      </c>
      <c r="K3" s="86" t="str">
        <f>IF(K4&lt;$C$1,"O","")</f>
        <v>O</v>
      </c>
      <c r="L3" s="86" t="str">
        <f>IF(K4&lt;$C$1,"R","")</f>
        <v>R</v>
      </c>
      <c r="M3" s="86" t="str">
        <f>IF(K4&lt;$C$1,"D","")</f>
        <v>D</v>
      </c>
      <c r="O3" s="86" t="str">
        <f>IF(O4&lt;$C$1,"O","")</f>
        <v/>
      </c>
      <c r="P3" s="86" t="str">
        <f>IF(O4&lt;$C$1,"R","")</f>
        <v/>
      </c>
      <c r="Q3" s="86" t="str">
        <f>IF(O4&lt;$C$1,"D","")</f>
        <v/>
      </c>
      <c r="S3" s="86" t="str">
        <f>IF(S4&lt;$C$1,"O","")</f>
        <v/>
      </c>
      <c r="T3" s="86" t="str">
        <f>IF(S4&lt;$C$1,"R","")</f>
        <v/>
      </c>
      <c r="U3" s="86" t="str">
        <f>IF(S4&lt;$C$1,"D","")</f>
        <v/>
      </c>
      <c r="W3" s="86" t="str">
        <f>IF(W4&lt;$C$1,"O","")</f>
        <v/>
      </c>
      <c r="X3" s="86" t="str">
        <f>IF(W4&lt;$C$1,"R","")</f>
        <v/>
      </c>
      <c r="Y3" s="86" t="str">
        <f>IF(W4&lt;$C$1,"D","")</f>
        <v/>
      </c>
      <c r="AA3" s="86" t="str">
        <f>IF(AA4&lt;$C$1,"O","")</f>
        <v/>
      </c>
      <c r="AB3" s="86" t="str">
        <f>IF(AA4&lt;$C$1,"R","")</f>
        <v/>
      </c>
      <c r="AC3" s="86" t="str">
        <f>IF(AA4&lt;$C$1,"D","")</f>
        <v/>
      </c>
      <c r="AE3" s="86" t="str">
        <f>IF(AE4&lt;$C$1,"O","")</f>
        <v/>
      </c>
      <c r="AF3" s="86" t="str">
        <f>IF(AE4&lt;$C$1,"R","")</f>
        <v/>
      </c>
      <c r="AG3" s="86" t="str">
        <f>IF(AE4&lt;$C$1,"D","")</f>
        <v/>
      </c>
      <c r="AI3" s="86" t="str">
        <f>IF(AI4&lt;$C$1,"O","")</f>
        <v/>
      </c>
      <c r="AJ3" s="86" t="str">
        <f>IF(AI4&lt;$C$1,"R","")</f>
        <v/>
      </c>
      <c r="AK3" s="86" t="str">
        <f>IF(AI4&lt;$C$1,"D","")</f>
        <v/>
      </c>
      <c r="AM3" s="86" t="str">
        <f>IF(AM4&lt;$C$1,"O","")</f>
        <v/>
      </c>
      <c r="AN3" s="86" t="str">
        <f>IF(AM4&lt;$C$1,"R","")</f>
        <v/>
      </c>
      <c r="AO3" s="86" t="str">
        <f>IF(AM4&lt;$C$1,"D","")</f>
        <v/>
      </c>
      <c r="AQ3" s="86" t="str">
        <f>IF(AQ4&lt;$C$1,"O","")</f>
        <v/>
      </c>
      <c r="AR3" s="86" t="str">
        <f>IF(AQ4&lt;$C$1,"R","")</f>
        <v/>
      </c>
      <c r="AS3" s="86" t="str">
        <f>IF(AQ4&lt;$C$1,"D","")</f>
        <v/>
      </c>
      <c r="AU3" s="86" t="str">
        <f>IF(AU4&lt;$C$1,"O","")</f>
        <v/>
      </c>
      <c r="AV3" s="86" t="str">
        <f>IF(AU4&lt;$C$1,"R","")</f>
        <v/>
      </c>
      <c r="AW3" s="86" t="str">
        <f>IF(AU4&lt;$C$1,"D","")</f>
        <v/>
      </c>
      <c r="BD3" s="86">
        <v>4</v>
      </c>
    </row>
    <row r="4" spans="2:58">
      <c r="C4" s="209">
        <v>43101</v>
      </c>
      <c r="D4" s="210"/>
      <c r="E4" s="211"/>
      <c r="F4" s="74"/>
      <c r="G4" s="209">
        <v>43132</v>
      </c>
      <c r="H4" s="210"/>
      <c r="I4" s="211"/>
      <c r="J4" s="74"/>
      <c r="K4" s="209">
        <v>43160</v>
      </c>
      <c r="L4" s="210"/>
      <c r="M4" s="211"/>
      <c r="N4" s="74"/>
      <c r="O4" s="209">
        <v>43191</v>
      </c>
      <c r="P4" s="210"/>
      <c r="Q4" s="211"/>
      <c r="R4" s="74"/>
      <c r="S4" s="209">
        <v>43221</v>
      </c>
      <c r="T4" s="210"/>
      <c r="U4" s="211"/>
      <c r="V4" s="74"/>
      <c r="W4" s="209">
        <v>43252</v>
      </c>
      <c r="X4" s="210"/>
      <c r="Y4" s="211"/>
      <c r="Z4" s="74"/>
      <c r="AA4" s="209">
        <v>43282</v>
      </c>
      <c r="AB4" s="210"/>
      <c r="AC4" s="211"/>
      <c r="AD4" s="74"/>
      <c r="AE4" s="209">
        <v>43313</v>
      </c>
      <c r="AF4" s="210"/>
      <c r="AG4" s="211"/>
      <c r="AH4" s="74"/>
      <c r="AI4" s="209">
        <v>43344</v>
      </c>
      <c r="AJ4" s="210"/>
      <c r="AK4" s="211"/>
      <c r="AL4" s="74"/>
      <c r="AM4" s="209">
        <v>43374</v>
      </c>
      <c r="AN4" s="210"/>
      <c r="AO4" s="211"/>
      <c r="AP4" s="74"/>
      <c r="AQ4" s="209">
        <v>43405</v>
      </c>
      <c r="AR4" s="210"/>
      <c r="AS4" s="211"/>
      <c r="AT4" s="74"/>
      <c r="AU4" s="209">
        <v>43435</v>
      </c>
      <c r="AV4" s="210"/>
      <c r="AW4" s="211"/>
      <c r="AX4" s="85"/>
      <c r="AY4" s="74"/>
      <c r="AZ4" s="206" t="s">
        <v>568</v>
      </c>
      <c r="BA4" s="207"/>
      <c r="BB4" s="208"/>
      <c r="BD4" s="206" t="s">
        <v>569</v>
      </c>
      <c r="BE4" s="207"/>
      <c r="BF4" s="208"/>
    </row>
    <row r="5" spans="2:58" s="26" customFormat="1" ht="15.75" thickBot="1">
      <c r="B5" s="26" t="s">
        <v>562</v>
      </c>
      <c r="C5" s="87">
        <f t="shared" ref="C5:AF5" si="0">C45</f>
        <v>167481.51270833335</v>
      </c>
      <c r="D5" s="87">
        <f t="shared" si="0"/>
        <v>639990.16333333333</v>
      </c>
      <c r="E5" s="87">
        <f>D5-C5</f>
        <v>472508.65062500001</v>
      </c>
      <c r="F5" s="87"/>
      <c r="G5" s="87">
        <f>G45</f>
        <v>167481.51270833335</v>
      </c>
      <c r="H5" s="87">
        <f>H45</f>
        <v>639990.16333333333</v>
      </c>
      <c r="I5" s="87">
        <f>H5-G5</f>
        <v>472508.65062500001</v>
      </c>
      <c r="J5" s="87"/>
      <c r="K5" s="87">
        <f>K45</f>
        <v>167481.51270833335</v>
      </c>
      <c r="L5" s="87">
        <f t="shared" si="0"/>
        <v>639990.16333333333</v>
      </c>
      <c r="M5" s="87">
        <f>L5-K5</f>
        <v>472508.65062500001</v>
      </c>
      <c r="N5" s="87"/>
      <c r="O5" s="87">
        <f t="shared" si="0"/>
        <v>167481.51270833335</v>
      </c>
      <c r="P5" s="87">
        <f t="shared" si="0"/>
        <v>647720.18000000005</v>
      </c>
      <c r="Q5" s="87">
        <f>P5-O5</f>
        <v>480238.66729166673</v>
      </c>
      <c r="R5" s="87"/>
      <c r="S5" s="87">
        <f t="shared" si="0"/>
        <v>167481.51270833335</v>
      </c>
      <c r="T5" s="87">
        <f t="shared" si="0"/>
        <v>552917.93000000005</v>
      </c>
      <c r="U5" s="87">
        <f>T5-S5</f>
        <v>385436.41729166673</v>
      </c>
      <c r="V5" s="87"/>
      <c r="W5" s="87">
        <f t="shared" si="0"/>
        <v>167481.51270833335</v>
      </c>
      <c r="X5" s="87">
        <f t="shared" si="0"/>
        <v>747344.92</v>
      </c>
      <c r="Y5" s="87">
        <f>X5-W5</f>
        <v>579863.40729166672</v>
      </c>
      <c r="Z5" s="87"/>
      <c r="AA5" s="87">
        <f t="shared" si="0"/>
        <v>167481.51270833335</v>
      </c>
      <c r="AB5" s="87">
        <f t="shared" si="0"/>
        <v>0</v>
      </c>
      <c r="AC5" s="87">
        <f>AB5-AA5</f>
        <v>-167481.51270833335</v>
      </c>
      <c r="AD5" s="87"/>
      <c r="AE5" s="87">
        <f t="shared" si="0"/>
        <v>167481.51270833335</v>
      </c>
      <c r="AF5" s="87">
        <f t="shared" si="0"/>
        <v>0</v>
      </c>
      <c r="AG5" s="87">
        <f>AF5-AE5</f>
        <v>-167481.51270833335</v>
      </c>
      <c r="AH5" s="87"/>
      <c r="AI5" s="87">
        <f t="shared" ref="AI5:AJ5" si="1">AI45</f>
        <v>167481.51270833335</v>
      </c>
      <c r="AJ5" s="87">
        <f t="shared" si="1"/>
        <v>0</v>
      </c>
      <c r="AK5" s="87">
        <f>AJ5-AI5</f>
        <v>-167481.51270833335</v>
      </c>
      <c r="AL5" s="87"/>
      <c r="AM5" s="87">
        <f t="shared" ref="AM5:AN5" si="2">AM45</f>
        <v>167481.51270833335</v>
      </c>
      <c r="AN5" s="87">
        <f t="shared" si="2"/>
        <v>0</v>
      </c>
      <c r="AO5" s="87">
        <f>AN5-AM5</f>
        <v>-167481.51270833335</v>
      </c>
      <c r="AP5" s="87"/>
      <c r="AQ5" s="87">
        <f t="shared" ref="AQ5:AR5" si="3">AQ45</f>
        <v>167481.51270833335</v>
      </c>
      <c r="AR5" s="87">
        <f t="shared" si="3"/>
        <v>0</v>
      </c>
      <c r="AS5" s="87">
        <f>AR5-AQ5</f>
        <v>-167481.51270833335</v>
      </c>
      <c r="AT5" s="87"/>
      <c r="AU5" s="87">
        <f t="shared" ref="AU5:AV5" si="4">AU45</f>
        <v>167481.51270833335</v>
      </c>
      <c r="AV5" s="87">
        <f t="shared" si="4"/>
        <v>0</v>
      </c>
      <c r="AW5" s="87">
        <f>AV5-AU5</f>
        <v>-167481.51270833335</v>
      </c>
      <c r="AX5" s="87"/>
      <c r="AZ5" s="87">
        <f t="shared" ref="AZ5:AZ6" si="5">SUMIF($C$3:$O$3,"O",C5:O5)</f>
        <v>502444.53812500008</v>
      </c>
      <c r="BA5" s="87">
        <f t="shared" ref="BA5:BA6" si="6">SUMIF($C$3:$O$3,"R",C5:O5)</f>
        <v>1919970.49</v>
      </c>
      <c r="BB5" s="87">
        <f t="shared" ref="BB5:BB6" si="7">BA5-AZ5</f>
        <v>1417525.9518749998</v>
      </c>
      <c r="BC5" s="87"/>
      <c r="BD5" s="87">
        <f t="shared" ref="BD5:BD6" si="8">(AZ5/$BD$3)*12</f>
        <v>1507333.6143750004</v>
      </c>
      <c r="BE5" s="87">
        <f t="shared" ref="BE5:BE6" si="9">(BA5/$BD$3)*12</f>
        <v>5759911.4699999997</v>
      </c>
      <c r="BF5" s="87">
        <f t="shared" ref="BF5:BF6" si="10">BE5-BD5</f>
        <v>4252577.8556249999</v>
      </c>
    </row>
    <row r="6" spans="2:58" ht="15.75" thickBot="1">
      <c r="B6" s="79" t="s">
        <v>556</v>
      </c>
      <c r="C6" s="84">
        <v>659532</v>
      </c>
      <c r="D6" s="84">
        <v>639438.01000000013</v>
      </c>
      <c r="E6" s="84">
        <f>D6-C6</f>
        <v>-20093.989999999874</v>
      </c>
      <c r="F6" s="84"/>
      <c r="G6" s="84">
        <v>659532</v>
      </c>
      <c r="H6" s="84">
        <v>621427.49</v>
      </c>
      <c r="I6" s="84">
        <f>H6-G6</f>
        <v>-38104.510000000009</v>
      </c>
      <c r="J6" s="84"/>
      <c r="K6" s="84">
        <v>659532</v>
      </c>
      <c r="L6" s="84">
        <v>660071.63</v>
      </c>
      <c r="M6" s="84">
        <f>L6-K6</f>
        <v>539.63000000000466</v>
      </c>
      <c r="N6" s="84"/>
      <c r="O6" s="84">
        <v>659532</v>
      </c>
      <c r="P6" s="84">
        <v>615939.64</v>
      </c>
      <c r="Q6" s="84">
        <f>P6-O6</f>
        <v>-43592.359999999986</v>
      </c>
      <c r="R6" s="84"/>
      <c r="S6" s="84">
        <v>659532</v>
      </c>
      <c r="T6" s="84">
        <v>645984.06000000006</v>
      </c>
      <c r="U6" s="84">
        <f>T6-S6</f>
        <v>-13547.939999999944</v>
      </c>
      <c r="V6" s="84"/>
      <c r="W6" s="84">
        <v>659532</v>
      </c>
      <c r="X6" s="84">
        <v>766770.23</v>
      </c>
      <c r="Y6" s="84">
        <f>X6-W6</f>
        <v>107238.22999999998</v>
      </c>
      <c r="Z6" s="84"/>
      <c r="AA6" s="84">
        <v>659532</v>
      </c>
      <c r="AB6" s="84"/>
      <c r="AC6" s="84">
        <f>AB6-AA6</f>
        <v>-659532</v>
      </c>
      <c r="AD6" s="84"/>
      <c r="AE6" s="84">
        <v>659532</v>
      </c>
      <c r="AF6" s="84"/>
      <c r="AG6" s="84">
        <f>AF6-AE6</f>
        <v>-659532</v>
      </c>
      <c r="AH6" s="84"/>
      <c r="AI6" s="84">
        <v>659533</v>
      </c>
      <c r="AJ6" s="84"/>
      <c r="AK6" s="84">
        <f>AJ6-AI6</f>
        <v>-659533</v>
      </c>
      <c r="AL6" s="84"/>
      <c r="AM6" s="84">
        <v>659533</v>
      </c>
      <c r="AN6" s="84"/>
      <c r="AO6" s="84">
        <f>AN6-AM6</f>
        <v>-659533</v>
      </c>
      <c r="AP6" s="84"/>
      <c r="AQ6" s="84">
        <v>659534</v>
      </c>
      <c r="AR6" s="84"/>
      <c r="AS6" s="84">
        <f>AR6-AQ6</f>
        <v>-659534</v>
      </c>
      <c r="AT6" s="84"/>
      <c r="AU6" s="84">
        <v>659535</v>
      </c>
      <c r="AV6" s="84"/>
      <c r="AW6" s="84">
        <f>AV6-AU6</f>
        <v>-659535</v>
      </c>
      <c r="AX6" s="75"/>
      <c r="AZ6" s="84">
        <f t="shared" si="5"/>
        <v>1978596</v>
      </c>
      <c r="BA6" s="84">
        <f t="shared" si="6"/>
        <v>1920937.13</v>
      </c>
      <c r="BB6" s="84">
        <f t="shared" si="7"/>
        <v>-57658.870000000112</v>
      </c>
      <c r="BC6" s="84"/>
      <c r="BD6" s="84">
        <f t="shared" si="8"/>
        <v>5935788</v>
      </c>
      <c r="BE6" s="84">
        <f t="shared" si="9"/>
        <v>5762811.3899999997</v>
      </c>
      <c r="BF6" s="84">
        <f t="shared" si="10"/>
        <v>-172976.61000000034</v>
      </c>
    </row>
    <row r="8" spans="2:58">
      <c r="B8" s="33" t="s">
        <v>498</v>
      </c>
      <c r="C8" s="80" t="s">
        <v>557</v>
      </c>
      <c r="D8" s="80" t="s">
        <v>558</v>
      </c>
      <c r="E8" s="80" t="s">
        <v>559</v>
      </c>
      <c r="F8" s="80"/>
      <c r="G8" s="80" t="s">
        <v>557</v>
      </c>
      <c r="H8" s="80" t="s">
        <v>558</v>
      </c>
      <c r="I8" s="80" t="s">
        <v>559</v>
      </c>
      <c r="J8" s="80"/>
      <c r="K8" s="80" t="s">
        <v>557</v>
      </c>
      <c r="L8" s="80" t="s">
        <v>558</v>
      </c>
      <c r="M8" s="80" t="s">
        <v>559</v>
      </c>
      <c r="N8" s="80"/>
      <c r="O8" s="80" t="s">
        <v>557</v>
      </c>
      <c r="P8" s="80" t="s">
        <v>558</v>
      </c>
      <c r="Q8" s="80" t="s">
        <v>559</v>
      </c>
      <c r="R8" s="80"/>
      <c r="S8" s="80" t="s">
        <v>557</v>
      </c>
      <c r="T8" s="80" t="s">
        <v>558</v>
      </c>
      <c r="U8" s="80" t="s">
        <v>559</v>
      </c>
      <c r="V8" s="80"/>
      <c r="W8" s="80" t="s">
        <v>557</v>
      </c>
      <c r="X8" s="80" t="s">
        <v>558</v>
      </c>
      <c r="Y8" s="80" t="s">
        <v>559</v>
      </c>
      <c r="Z8" s="80"/>
      <c r="AA8" s="80" t="s">
        <v>557</v>
      </c>
      <c r="AB8" s="80" t="s">
        <v>558</v>
      </c>
      <c r="AC8" s="80" t="s">
        <v>559</v>
      </c>
      <c r="AD8" s="80"/>
      <c r="AE8" s="80" t="s">
        <v>557</v>
      </c>
      <c r="AF8" s="80" t="s">
        <v>558</v>
      </c>
      <c r="AG8" s="80" t="s">
        <v>559</v>
      </c>
      <c r="AH8" s="80"/>
      <c r="AI8" s="80" t="s">
        <v>557</v>
      </c>
      <c r="AJ8" s="80" t="s">
        <v>558</v>
      </c>
      <c r="AK8" s="80" t="s">
        <v>559</v>
      </c>
      <c r="AL8" s="80"/>
      <c r="AM8" s="80" t="s">
        <v>557</v>
      </c>
      <c r="AN8" s="80" t="s">
        <v>558</v>
      </c>
      <c r="AO8" s="80" t="s">
        <v>559</v>
      </c>
      <c r="AP8" s="80"/>
      <c r="AQ8" s="80" t="s">
        <v>557</v>
      </c>
      <c r="AR8" s="80" t="s">
        <v>558</v>
      </c>
      <c r="AS8" s="80" t="s">
        <v>559</v>
      </c>
      <c r="AT8" s="80"/>
      <c r="AU8" s="80" t="s">
        <v>557</v>
      </c>
      <c r="AV8" s="80" t="s">
        <v>558</v>
      </c>
      <c r="AW8" s="80" t="s">
        <v>559</v>
      </c>
      <c r="AX8" s="27"/>
      <c r="AY8" s="27"/>
      <c r="AZ8" s="80" t="s">
        <v>557</v>
      </c>
      <c r="BA8" s="80" t="s">
        <v>558</v>
      </c>
      <c r="BB8" s="80" t="s">
        <v>559</v>
      </c>
      <c r="BC8" s="80"/>
      <c r="BD8" s="80" t="s">
        <v>557</v>
      </c>
      <c r="BE8" s="80" t="s">
        <v>558</v>
      </c>
      <c r="BF8" s="80" t="s">
        <v>559</v>
      </c>
    </row>
    <row r="9" spans="2:58">
      <c r="B9" t="s">
        <v>4</v>
      </c>
      <c r="C9" s="75">
        <f>Rémunérations!V157</f>
        <v>0</v>
      </c>
      <c r="D9" s="75">
        <f>GETPIVOTDATA("Montant",BG!$O$337,"Intitulé","Rémunérations")</f>
        <v>282221.79666666669</v>
      </c>
      <c r="E9" s="75">
        <f>C9-D9</f>
        <v>-282221.79666666669</v>
      </c>
      <c r="F9" s="75"/>
      <c r="G9" s="75">
        <f>Rémunérations!W157</f>
        <v>0</v>
      </c>
      <c r="H9" s="75">
        <f>GETPIVOTDATA("Montant",BG!$O$337,"Intitulé","Rémunérations")</f>
        <v>282221.79666666669</v>
      </c>
      <c r="I9" s="75">
        <f>G9-H9</f>
        <v>-282221.79666666669</v>
      </c>
      <c r="J9" s="75"/>
      <c r="K9" s="75">
        <f>Rémunérations!X157</f>
        <v>0</v>
      </c>
      <c r="L9" s="75">
        <f>GETPIVOTDATA("Montant",BG!$O$337,"Intitulé","Rémunérations")</f>
        <v>282221.79666666669</v>
      </c>
      <c r="M9" s="75">
        <f>K9-L9</f>
        <v>-282221.79666666669</v>
      </c>
      <c r="N9" s="75"/>
      <c r="O9" s="75">
        <f>Rémunérations!Y157</f>
        <v>0</v>
      </c>
      <c r="P9" s="75">
        <f>GETPIVOTDATA("0,00",BG!$T$255,"x","Rémunérations")</f>
        <v>286037.28999999998</v>
      </c>
      <c r="Q9" s="75">
        <f>O9-P9</f>
        <v>-286037.28999999998</v>
      </c>
      <c r="R9" s="75"/>
      <c r="S9" s="75">
        <f>Rémunérations!Z157</f>
        <v>0</v>
      </c>
      <c r="T9" s="75">
        <f>GETPIVOTDATA("0,00",BG!$Z$260,"x","Rémunérations")</f>
        <v>269706.52</v>
      </c>
      <c r="U9" s="75">
        <f>S9-T9</f>
        <v>-269706.52</v>
      </c>
      <c r="V9" s="75"/>
      <c r="W9" s="75">
        <f>Rémunérations!AA157</f>
        <v>0</v>
      </c>
      <c r="X9" s="75">
        <f>GETPIVOTDATA("0,00",BG!$AF$255,"x","Rémunérations")</f>
        <v>261867.41</v>
      </c>
      <c r="Y9" s="75">
        <f>W9-X9</f>
        <v>-261867.41</v>
      </c>
      <c r="Z9" s="75"/>
      <c r="AA9" s="75">
        <f>Rémunérations!AB157</f>
        <v>0</v>
      </c>
      <c r="AB9" s="75"/>
      <c r="AC9" s="75">
        <f>AA9-AB9</f>
        <v>0</v>
      </c>
      <c r="AD9" s="75"/>
      <c r="AE9" s="75">
        <f>Rémunérations!AC157</f>
        <v>0</v>
      </c>
      <c r="AF9" s="75"/>
      <c r="AG9" s="75">
        <f>AE9-AF9</f>
        <v>0</v>
      </c>
      <c r="AH9" s="75"/>
      <c r="AI9" s="75">
        <f>Rémunérations!AD157</f>
        <v>0</v>
      </c>
      <c r="AJ9" s="75"/>
      <c r="AK9" s="75">
        <f>AI9-AJ9</f>
        <v>0</v>
      </c>
      <c r="AL9" s="75"/>
      <c r="AM9" s="75">
        <f>Rémunérations!AE157</f>
        <v>0</v>
      </c>
      <c r="AN9" s="75"/>
      <c r="AO9" s="75">
        <f>AM9-AN9</f>
        <v>0</v>
      </c>
      <c r="AP9" s="75"/>
      <c r="AQ9" s="75">
        <f>Rémunérations!AF157</f>
        <v>0</v>
      </c>
      <c r="AR9" s="75"/>
      <c r="AS9" s="75">
        <f>AQ9-AR9</f>
        <v>0</v>
      </c>
      <c r="AT9" s="75"/>
      <c r="AU9" s="75">
        <f>Rémunérations!AG157</f>
        <v>0</v>
      </c>
      <c r="AV9" s="75"/>
      <c r="AW9" s="75">
        <f>AU9-AV9</f>
        <v>0</v>
      </c>
      <c r="AX9" s="75"/>
      <c r="AY9" s="75"/>
      <c r="AZ9" s="75">
        <f>SUMIF($C$3:$O$3,"O",$C$9:$O$9)</f>
        <v>0</v>
      </c>
      <c r="BA9" s="75">
        <f>SUMIF($C$3:$O$3,"R",$C$9:$O$9)</f>
        <v>846665.39000000013</v>
      </c>
      <c r="BB9" s="75">
        <f>BA9-AZ9</f>
        <v>846665.39000000013</v>
      </c>
      <c r="BC9" s="75"/>
      <c r="BD9" s="75">
        <f>(AZ9/$BD$3)*12</f>
        <v>0</v>
      </c>
      <c r="BE9" s="75">
        <f t="shared" ref="BE9:BE18" si="11">(BA9/$BD$3)*12</f>
        <v>2539996.1700000004</v>
      </c>
      <c r="BF9" s="75">
        <f>BE9-BD9</f>
        <v>2539996.1700000004</v>
      </c>
    </row>
    <row r="10" spans="2:58">
      <c r="B10" t="s">
        <v>5</v>
      </c>
      <c r="C10" s="75">
        <f t="shared" ref="C10" si="12">C9*0.54</f>
        <v>0</v>
      </c>
      <c r="D10" s="75">
        <f>GETPIVOTDATA("Montant",BG!$O$337,"Intitulé","Calcul Charges sociales")</f>
        <v>192161.52333333332</v>
      </c>
      <c r="E10" s="75">
        <f t="shared" ref="E10:E18" si="13">C10-D10</f>
        <v>-192161.52333333332</v>
      </c>
      <c r="F10" s="75"/>
      <c r="G10" s="75">
        <f t="shared" ref="G10" si="14">G9*0.54</f>
        <v>0</v>
      </c>
      <c r="H10" s="75">
        <f>GETPIVOTDATA("Montant",BG!$O$337,"Intitulé","Calcul Charges sociales")</f>
        <v>192161.52333333332</v>
      </c>
      <c r="I10" s="75">
        <f t="shared" ref="I10:I18" si="15">G10-H10</f>
        <v>-192161.52333333332</v>
      </c>
      <c r="J10" s="75"/>
      <c r="K10" s="75">
        <f t="shared" ref="K10" si="16">K9*0.54</f>
        <v>0</v>
      </c>
      <c r="L10" s="75">
        <f>GETPIVOTDATA("Montant",BG!$O$337,"Intitulé","Calcul Charges sociales")</f>
        <v>192161.52333333332</v>
      </c>
      <c r="M10" s="75">
        <f t="shared" ref="M10:M18" si="17">K10-L10</f>
        <v>-192161.52333333332</v>
      </c>
      <c r="N10" s="75"/>
      <c r="O10" s="75">
        <f t="shared" ref="O10" si="18">O9*0.54</f>
        <v>0</v>
      </c>
      <c r="P10" s="75">
        <f>GETPIVOTDATA("0,00",BG!$T$255,"x","Calcul Charges sociales")</f>
        <v>156968.16000000003</v>
      </c>
      <c r="Q10" s="75">
        <f t="shared" ref="Q10:Q18" si="19">O10-P10</f>
        <v>-156968.16000000003</v>
      </c>
      <c r="R10" s="75"/>
      <c r="S10" s="75">
        <f t="shared" ref="S10" si="20">S9*0.54</f>
        <v>0</v>
      </c>
      <c r="T10" s="75">
        <f>GETPIVOTDATA("0,00",BG!$Z$260,"x","Calcul Charges sociales")</f>
        <v>145196.76</v>
      </c>
      <c r="U10" s="75">
        <f t="shared" ref="U10:U18" si="21">S10-T10</f>
        <v>-145196.76</v>
      </c>
      <c r="V10" s="75"/>
      <c r="W10" s="75">
        <f t="shared" ref="W10" si="22">W9*0.54</f>
        <v>0</v>
      </c>
      <c r="X10" s="75">
        <f>GETPIVOTDATA("0,00",BG!$AF$255,"x","Calcul Charges sociales")</f>
        <v>240583.48</v>
      </c>
      <c r="Y10" s="75">
        <f t="shared" ref="Y10:Y18" si="23">W10-X10</f>
        <v>-240583.48</v>
      </c>
      <c r="Z10" s="75"/>
      <c r="AA10" s="75">
        <f t="shared" ref="AA10" si="24">AA9*0.54</f>
        <v>0</v>
      </c>
      <c r="AB10" s="75"/>
      <c r="AC10" s="75">
        <f t="shared" ref="AC10:AC18" si="25">AA10-AB10</f>
        <v>0</v>
      </c>
      <c r="AD10" s="75"/>
      <c r="AE10" s="75">
        <f t="shared" ref="AE10" si="26">AE9*0.54</f>
        <v>0</v>
      </c>
      <c r="AF10" s="75"/>
      <c r="AG10" s="75">
        <f t="shared" ref="AG10:AG18" si="27">AE10-AF10</f>
        <v>0</v>
      </c>
      <c r="AH10" s="75"/>
      <c r="AI10" s="75">
        <f t="shared" ref="AI10" si="28">AI9*0.54</f>
        <v>0</v>
      </c>
      <c r="AJ10" s="75"/>
      <c r="AK10" s="75">
        <f t="shared" ref="AK10:AK18" si="29">AI10-AJ10</f>
        <v>0</v>
      </c>
      <c r="AL10" s="75"/>
      <c r="AM10" s="75">
        <f t="shared" ref="AM10" si="30">AM9*0.54</f>
        <v>0</v>
      </c>
      <c r="AN10" s="75"/>
      <c r="AO10" s="75">
        <f t="shared" ref="AO10:AO18" si="31">AM10-AN10</f>
        <v>0</v>
      </c>
      <c r="AP10" s="75"/>
      <c r="AQ10" s="75">
        <f t="shared" ref="AQ10" si="32">AQ9*0.54</f>
        <v>0</v>
      </c>
      <c r="AR10" s="75"/>
      <c r="AS10" s="75">
        <f t="shared" ref="AS10:AS18" si="33">AQ10-AR10</f>
        <v>0</v>
      </c>
      <c r="AT10" s="75"/>
      <c r="AU10" s="75">
        <f t="shared" ref="AU10" si="34">AU9*0.54</f>
        <v>0</v>
      </c>
      <c r="AV10" s="75"/>
      <c r="AW10" s="75">
        <f t="shared" ref="AW10:AW18" si="35">AU10-AV10</f>
        <v>0</v>
      </c>
      <c r="AX10" s="75"/>
      <c r="AY10" s="75"/>
      <c r="AZ10" s="75">
        <f>SUMIF($C$3:$O$3,"O",$C$10:$O$10)</f>
        <v>0</v>
      </c>
      <c r="BA10" s="75">
        <f>SUMIF($C$3:$O$3,"R",$C$10:$O$10)</f>
        <v>576484.56999999995</v>
      </c>
      <c r="BB10" s="75">
        <f t="shared" ref="BB10:BB19" si="36">BA10-AZ10</f>
        <v>576484.56999999995</v>
      </c>
      <c r="BC10" s="75"/>
      <c r="BD10" s="75">
        <f>(AZ10/$BD$3)*12</f>
        <v>0</v>
      </c>
      <c r="BE10" s="75">
        <f>(BA10/$BD$3)*12</f>
        <v>1729453.71</v>
      </c>
      <c r="BF10" s="75">
        <f t="shared" ref="BF10:BF18" si="37">BE10-BD10</f>
        <v>1729453.71</v>
      </c>
    </row>
    <row r="11" spans="2:58">
      <c r="B11" t="s">
        <v>534</v>
      </c>
      <c r="C11" s="75">
        <f>Synthèse!$C$16</f>
        <v>0</v>
      </c>
      <c r="D11" s="75">
        <f>GETPIVOTDATA("Montant",BG!$O$337,"Intitulé","Participation")</f>
        <v>10000</v>
      </c>
      <c r="E11" s="75">
        <f t="shared" si="13"/>
        <v>-10000</v>
      </c>
      <c r="F11" s="75"/>
      <c r="G11" s="75">
        <f>Synthèse!$C$16</f>
        <v>0</v>
      </c>
      <c r="H11" s="75">
        <f>GETPIVOTDATA("Montant",BG!$O$337,"Intitulé","Participation")</f>
        <v>10000</v>
      </c>
      <c r="I11" s="75">
        <f t="shared" si="15"/>
        <v>-10000</v>
      </c>
      <c r="J11" s="75"/>
      <c r="K11" s="75">
        <f>Synthèse!$C$16</f>
        <v>0</v>
      </c>
      <c r="L11" s="75">
        <f>GETPIVOTDATA("Montant",BG!$O$337,"Intitulé","Participation")</f>
        <v>10000</v>
      </c>
      <c r="M11" s="75">
        <f t="shared" si="17"/>
        <v>-10000</v>
      </c>
      <c r="N11" s="75"/>
      <c r="O11" s="75">
        <f>Synthèse!$C$16</f>
        <v>0</v>
      </c>
      <c r="P11" s="75">
        <f>GETPIVOTDATA("0,00",BG!$T$255,"x","Participation")</f>
        <v>10000</v>
      </c>
      <c r="Q11" s="75">
        <f t="shared" si="19"/>
        <v>-10000</v>
      </c>
      <c r="R11" s="75"/>
      <c r="S11" s="75">
        <f>Synthèse!$C$16</f>
        <v>0</v>
      </c>
      <c r="T11" s="75">
        <f>GETPIVOTDATA("0,00",BG!$Z$260,"x","Participation")</f>
        <v>-132.88999999999999</v>
      </c>
      <c r="U11" s="75">
        <f t="shared" si="21"/>
        <v>132.88999999999999</v>
      </c>
      <c r="V11" s="75"/>
      <c r="W11" s="75">
        <f>Synthèse!$C$16</f>
        <v>0</v>
      </c>
      <c r="X11" s="75">
        <f>GETPIVOTDATA("0,00",BG!$AF$255,"x","Participation")</f>
        <v>10000</v>
      </c>
      <c r="Y11" s="75">
        <f t="shared" si="23"/>
        <v>-10000</v>
      </c>
      <c r="Z11" s="75"/>
      <c r="AA11" s="75">
        <f>Synthèse!$C$16</f>
        <v>0</v>
      </c>
      <c r="AB11" s="75"/>
      <c r="AC11" s="75">
        <f t="shared" si="25"/>
        <v>0</v>
      </c>
      <c r="AD11" s="75"/>
      <c r="AE11" s="75">
        <f>Synthèse!$C$16</f>
        <v>0</v>
      </c>
      <c r="AF11" s="75"/>
      <c r="AG11" s="75">
        <f t="shared" si="27"/>
        <v>0</v>
      </c>
      <c r="AH11" s="75"/>
      <c r="AI11" s="75">
        <f>Synthèse!$C$16</f>
        <v>0</v>
      </c>
      <c r="AJ11" s="75"/>
      <c r="AK11" s="75">
        <f t="shared" si="29"/>
        <v>0</v>
      </c>
      <c r="AL11" s="75"/>
      <c r="AM11" s="75">
        <f>Synthèse!$C$16</f>
        <v>0</v>
      </c>
      <c r="AN11" s="75"/>
      <c r="AO11" s="75">
        <f t="shared" si="31"/>
        <v>0</v>
      </c>
      <c r="AP11" s="75"/>
      <c r="AQ11" s="75">
        <f>Synthèse!$C$16</f>
        <v>0</v>
      </c>
      <c r="AR11" s="75"/>
      <c r="AS11" s="75">
        <f t="shared" si="33"/>
        <v>0</v>
      </c>
      <c r="AT11" s="75"/>
      <c r="AU11" s="75">
        <f>Synthèse!$C$16</f>
        <v>0</v>
      </c>
      <c r="AV11" s="75"/>
      <c r="AW11" s="75">
        <f t="shared" si="35"/>
        <v>0</v>
      </c>
      <c r="AX11" s="75"/>
      <c r="AY11" s="75"/>
      <c r="AZ11" s="75">
        <f>SUMIF($C$3:$O$3,"O",$C$11:$O$11)</f>
        <v>0</v>
      </c>
      <c r="BA11" s="75">
        <f>SUMIF($C$3:$O$3,"R",$C$11:$O$11)</f>
        <v>30000</v>
      </c>
      <c r="BB11" s="75">
        <f t="shared" si="36"/>
        <v>30000</v>
      </c>
      <c r="BC11" s="75"/>
      <c r="BD11" s="75">
        <f t="shared" ref="BD11:BD18" si="38">(AZ11/$BD$3)*12</f>
        <v>0</v>
      </c>
      <c r="BE11" s="75">
        <f>(BA11/$BD$3)*12</f>
        <v>90000</v>
      </c>
      <c r="BF11" s="75">
        <f t="shared" si="37"/>
        <v>90000</v>
      </c>
    </row>
    <row r="12" spans="2:58">
      <c r="B12" t="s">
        <v>489</v>
      </c>
      <c r="C12" s="75">
        <f>Synthèse!$C$17</f>
        <v>9223.8383333333331</v>
      </c>
      <c r="D12" s="75">
        <f>GETPIVOTDATA("Montant",BG!$O$337,"Intitulé","Locations")</f>
        <v>6014.17</v>
      </c>
      <c r="E12" s="75">
        <f t="shared" si="13"/>
        <v>3209.6683333333331</v>
      </c>
      <c r="F12" s="75"/>
      <c r="G12" s="75">
        <f>Synthèse!$C$17</f>
        <v>9223.8383333333331</v>
      </c>
      <c r="H12" s="75">
        <f>GETPIVOTDATA("Montant",BG!$O$337,"Intitulé","Locations")</f>
        <v>6014.17</v>
      </c>
      <c r="I12" s="75">
        <f t="shared" si="15"/>
        <v>3209.6683333333331</v>
      </c>
      <c r="J12" s="75"/>
      <c r="K12" s="75">
        <f>Synthèse!$C$17</f>
        <v>9223.8383333333331</v>
      </c>
      <c r="L12" s="75">
        <f>GETPIVOTDATA("Montant",BG!$O$337,"Intitulé","Locations")</f>
        <v>6014.17</v>
      </c>
      <c r="M12" s="75">
        <f t="shared" si="17"/>
        <v>3209.6683333333331</v>
      </c>
      <c r="N12" s="75"/>
      <c r="O12" s="75">
        <f>Synthèse!$C$17</f>
        <v>9223.8383333333331</v>
      </c>
      <c r="P12" s="75">
        <f>GETPIVOTDATA("0,00",BG!$T$255,"x","Locations")</f>
        <v>10482.16</v>
      </c>
      <c r="Q12" s="75">
        <f t="shared" si="19"/>
        <v>-1258.3216666666667</v>
      </c>
      <c r="R12" s="75"/>
      <c r="S12" s="75">
        <f>Synthèse!$C$17</f>
        <v>9223.8383333333331</v>
      </c>
      <c r="T12" s="75">
        <f>GETPIVOTDATA("0,00",BG!$Z$260,"x","Locations")</f>
        <v>13101.83</v>
      </c>
      <c r="U12" s="75">
        <f t="shared" si="21"/>
        <v>-3877.9916666666668</v>
      </c>
      <c r="V12" s="75"/>
      <c r="W12" s="75">
        <f>Synthèse!$C$17</f>
        <v>9223.8383333333331</v>
      </c>
      <c r="X12" s="75">
        <f>GETPIVOTDATA("0,00",BG!$AF$255,"x","Locations")</f>
        <v>5542.5599999999995</v>
      </c>
      <c r="Y12" s="75">
        <f t="shared" si="23"/>
        <v>3681.2783333333336</v>
      </c>
      <c r="Z12" s="75"/>
      <c r="AA12" s="75">
        <f>Synthèse!$C$17</f>
        <v>9223.8383333333331</v>
      </c>
      <c r="AB12" s="75"/>
      <c r="AC12" s="75">
        <f t="shared" si="25"/>
        <v>9223.8383333333331</v>
      </c>
      <c r="AD12" s="75"/>
      <c r="AE12" s="75">
        <f>Synthèse!$C$17</f>
        <v>9223.8383333333331</v>
      </c>
      <c r="AF12" s="75"/>
      <c r="AG12" s="75">
        <f t="shared" si="27"/>
        <v>9223.8383333333331</v>
      </c>
      <c r="AH12" s="75"/>
      <c r="AI12" s="75">
        <f>Synthèse!$C$17</f>
        <v>9223.8383333333331</v>
      </c>
      <c r="AJ12" s="75"/>
      <c r="AK12" s="75">
        <f t="shared" si="29"/>
        <v>9223.8383333333331</v>
      </c>
      <c r="AL12" s="75"/>
      <c r="AM12" s="75">
        <f>Synthèse!$C$17</f>
        <v>9223.8383333333331</v>
      </c>
      <c r="AN12" s="75"/>
      <c r="AO12" s="75">
        <f t="shared" si="31"/>
        <v>9223.8383333333331</v>
      </c>
      <c r="AP12" s="75"/>
      <c r="AQ12" s="75">
        <f>Synthèse!$C$17</f>
        <v>9223.8383333333331</v>
      </c>
      <c r="AR12" s="75"/>
      <c r="AS12" s="75">
        <f t="shared" si="33"/>
        <v>9223.8383333333331</v>
      </c>
      <c r="AT12" s="75"/>
      <c r="AU12" s="75">
        <f>Synthèse!$C$17</f>
        <v>9223.8383333333331</v>
      </c>
      <c r="AV12" s="75"/>
      <c r="AW12" s="75">
        <f t="shared" si="35"/>
        <v>9223.8383333333331</v>
      </c>
      <c r="AX12" s="75"/>
      <c r="AY12" s="75"/>
      <c r="AZ12" s="75">
        <f t="shared" ref="AZ12:AZ19" si="39">SUMIF($C$3:$O$3,"O",C12:O12)</f>
        <v>27671.514999999999</v>
      </c>
      <c r="BA12" s="75">
        <f t="shared" ref="BA12:BA19" si="40">SUMIF($C$3:$O$3,"R",C12:O12)</f>
        <v>18042.510000000002</v>
      </c>
      <c r="BB12" s="75">
        <f t="shared" si="36"/>
        <v>-9629.0049999999974</v>
      </c>
      <c r="BC12" s="75"/>
      <c r="BD12" s="75">
        <f t="shared" si="38"/>
        <v>83014.544999999998</v>
      </c>
      <c r="BE12" s="75">
        <f t="shared" si="11"/>
        <v>54127.530000000006</v>
      </c>
      <c r="BF12" s="75">
        <f t="shared" si="37"/>
        <v>-28887.014999999992</v>
      </c>
    </row>
    <row r="13" spans="2:58">
      <c r="B13" t="s">
        <v>554</v>
      </c>
      <c r="C13" s="75">
        <f>Synthèse!$C$18</f>
        <v>34311.624374999999</v>
      </c>
      <c r="D13" s="75">
        <f>GETPIVOTDATA("Montant",BG!$O$337,"Intitulé","Immobilier")</f>
        <v>33124.9</v>
      </c>
      <c r="E13" s="75">
        <f t="shared" si="13"/>
        <v>1186.724374999998</v>
      </c>
      <c r="F13" s="75"/>
      <c r="G13" s="75">
        <f>Synthèse!$C$18</f>
        <v>34311.624374999999</v>
      </c>
      <c r="H13" s="75">
        <f>GETPIVOTDATA("Montant",BG!$O$337,"Intitulé","Immobilier")</f>
        <v>33124.9</v>
      </c>
      <c r="I13" s="75">
        <f t="shared" si="15"/>
        <v>1186.724374999998</v>
      </c>
      <c r="J13" s="75"/>
      <c r="K13" s="75">
        <f>Synthèse!$C$18</f>
        <v>34311.624374999999</v>
      </c>
      <c r="L13" s="75">
        <f>GETPIVOTDATA("Montant",BG!$O$337,"Intitulé","Immobilier")</f>
        <v>33124.9</v>
      </c>
      <c r="M13" s="75">
        <f t="shared" si="17"/>
        <v>1186.724374999998</v>
      </c>
      <c r="N13" s="75"/>
      <c r="O13" s="75">
        <f>Synthèse!$C$18</f>
        <v>34311.624374999999</v>
      </c>
      <c r="P13" s="75">
        <f>GETPIVOTDATA("0,00",BG!$T$255,"x","Immobilier")</f>
        <v>47450.17</v>
      </c>
      <c r="Q13" s="75">
        <f t="shared" si="19"/>
        <v>-13138.545624999999</v>
      </c>
      <c r="R13" s="75"/>
      <c r="S13" s="75">
        <f>Synthèse!$C$18</f>
        <v>34311.624374999999</v>
      </c>
      <c r="T13" s="75">
        <f>GETPIVOTDATA("0,00",BG!$Z$260,"x","Immobilier")</f>
        <v>-730.57</v>
      </c>
      <c r="U13" s="75">
        <f t="shared" si="21"/>
        <v>35042.194374999999</v>
      </c>
      <c r="V13" s="75"/>
      <c r="W13" s="75">
        <f>Synthèse!$C$18</f>
        <v>34311.624374999999</v>
      </c>
      <c r="X13" s="75">
        <f>GETPIVOTDATA("0,00",BG!$AF$255,"x","Immobilier")</f>
        <v>43008.2</v>
      </c>
      <c r="Y13" s="75">
        <f t="shared" si="23"/>
        <v>-8696.5756249999977</v>
      </c>
      <c r="Z13" s="75"/>
      <c r="AA13" s="75">
        <f>Synthèse!$C$18</f>
        <v>34311.624374999999</v>
      </c>
      <c r="AB13" s="75"/>
      <c r="AC13" s="75">
        <f t="shared" si="25"/>
        <v>34311.624374999999</v>
      </c>
      <c r="AD13" s="75"/>
      <c r="AE13" s="75">
        <f>Synthèse!$C$18</f>
        <v>34311.624374999999</v>
      </c>
      <c r="AF13" s="75"/>
      <c r="AG13" s="75">
        <f t="shared" si="27"/>
        <v>34311.624374999999</v>
      </c>
      <c r="AH13" s="75"/>
      <c r="AI13" s="75">
        <f>Synthèse!$C$18</f>
        <v>34311.624374999999</v>
      </c>
      <c r="AJ13" s="75"/>
      <c r="AK13" s="75">
        <f t="shared" si="29"/>
        <v>34311.624374999999</v>
      </c>
      <c r="AL13" s="75"/>
      <c r="AM13" s="75">
        <f>Synthèse!$C$18</f>
        <v>34311.624374999999</v>
      </c>
      <c r="AN13" s="75"/>
      <c r="AO13" s="75">
        <f t="shared" si="31"/>
        <v>34311.624374999999</v>
      </c>
      <c r="AP13" s="75"/>
      <c r="AQ13" s="75">
        <f>Synthèse!$C$18</f>
        <v>34311.624374999999</v>
      </c>
      <c r="AR13" s="75"/>
      <c r="AS13" s="75">
        <f t="shared" si="33"/>
        <v>34311.624374999999</v>
      </c>
      <c r="AT13" s="75"/>
      <c r="AU13" s="75">
        <f>Synthèse!$C$18</f>
        <v>34311.624374999999</v>
      </c>
      <c r="AV13" s="75"/>
      <c r="AW13" s="75">
        <f t="shared" si="35"/>
        <v>34311.624374999999</v>
      </c>
      <c r="AX13" s="75"/>
      <c r="AY13" s="75"/>
      <c r="AZ13" s="75">
        <f t="shared" si="39"/>
        <v>102934.873125</v>
      </c>
      <c r="BA13" s="75">
        <f t="shared" si="40"/>
        <v>99374.700000000012</v>
      </c>
      <c r="BB13" s="75">
        <f t="shared" si="36"/>
        <v>-3560.1731249999866</v>
      </c>
      <c r="BC13" s="75"/>
      <c r="BD13" s="75">
        <f t="shared" si="38"/>
        <v>308804.61937500001</v>
      </c>
      <c r="BE13" s="75">
        <f t="shared" si="11"/>
        <v>298124.10000000003</v>
      </c>
      <c r="BF13" s="75">
        <f t="shared" si="37"/>
        <v>-10680.519374999974</v>
      </c>
    </row>
    <row r="14" spans="2:58">
      <c r="B14" t="s">
        <v>540</v>
      </c>
      <c r="C14" s="75">
        <f>Synthèse!$C$19</f>
        <v>5255.1133333333337</v>
      </c>
      <c r="D14" s="75">
        <f>GETPIVOTDATA("Montant",BG!$O$337,"Intitulé","IT")</f>
        <v>4708.6100000000006</v>
      </c>
      <c r="E14" s="75">
        <f t="shared" si="13"/>
        <v>546.5033333333331</v>
      </c>
      <c r="F14" s="75"/>
      <c r="G14" s="75">
        <f>Synthèse!$C$19</f>
        <v>5255.1133333333337</v>
      </c>
      <c r="H14" s="75">
        <f>GETPIVOTDATA("Montant",BG!$O$337,"Intitulé","IT")</f>
        <v>4708.6100000000006</v>
      </c>
      <c r="I14" s="75">
        <f t="shared" si="15"/>
        <v>546.5033333333331</v>
      </c>
      <c r="J14" s="75"/>
      <c r="K14" s="75">
        <f>Synthèse!$C$19</f>
        <v>5255.1133333333337</v>
      </c>
      <c r="L14" s="75">
        <f>GETPIVOTDATA("Montant",BG!$O$337,"Intitulé","IT")</f>
        <v>4708.6100000000006</v>
      </c>
      <c r="M14" s="75">
        <f t="shared" si="17"/>
        <v>546.5033333333331</v>
      </c>
      <c r="N14" s="75"/>
      <c r="O14" s="75">
        <f>Synthèse!$C$19</f>
        <v>5255.1133333333337</v>
      </c>
      <c r="P14" s="75">
        <f>GETPIVOTDATA("0,00",BG!$T$255,"x","IT")</f>
        <v>5918.8</v>
      </c>
      <c r="Q14" s="75">
        <f t="shared" si="19"/>
        <v>-663.6866666666665</v>
      </c>
      <c r="R14" s="75"/>
      <c r="S14" s="75">
        <f>Synthèse!$C$19</f>
        <v>5255.1133333333337</v>
      </c>
      <c r="T14" s="75">
        <f>GETPIVOTDATA("0,00",BG!$Z$260,"x","IT")</f>
        <v>4857.6100000000006</v>
      </c>
      <c r="U14" s="75">
        <f t="shared" si="21"/>
        <v>397.5033333333331</v>
      </c>
      <c r="V14" s="75"/>
      <c r="W14" s="75">
        <f>Synthèse!$C$19</f>
        <v>5255.1133333333337</v>
      </c>
      <c r="X14" s="75">
        <f>GETPIVOTDATA("0,00",BG!$AF$255,"x","IT")</f>
        <v>5077.9399999999996</v>
      </c>
      <c r="Y14" s="75">
        <f t="shared" si="23"/>
        <v>177.17333333333409</v>
      </c>
      <c r="Z14" s="75"/>
      <c r="AA14" s="75">
        <f>Synthèse!$C$19</f>
        <v>5255.1133333333337</v>
      </c>
      <c r="AB14" s="75"/>
      <c r="AC14" s="75">
        <f t="shared" si="25"/>
        <v>5255.1133333333337</v>
      </c>
      <c r="AD14" s="75"/>
      <c r="AE14" s="75">
        <f>Synthèse!$C$19</f>
        <v>5255.1133333333337</v>
      </c>
      <c r="AF14" s="75"/>
      <c r="AG14" s="75">
        <f t="shared" si="27"/>
        <v>5255.1133333333337</v>
      </c>
      <c r="AH14" s="75"/>
      <c r="AI14" s="75">
        <f>Synthèse!$C$19</f>
        <v>5255.1133333333337</v>
      </c>
      <c r="AJ14" s="75"/>
      <c r="AK14" s="75">
        <f t="shared" si="29"/>
        <v>5255.1133333333337</v>
      </c>
      <c r="AL14" s="75"/>
      <c r="AM14" s="75">
        <f>Synthèse!$C$19</f>
        <v>5255.1133333333337</v>
      </c>
      <c r="AN14" s="75"/>
      <c r="AO14" s="75">
        <f t="shared" si="31"/>
        <v>5255.1133333333337</v>
      </c>
      <c r="AP14" s="75"/>
      <c r="AQ14" s="75">
        <f>Synthèse!$C$19</f>
        <v>5255.1133333333337</v>
      </c>
      <c r="AR14" s="75"/>
      <c r="AS14" s="75">
        <f t="shared" si="33"/>
        <v>5255.1133333333337</v>
      </c>
      <c r="AT14" s="75"/>
      <c r="AU14" s="75">
        <f>Synthèse!$C$19</f>
        <v>5255.1133333333337</v>
      </c>
      <c r="AV14" s="75"/>
      <c r="AW14" s="75">
        <f t="shared" si="35"/>
        <v>5255.1133333333337</v>
      </c>
      <c r="AX14" s="75"/>
      <c r="AY14" s="75"/>
      <c r="AZ14" s="75">
        <f t="shared" si="39"/>
        <v>15765.34</v>
      </c>
      <c r="BA14" s="75">
        <f t="shared" si="40"/>
        <v>14125.830000000002</v>
      </c>
      <c r="BB14" s="75">
        <f t="shared" si="36"/>
        <v>-1639.5099999999984</v>
      </c>
      <c r="BC14" s="75"/>
      <c r="BD14" s="75">
        <f t="shared" si="38"/>
        <v>47296.020000000004</v>
      </c>
      <c r="BE14" s="75">
        <f t="shared" si="11"/>
        <v>42377.490000000005</v>
      </c>
      <c r="BF14" s="75">
        <f t="shared" si="37"/>
        <v>-4918.5299999999988</v>
      </c>
    </row>
    <row r="15" spans="2:58">
      <c r="B15" t="s">
        <v>488</v>
      </c>
      <c r="C15" s="75">
        <f>Synthèse!$C$20</f>
        <v>15541.661666666667</v>
      </c>
      <c r="D15" s="75">
        <f>GETPIVOTDATA("Montant",BG!$O$337,"Intitulé","Frais courants")</f>
        <v>11245.42333333333</v>
      </c>
      <c r="E15" s="75">
        <f t="shared" si="13"/>
        <v>4296.2383333333364</v>
      </c>
      <c r="F15" s="75"/>
      <c r="G15" s="75">
        <f>Synthèse!$C$20</f>
        <v>15541.661666666667</v>
      </c>
      <c r="H15" s="75">
        <f>GETPIVOTDATA("Montant",BG!$O$337,"Intitulé","Frais courants")</f>
        <v>11245.42333333333</v>
      </c>
      <c r="I15" s="75">
        <f t="shared" si="15"/>
        <v>4296.2383333333364</v>
      </c>
      <c r="J15" s="75"/>
      <c r="K15" s="75">
        <f>Synthèse!$C$20</f>
        <v>15541.661666666667</v>
      </c>
      <c r="L15" s="75">
        <f>GETPIVOTDATA("Montant",BG!$O$337,"Intitulé","Frais courants")</f>
        <v>11245.42333333333</v>
      </c>
      <c r="M15" s="75">
        <f t="shared" si="17"/>
        <v>4296.2383333333364</v>
      </c>
      <c r="N15" s="75"/>
      <c r="O15" s="75">
        <f>Synthèse!$C$20</f>
        <v>15541.661666666667</v>
      </c>
      <c r="P15" s="75">
        <f>GETPIVOTDATA("0,00",BG!$T$255,"x","Frais courants")</f>
        <v>10345.099999999999</v>
      </c>
      <c r="Q15" s="75">
        <f t="shared" si="19"/>
        <v>5196.5616666666683</v>
      </c>
      <c r="R15" s="75"/>
      <c r="S15" s="75">
        <f>Synthèse!$C$20</f>
        <v>15541.661666666667</v>
      </c>
      <c r="T15" s="75">
        <f>GETPIVOTDATA("0,00",BG!$Z$260,"x","Frais courants")</f>
        <v>31583.009999999995</v>
      </c>
      <c r="U15" s="75">
        <f t="shared" si="21"/>
        <v>-16041.348333333328</v>
      </c>
      <c r="V15" s="75"/>
      <c r="W15" s="75">
        <f>Synthèse!$C$20</f>
        <v>15541.661666666667</v>
      </c>
      <c r="X15" s="75">
        <f>GETPIVOTDATA("0,00",BG!$AF$255,"x","Frais courants")</f>
        <v>11187.09</v>
      </c>
      <c r="Y15" s="75">
        <f t="shared" si="23"/>
        <v>4354.5716666666667</v>
      </c>
      <c r="Z15" s="75"/>
      <c r="AA15" s="75">
        <f>Synthèse!$C$20</f>
        <v>15541.661666666667</v>
      </c>
      <c r="AB15" s="75"/>
      <c r="AC15" s="75">
        <f t="shared" si="25"/>
        <v>15541.661666666667</v>
      </c>
      <c r="AD15" s="75"/>
      <c r="AE15" s="75">
        <f>Synthèse!$C$20</f>
        <v>15541.661666666667</v>
      </c>
      <c r="AF15" s="75"/>
      <c r="AG15" s="75">
        <f t="shared" si="27"/>
        <v>15541.661666666667</v>
      </c>
      <c r="AH15" s="75"/>
      <c r="AI15" s="75">
        <f>Synthèse!$C$20</f>
        <v>15541.661666666667</v>
      </c>
      <c r="AJ15" s="75"/>
      <c r="AK15" s="75">
        <f t="shared" si="29"/>
        <v>15541.661666666667</v>
      </c>
      <c r="AL15" s="75"/>
      <c r="AM15" s="75">
        <f>Synthèse!$C$20</f>
        <v>15541.661666666667</v>
      </c>
      <c r="AN15" s="75"/>
      <c r="AO15" s="75">
        <f t="shared" si="31"/>
        <v>15541.661666666667</v>
      </c>
      <c r="AP15" s="75"/>
      <c r="AQ15" s="75">
        <f>Synthèse!$C$20</f>
        <v>15541.661666666667</v>
      </c>
      <c r="AR15" s="75"/>
      <c r="AS15" s="75">
        <f t="shared" si="33"/>
        <v>15541.661666666667</v>
      </c>
      <c r="AT15" s="75"/>
      <c r="AU15" s="75">
        <f>Synthèse!$C$20</f>
        <v>15541.661666666667</v>
      </c>
      <c r="AV15" s="75"/>
      <c r="AW15" s="75">
        <f t="shared" si="35"/>
        <v>15541.661666666667</v>
      </c>
      <c r="AX15" s="75"/>
      <c r="AY15" s="75"/>
      <c r="AZ15" s="75">
        <f t="shared" si="39"/>
        <v>46624.985000000001</v>
      </c>
      <c r="BA15" s="75">
        <f t="shared" si="40"/>
        <v>33736.26999999999</v>
      </c>
      <c r="BB15" s="75">
        <f t="shared" si="36"/>
        <v>-12888.715000000011</v>
      </c>
      <c r="BC15" s="75"/>
      <c r="BD15" s="75">
        <f t="shared" si="38"/>
        <v>139874.95500000002</v>
      </c>
      <c r="BE15" s="75">
        <f t="shared" si="11"/>
        <v>101208.80999999997</v>
      </c>
      <c r="BF15" s="75">
        <f t="shared" si="37"/>
        <v>-38666.145000000048</v>
      </c>
    </row>
    <row r="16" spans="2:58">
      <c r="B16" t="s">
        <v>474</v>
      </c>
      <c r="C16" s="75">
        <f>Synthèse!$C$21</f>
        <v>7032.369999999999</v>
      </c>
      <c r="D16" s="75">
        <f>GETPIVOTDATA("Montant",BG!$O$337,"Intitulé","Frais bancaires")</f>
        <v>6743.5533333333324</v>
      </c>
      <c r="E16" s="75">
        <f t="shared" si="13"/>
        <v>288.81666666666661</v>
      </c>
      <c r="F16" s="75"/>
      <c r="G16" s="75">
        <f>Synthèse!$C$21</f>
        <v>7032.369999999999</v>
      </c>
      <c r="H16" s="75">
        <f>GETPIVOTDATA("Montant",BG!$O$337,"Intitulé","Frais bancaires")</f>
        <v>6743.5533333333324</v>
      </c>
      <c r="I16" s="75">
        <f t="shared" si="15"/>
        <v>288.81666666666661</v>
      </c>
      <c r="J16" s="75"/>
      <c r="K16" s="75">
        <f>Synthèse!$C$21</f>
        <v>7032.369999999999</v>
      </c>
      <c r="L16" s="75">
        <f>GETPIVOTDATA("Montant",BG!$O$337,"Intitulé","Frais bancaires")</f>
        <v>6743.5533333333324</v>
      </c>
      <c r="M16" s="75">
        <f t="shared" si="17"/>
        <v>288.81666666666661</v>
      </c>
      <c r="N16" s="75"/>
      <c r="O16" s="75">
        <f>Synthèse!$C$21</f>
        <v>7032.369999999999</v>
      </c>
      <c r="P16" s="75">
        <f>GETPIVOTDATA("0,00",BG!$T$255,"x","Frais bancaires")</f>
        <v>5099.92</v>
      </c>
      <c r="Q16" s="75">
        <f t="shared" si="19"/>
        <v>1932.4499999999989</v>
      </c>
      <c r="R16" s="75"/>
      <c r="S16" s="75">
        <f>Synthèse!$C$21</f>
        <v>7032.369999999999</v>
      </c>
      <c r="T16" s="75">
        <f>GETPIVOTDATA("0,00",BG!$Z$260,"x","Frais bancaires")</f>
        <v>4385.99</v>
      </c>
      <c r="U16" s="75">
        <f t="shared" si="21"/>
        <v>2646.3799999999992</v>
      </c>
      <c r="V16" s="75"/>
      <c r="W16" s="75">
        <f>Synthèse!$C$21</f>
        <v>7032.369999999999</v>
      </c>
      <c r="X16" s="75">
        <f>GETPIVOTDATA("0,00",BG!$AF$255,"x","Frais bancaires")</f>
        <v>3841.13</v>
      </c>
      <c r="Y16" s="75">
        <f t="shared" si="23"/>
        <v>3191.2399999999989</v>
      </c>
      <c r="Z16" s="75"/>
      <c r="AA16" s="75">
        <f>Synthèse!$C$21</f>
        <v>7032.369999999999</v>
      </c>
      <c r="AB16" s="75"/>
      <c r="AC16" s="75">
        <f t="shared" si="25"/>
        <v>7032.369999999999</v>
      </c>
      <c r="AD16" s="75"/>
      <c r="AE16" s="75">
        <f>Synthèse!$C$21</f>
        <v>7032.369999999999</v>
      </c>
      <c r="AF16" s="75"/>
      <c r="AG16" s="75">
        <f t="shared" si="27"/>
        <v>7032.369999999999</v>
      </c>
      <c r="AH16" s="75"/>
      <c r="AI16" s="75">
        <f>Synthèse!$C$21</f>
        <v>7032.369999999999</v>
      </c>
      <c r="AJ16" s="75"/>
      <c r="AK16" s="75">
        <f t="shared" si="29"/>
        <v>7032.369999999999</v>
      </c>
      <c r="AL16" s="75"/>
      <c r="AM16" s="75">
        <f>Synthèse!$C$21</f>
        <v>7032.369999999999</v>
      </c>
      <c r="AN16" s="75"/>
      <c r="AO16" s="75">
        <f t="shared" si="31"/>
        <v>7032.369999999999</v>
      </c>
      <c r="AP16" s="75"/>
      <c r="AQ16" s="75">
        <f>Synthèse!$C$21</f>
        <v>7032.369999999999</v>
      </c>
      <c r="AR16" s="75"/>
      <c r="AS16" s="75">
        <f t="shared" si="33"/>
        <v>7032.369999999999</v>
      </c>
      <c r="AT16" s="75"/>
      <c r="AU16" s="75">
        <f>Synthèse!$C$21</f>
        <v>7032.369999999999</v>
      </c>
      <c r="AV16" s="75"/>
      <c r="AW16" s="75">
        <f t="shared" si="35"/>
        <v>7032.369999999999</v>
      </c>
      <c r="AX16" s="75"/>
      <c r="AY16" s="75"/>
      <c r="AZ16" s="75">
        <f t="shared" si="39"/>
        <v>21097.109999999997</v>
      </c>
      <c r="BA16" s="75">
        <f t="shared" si="40"/>
        <v>20230.659999999996</v>
      </c>
      <c r="BB16" s="75">
        <f t="shared" si="36"/>
        <v>-866.45000000000073</v>
      </c>
      <c r="BC16" s="75"/>
      <c r="BD16" s="75">
        <f t="shared" si="38"/>
        <v>63291.329999999987</v>
      </c>
      <c r="BE16" s="75">
        <f t="shared" si="11"/>
        <v>60691.979999999989</v>
      </c>
      <c r="BF16" s="75">
        <f t="shared" si="37"/>
        <v>-2599.3499999999985</v>
      </c>
    </row>
    <row r="17" spans="2:58">
      <c r="B17" t="s">
        <v>6</v>
      </c>
      <c r="C17" s="75">
        <f>Synthèse!$C$22</f>
        <v>4897.4433333333336</v>
      </c>
      <c r="D17" s="75">
        <f>GETPIVOTDATA("Montant",BG!$O$337,"Intitulé","Assurances")</f>
        <v>4279.6900000000005</v>
      </c>
      <c r="E17" s="75">
        <f t="shared" si="13"/>
        <v>617.7533333333331</v>
      </c>
      <c r="F17" s="75"/>
      <c r="G17" s="75">
        <f>Synthèse!$C$22</f>
        <v>4897.4433333333336</v>
      </c>
      <c r="H17" s="75">
        <f>GETPIVOTDATA("Montant",BG!$O$337,"Intitulé","Assurances")</f>
        <v>4279.6900000000005</v>
      </c>
      <c r="I17" s="75">
        <f t="shared" si="15"/>
        <v>617.7533333333331</v>
      </c>
      <c r="J17" s="75"/>
      <c r="K17" s="75">
        <f>Synthèse!$C$22</f>
        <v>4897.4433333333336</v>
      </c>
      <c r="L17" s="75">
        <f>GETPIVOTDATA("Montant",BG!$O$337,"Intitulé","Assurances")</f>
        <v>4279.6900000000005</v>
      </c>
      <c r="M17" s="75">
        <f t="shared" si="17"/>
        <v>617.7533333333331</v>
      </c>
      <c r="N17" s="75"/>
      <c r="O17" s="75">
        <f>Synthèse!$C$22</f>
        <v>4897.4433333333336</v>
      </c>
      <c r="P17" s="75">
        <f>GETPIVOTDATA("0,00",BG!$T$255,"x","Assurances")</f>
        <v>14465.29</v>
      </c>
      <c r="Q17" s="75">
        <f t="shared" si="19"/>
        <v>-9567.8466666666682</v>
      </c>
      <c r="R17" s="75"/>
      <c r="S17" s="75">
        <f>Synthèse!$C$22</f>
        <v>4897.4433333333336</v>
      </c>
      <c r="T17" s="75">
        <f>GETPIVOTDATA("0,00",BG!$Z$260,"x","Assurances")</f>
        <v>-4295.88</v>
      </c>
      <c r="U17" s="75">
        <f t="shared" si="21"/>
        <v>9193.3233333333337</v>
      </c>
      <c r="V17" s="75"/>
      <c r="W17" s="75">
        <f>Synthèse!$C$22</f>
        <v>4897.4433333333336</v>
      </c>
      <c r="X17" s="75">
        <f>GETPIVOTDATA("0,00",BG!$AF$255,"x","Assurances")</f>
        <v>6376.1799999999994</v>
      </c>
      <c r="Y17" s="75">
        <f t="shared" si="23"/>
        <v>-1478.7366666666658</v>
      </c>
      <c r="Z17" s="75"/>
      <c r="AA17" s="75">
        <f>Synthèse!$C$22</f>
        <v>4897.4433333333336</v>
      </c>
      <c r="AB17" s="75"/>
      <c r="AC17" s="75">
        <f t="shared" si="25"/>
        <v>4897.4433333333336</v>
      </c>
      <c r="AD17" s="75"/>
      <c r="AE17" s="75">
        <f>Synthèse!$C$22</f>
        <v>4897.4433333333336</v>
      </c>
      <c r="AF17" s="75"/>
      <c r="AG17" s="75">
        <f t="shared" si="27"/>
        <v>4897.4433333333336</v>
      </c>
      <c r="AH17" s="75"/>
      <c r="AI17" s="75">
        <f>Synthèse!$C$22</f>
        <v>4897.4433333333336</v>
      </c>
      <c r="AJ17" s="75"/>
      <c r="AK17" s="75">
        <f t="shared" si="29"/>
        <v>4897.4433333333336</v>
      </c>
      <c r="AL17" s="75"/>
      <c r="AM17" s="75">
        <f>Synthèse!$C$22</f>
        <v>4897.4433333333336</v>
      </c>
      <c r="AN17" s="75"/>
      <c r="AO17" s="75">
        <f t="shared" si="31"/>
        <v>4897.4433333333336</v>
      </c>
      <c r="AP17" s="75"/>
      <c r="AQ17" s="75">
        <f>Synthèse!$C$22</f>
        <v>4897.4433333333336</v>
      </c>
      <c r="AR17" s="75"/>
      <c r="AS17" s="75">
        <f t="shared" si="33"/>
        <v>4897.4433333333336</v>
      </c>
      <c r="AT17" s="75"/>
      <c r="AU17" s="75">
        <f>Synthèse!$C$22</f>
        <v>4897.4433333333336</v>
      </c>
      <c r="AV17" s="75"/>
      <c r="AW17" s="75">
        <f t="shared" si="35"/>
        <v>4897.4433333333336</v>
      </c>
      <c r="AX17" s="75"/>
      <c r="AY17" s="75"/>
      <c r="AZ17" s="75">
        <f t="shared" si="39"/>
        <v>14692.330000000002</v>
      </c>
      <c r="BA17" s="75">
        <f t="shared" si="40"/>
        <v>12839.070000000002</v>
      </c>
      <c r="BB17" s="75">
        <f t="shared" si="36"/>
        <v>-1853.2600000000002</v>
      </c>
      <c r="BC17" s="75"/>
      <c r="BD17" s="75">
        <f t="shared" si="38"/>
        <v>44076.990000000005</v>
      </c>
      <c r="BE17" s="75">
        <f t="shared" si="11"/>
        <v>38517.210000000006</v>
      </c>
      <c r="BF17" s="75">
        <f t="shared" si="37"/>
        <v>-5559.7799999999988</v>
      </c>
    </row>
    <row r="18" spans="2:58">
      <c r="B18" t="s">
        <v>497</v>
      </c>
      <c r="C18" s="75">
        <f>Synthèse!$C$23</f>
        <v>11286.666666666666</v>
      </c>
      <c r="D18" s="75">
        <f>GETPIVOTDATA("Montant",BG!$O$337,"Intitulé","Dotations")</f>
        <v>11045.956666666667</v>
      </c>
      <c r="E18" s="75">
        <f t="shared" si="13"/>
        <v>240.70999999999913</v>
      </c>
      <c r="F18" s="75"/>
      <c r="G18" s="75">
        <f>Synthèse!$C$23</f>
        <v>11286.666666666666</v>
      </c>
      <c r="H18" s="75">
        <f>GETPIVOTDATA("Montant",BG!$O$337,"Intitulé","Dotations")</f>
        <v>11045.956666666667</v>
      </c>
      <c r="I18" s="75">
        <f t="shared" si="15"/>
        <v>240.70999999999913</v>
      </c>
      <c r="J18" s="75"/>
      <c r="K18" s="75">
        <f>Synthèse!$C$23</f>
        <v>11286.666666666666</v>
      </c>
      <c r="L18" s="75">
        <f>GETPIVOTDATA("Montant",BG!$O$337,"Intitulé","Dotations")</f>
        <v>11045.956666666667</v>
      </c>
      <c r="M18" s="75">
        <f t="shared" si="17"/>
        <v>240.70999999999913</v>
      </c>
      <c r="N18" s="75"/>
      <c r="O18" s="75">
        <f>Synthèse!$C$23</f>
        <v>11286.666666666666</v>
      </c>
      <c r="P18" s="75">
        <f>GETPIVOTDATA("0,00",BG!$T$255,"x","Dotations")</f>
        <v>0</v>
      </c>
      <c r="Q18" s="75">
        <f t="shared" si="19"/>
        <v>11286.666666666666</v>
      </c>
      <c r="R18" s="75"/>
      <c r="S18" s="75">
        <f>Synthèse!$C$23</f>
        <v>11286.666666666666</v>
      </c>
      <c r="T18" s="75">
        <f>GETPIVOTDATA("0,00",BG!$Z$260,"x","Dotations")</f>
        <v>0</v>
      </c>
      <c r="U18" s="75">
        <f t="shared" si="21"/>
        <v>11286.666666666666</v>
      </c>
      <c r="V18" s="75"/>
      <c r="W18" s="75">
        <f>Synthèse!$C$23</f>
        <v>11286.666666666666</v>
      </c>
      <c r="X18" s="75">
        <f>GETPIVOTDATA("0,00",BG!$AF$255,"x","Dotations")</f>
        <v>67720</v>
      </c>
      <c r="Y18" s="75">
        <f t="shared" si="23"/>
        <v>-56433.333333333336</v>
      </c>
      <c r="Z18" s="75"/>
      <c r="AA18" s="75">
        <f>Synthèse!$C$23</f>
        <v>11286.666666666666</v>
      </c>
      <c r="AB18" s="75"/>
      <c r="AC18" s="75">
        <f t="shared" si="25"/>
        <v>11286.666666666666</v>
      </c>
      <c r="AD18" s="75"/>
      <c r="AE18" s="75">
        <f>Synthèse!$C$23</f>
        <v>11286.666666666666</v>
      </c>
      <c r="AF18" s="75"/>
      <c r="AG18" s="75">
        <f t="shared" si="27"/>
        <v>11286.666666666666</v>
      </c>
      <c r="AH18" s="75"/>
      <c r="AI18" s="75">
        <f>Synthèse!$C$23</f>
        <v>11286.666666666666</v>
      </c>
      <c r="AJ18" s="75"/>
      <c r="AK18" s="75">
        <f t="shared" si="29"/>
        <v>11286.666666666666</v>
      </c>
      <c r="AL18" s="75"/>
      <c r="AM18" s="75">
        <f>Synthèse!$C$23</f>
        <v>11286.666666666666</v>
      </c>
      <c r="AN18" s="75"/>
      <c r="AO18" s="75">
        <f t="shared" si="31"/>
        <v>11286.666666666666</v>
      </c>
      <c r="AP18" s="75"/>
      <c r="AQ18" s="75">
        <f>Synthèse!$C$23</f>
        <v>11286.666666666666</v>
      </c>
      <c r="AR18" s="75"/>
      <c r="AS18" s="75">
        <f t="shared" si="33"/>
        <v>11286.666666666666</v>
      </c>
      <c r="AT18" s="75"/>
      <c r="AU18" s="75">
        <f>Synthèse!$C$23</f>
        <v>11286.666666666666</v>
      </c>
      <c r="AV18" s="75"/>
      <c r="AW18" s="75">
        <f t="shared" si="35"/>
        <v>11286.666666666666</v>
      </c>
      <c r="AX18" s="75"/>
      <c r="AY18" s="75"/>
      <c r="AZ18" s="75">
        <f t="shared" si="39"/>
        <v>33860</v>
      </c>
      <c r="BA18" s="75">
        <f t="shared" si="40"/>
        <v>33137.870000000003</v>
      </c>
      <c r="BB18" s="75">
        <f t="shared" si="36"/>
        <v>-722.12999999999738</v>
      </c>
      <c r="BC18" s="75"/>
      <c r="BD18" s="75">
        <f t="shared" si="38"/>
        <v>101580</v>
      </c>
      <c r="BE18" s="75">
        <f t="shared" si="11"/>
        <v>99413.610000000015</v>
      </c>
      <c r="BF18" s="75">
        <f t="shared" si="37"/>
        <v>-2166.3899999999849</v>
      </c>
    </row>
    <row r="19" spans="2:58">
      <c r="B19" s="33" t="s">
        <v>500</v>
      </c>
      <c r="C19" s="76">
        <f t="shared" ref="C19:E19" si="41">SUM(C9:C18)</f>
        <v>87548.717708333337</v>
      </c>
      <c r="D19" s="76">
        <f t="shared" si="41"/>
        <v>561545.62333333329</v>
      </c>
      <c r="E19" s="76">
        <f t="shared" si="41"/>
        <v>-473996.90562499996</v>
      </c>
      <c r="F19" s="76"/>
      <c r="G19" s="76">
        <f t="shared" ref="G19:I19" si="42">SUM(G9:G18)</f>
        <v>87548.717708333337</v>
      </c>
      <c r="H19" s="76">
        <f t="shared" si="42"/>
        <v>561545.62333333329</v>
      </c>
      <c r="I19" s="76">
        <f t="shared" si="42"/>
        <v>-473996.90562499996</v>
      </c>
      <c r="J19" s="76"/>
      <c r="K19" s="76">
        <f t="shared" ref="K19:M19" si="43">SUM(K9:K18)</f>
        <v>87548.717708333337</v>
      </c>
      <c r="L19" s="76">
        <f t="shared" si="43"/>
        <v>561545.62333333329</v>
      </c>
      <c r="M19" s="76">
        <f t="shared" si="43"/>
        <v>-473996.90562499996</v>
      </c>
      <c r="N19" s="76"/>
      <c r="O19" s="76">
        <f t="shared" ref="O19:Q19" si="44">SUM(O9:O18)</f>
        <v>87548.717708333337</v>
      </c>
      <c r="P19" s="76">
        <f t="shared" si="44"/>
        <v>546766.89</v>
      </c>
      <c r="Q19" s="76">
        <f t="shared" si="44"/>
        <v>-459218.17229166662</v>
      </c>
      <c r="R19" s="76"/>
      <c r="S19" s="76">
        <f t="shared" ref="S19:U19" si="45">SUM(S9:S18)</f>
        <v>87548.717708333337</v>
      </c>
      <c r="T19" s="76">
        <f t="shared" si="45"/>
        <v>463672.38</v>
      </c>
      <c r="U19" s="76">
        <f t="shared" si="45"/>
        <v>-376123.66229166655</v>
      </c>
      <c r="V19" s="76"/>
      <c r="W19" s="76">
        <f t="shared" ref="W19:Y19" si="46">SUM(W9:W18)</f>
        <v>87548.717708333337</v>
      </c>
      <c r="X19" s="76">
        <f t="shared" si="46"/>
        <v>655203.99</v>
      </c>
      <c r="Y19" s="76">
        <f t="shared" si="46"/>
        <v>-567655.27229166671</v>
      </c>
      <c r="Z19" s="76"/>
      <c r="AA19" s="76">
        <f t="shared" ref="AA19:AC19" si="47">SUM(AA9:AA18)</f>
        <v>87548.717708333337</v>
      </c>
      <c r="AB19" s="76">
        <f t="shared" si="47"/>
        <v>0</v>
      </c>
      <c r="AC19" s="76">
        <f t="shared" si="47"/>
        <v>87548.717708333337</v>
      </c>
      <c r="AD19" s="76"/>
      <c r="AE19" s="76">
        <f t="shared" ref="AE19:AG19" si="48">SUM(AE9:AE18)</f>
        <v>87548.717708333337</v>
      </c>
      <c r="AF19" s="76">
        <f t="shared" si="48"/>
        <v>0</v>
      </c>
      <c r="AG19" s="76">
        <f t="shared" si="48"/>
        <v>87548.717708333337</v>
      </c>
      <c r="AH19" s="76"/>
      <c r="AI19" s="76">
        <f t="shared" ref="AI19:AK19" si="49">SUM(AI9:AI18)</f>
        <v>87548.717708333337</v>
      </c>
      <c r="AJ19" s="76">
        <f t="shared" si="49"/>
        <v>0</v>
      </c>
      <c r="AK19" s="76">
        <f t="shared" si="49"/>
        <v>87548.717708333337</v>
      </c>
      <c r="AL19" s="76"/>
      <c r="AM19" s="76">
        <f t="shared" ref="AM19:AO19" si="50">SUM(AM9:AM18)</f>
        <v>87548.717708333337</v>
      </c>
      <c r="AN19" s="76">
        <f t="shared" si="50"/>
        <v>0</v>
      </c>
      <c r="AO19" s="76">
        <f t="shared" si="50"/>
        <v>87548.717708333337</v>
      </c>
      <c r="AP19" s="76"/>
      <c r="AQ19" s="76">
        <f t="shared" ref="AQ19:AS19" si="51">SUM(AQ9:AQ18)</f>
        <v>87548.717708333337</v>
      </c>
      <c r="AR19" s="76">
        <f t="shared" si="51"/>
        <v>0</v>
      </c>
      <c r="AS19" s="76">
        <f t="shared" si="51"/>
        <v>87548.717708333337</v>
      </c>
      <c r="AT19" s="76"/>
      <c r="AU19" s="76">
        <f t="shared" ref="AU19:AW19" si="52">SUM(AU9:AU18)</f>
        <v>87548.717708333337</v>
      </c>
      <c r="AV19" s="76">
        <f t="shared" si="52"/>
        <v>0</v>
      </c>
      <c r="AW19" s="76">
        <f t="shared" si="52"/>
        <v>87548.717708333337</v>
      </c>
      <c r="AX19" s="81"/>
      <c r="AY19" s="81"/>
      <c r="AZ19" s="76">
        <f t="shared" si="39"/>
        <v>262646.15312500001</v>
      </c>
      <c r="BA19" s="76">
        <f t="shared" si="40"/>
        <v>1684636.8699999999</v>
      </c>
      <c r="BB19" s="76">
        <f t="shared" si="36"/>
        <v>1421990.7168749999</v>
      </c>
      <c r="BC19" s="76"/>
      <c r="BD19" s="76">
        <f t="shared" ref="BD19" si="53">(AZ19/$BD$3)*12</f>
        <v>787938.45937500009</v>
      </c>
      <c r="BE19" s="76">
        <f t="shared" ref="BE19" si="54">(BA19/$BD$3)*12</f>
        <v>5053910.6099999994</v>
      </c>
      <c r="BF19" s="76">
        <f t="shared" ref="BF19" si="55">BE19-BD19</f>
        <v>4265972.1506249998</v>
      </c>
    </row>
    <row r="20" spans="2:58"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</row>
    <row r="21" spans="2:58"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</row>
    <row r="22" spans="2:58">
      <c r="B22" s="33" t="s">
        <v>499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5"/>
      <c r="AY22" s="75"/>
      <c r="AZ22" s="77"/>
      <c r="BA22" s="77"/>
      <c r="BB22" s="77"/>
      <c r="BC22" s="77"/>
      <c r="BD22" s="77"/>
      <c r="BE22" s="77"/>
      <c r="BF22" s="77"/>
    </row>
    <row r="23" spans="2:58">
      <c r="B23" t="s">
        <v>480</v>
      </c>
      <c r="C23" s="75">
        <f>Synthèse!$C$28</f>
        <v>9548.8050000000003</v>
      </c>
      <c r="D23" s="75">
        <f>GETPIVOTDATA("Montant",BG!$O$337,"Intitulé","Provisions sur primes")</f>
        <v>12092.11</v>
      </c>
      <c r="E23" s="75">
        <f>C23-D23</f>
        <v>-2543.3050000000003</v>
      </c>
      <c r="F23" s="75"/>
      <c r="G23" s="75">
        <f>Synthèse!$C$28</f>
        <v>9548.8050000000003</v>
      </c>
      <c r="H23" s="75">
        <f>GETPIVOTDATA("Montant",BG!$O$337,"Intitulé","Provisions sur primes")</f>
        <v>12092.11</v>
      </c>
      <c r="I23" s="75">
        <f>G23-H23</f>
        <v>-2543.3050000000003</v>
      </c>
      <c r="J23" s="75"/>
      <c r="K23" s="75">
        <f>Synthèse!$C$28</f>
        <v>9548.8050000000003</v>
      </c>
      <c r="L23" s="75">
        <f>GETPIVOTDATA("Montant",BG!$O$337,"Intitulé","Provisions sur primes")</f>
        <v>12092.11</v>
      </c>
      <c r="M23" s="75">
        <f>K23-L23</f>
        <v>-2543.3050000000003</v>
      </c>
      <c r="N23" s="75"/>
      <c r="O23" s="75">
        <f>Synthèse!$C$28</f>
        <v>9548.8050000000003</v>
      </c>
      <c r="P23" s="75">
        <f>GETPIVOTDATA("0,00",BG!$T$255,"x","Provisions sur primes")</f>
        <v>1428.43</v>
      </c>
      <c r="Q23" s="75">
        <f>O23-P23</f>
        <v>8120.375</v>
      </c>
      <c r="R23" s="75"/>
      <c r="S23" s="75">
        <f>Synthèse!$C$28</f>
        <v>9548.8050000000003</v>
      </c>
      <c r="T23" s="75">
        <f>GETPIVOTDATA("0,00",BG!$Z$260,"x","Provisions sur primes")</f>
        <v>9584.7199999999993</v>
      </c>
      <c r="U23" s="75">
        <f>S23-T23</f>
        <v>-35.914999999999054</v>
      </c>
      <c r="V23" s="75"/>
      <c r="W23" s="75">
        <f>Synthèse!$C$28</f>
        <v>9548.8050000000003</v>
      </c>
      <c r="X23" s="75">
        <f>GETPIVOTDATA("0,00",BG!$AF$255,"x","Provisions sur primes")</f>
        <v>10003.35</v>
      </c>
      <c r="Y23" s="75">
        <f>W23-X23</f>
        <v>-454.54500000000007</v>
      </c>
      <c r="Z23" s="75"/>
      <c r="AA23" s="75">
        <f>Synthèse!$C$28</f>
        <v>9548.8050000000003</v>
      </c>
      <c r="AB23" s="75"/>
      <c r="AC23" s="75">
        <f>AA23-AB23</f>
        <v>9548.8050000000003</v>
      </c>
      <c r="AD23" s="75"/>
      <c r="AE23" s="75">
        <f>Synthèse!$C$28</f>
        <v>9548.8050000000003</v>
      </c>
      <c r="AF23" s="75"/>
      <c r="AG23" s="75">
        <f>AE23-AF23</f>
        <v>9548.8050000000003</v>
      </c>
      <c r="AH23" s="75"/>
      <c r="AI23" s="75">
        <f>Synthèse!$C$28</f>
        <v>9548.8050000000003</v>
      </c>
      <c r="AJ23" s="75"/>
      <c r="AK23" s="75">
        <f>AI23-AJ23</f>
        <v>9548.8050000000003</v>
      </c>
      <c r="AL23" s="75"/>
      <c r="AM23" s="75">
        <f>Synthèse!$C$28</f>
        <v>9548.8050000000003</v>
      </c>
      <c r="AN23" s="75"/>
      <c r="AO23" s="75">
        <f>AM23-AN23</f>
        <v>9548.8050000000003</v>
      </c>
      <c r="AP23" s="75"/>
      <c r="AQ23" s="75">
        <f>Synthèse!$C$28</f>
        <v>9548.8050000000003</v>
      </c>
      <c r="AR23" s="75"/>
      <c r="AS23" s="75">
        <f>AQ23-AR23</f>
        <v>9548.8050000000003</v>
      </c>
      <c r="AT23" s="75"/>
      <c r="AU23" s="75">
        <f>Synthèse!$C$28</f>
        <v>9548.8050000000003</v>
      </c>
      <c r="AV23" s="75"/>
      <c r="AW23" s="75">
        <f>AU23-AV23</f>
        <v>9548.8050000000003</v>
      </c>
      <c r="AX23" s="75"/>
      <c r="AY23" s="75"/>
      <c r="AZ23" s="75">
        <f>SUMIF($C$3:$O$3,"O",C23:O23)</f>
        <v>28646.415000000001</v>
      </c>
      <c r="BA23" s="75">
        <f>SUMIF($C$3:$O$3,"R",C23:O23)</f>
        <v>36276.33</v>
      </c>
      <c r="BB23" s="75">
        <f t="shared" ref="BB23" si="56">BA23-AZ23</f>
        <v>7629.9150000000009</v>
      </c>
      <c r="BC23" s="75"/>
      <c r="BD23" s="75">
        <f t="shared" ref="BD23" si="57">(AZ23/$BD$3)*12</f>
        <v>85939.244999999995</v>
      </c>
      <c r="BE23" s="75">
        <f t="shared" ref="BE23" si="58">(BA23/$BD$3)*12</f>
        <v>108828.99</v>
      </c>
      <c r="BF23" s="75">
        <f t="shared" ref="BF23" si="59">BE23-BD23</f>
        <v>22889.74500000001</v>
      </c>
    </row>
    <row r="24" spans="2:58"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</row>
    <row r="25" spans="2:58">
      <c r="B25" t="s">
        <v>477</v>
      </c>
      <c r="C25" s="75">
        <f>Synthèse!$C$30</f>
        <v>15021.608333333334</v>
      </c>
      <c r="D25" s="75">
        <f>SUM(D26:D27)</f>
        <v>19435.419999999998</v>
      </c>
      <c r="E25" s="75">
        <f t="shared" ref="E25:E27" si="60">C25-D25</f>
        <v>-4413.8116666666647</v>
      </c>
      <c r="F25" s="75"/>
      <c r="G25" s="75">
        <f>Synthèse!$C$30</f>
        <v>15021.608333333334</v>
      </c>
      <c r="H25" s="75">
        <f>SUM(H26:H27)</f>
        <v>19435.419999999998</v>
      </c>
      <c r="I25" s="75">
        <f t="shared" ref="I25:I27" si="61">G25-H25</f>
        <v>-4413.8116666666647</v>
      </c>
      <c r="J25" s="75"/>
      <c r="K25" s="75">
        <f>Synthèse!$C$30</f>
        <v>15021.608333333334</v>
      </c>
      <c r="L25" s="75">
        <f>SUM(L26:L27)</f>
        <v>19435.419999999998</v>
      </c>
      <c r="M25" s="75">
        <f t="shared" ref="M25:M27" si="62">K25-L25</f>
        <v>-4413.8116666666647</v>
      </c>
      <c r="N25" s="75"/>
      <c r="O25" s="75">
        <f>Synthèse!$C$30</f>
        <v>15021.608333333334</v>
      </c>
      <c r="P25" s="75">
        <f>SUM(P26:P27)</f>
        <v>7889.3600000000006</v>
      </c>
      <c r="Q25" s="75">
        <f t="shared" ref="Q25:Q27" si="63">O25-P25</f>
        <v>7132.248333333333</v>
      </c>
      <c r="R25" s="75"/>
      <c r="S25" s="75">
        <f>Synthèse!$C$30</f>
        <v>15021.608333333334</v>
      </c>
      <c r="T25" s="75">
        <f>SUM(T26:T27)</f>
        <v>6085.49</v>
      </c>
      <c r="U25" s="75">
        <f t="shared" ref="U25:U27" si="64">S25-T25</f>
        <v>8936.1183333333338</v>
      </c>
      <c r="V25" s="75"/>
      <c r="W25" s="75">
        <f>Synthèse!$C$30</f>
        <v>15021.608333333334</v>
      </c>
      <c r="X25" s="75">
        <f>SUM(X26:X27)</f>
        <v>17848.54</v>
      </c>
      <c r="Y25" s="75">
        <f t="shared" ref="Y25:Y27" si="65">W25-X25</f>
        <v>-2826.9316666666673</v>
      </c>
      <c r="Z25" s="75"/>
      <c r="AA25" s="75">
        <f>Synthèse!$C$30</f>
        <v>15021.608333333334</v>
      </c>
      <c r="AB25" s="75"/>
      <c r="AC25" s="75">
        <f t="shared" ref="AC25:AC27" si="66">AA25-AB25</f>
        <v>15021.608333333334</v>
      </c>
      <c r="AD25" s="75"/>
      <c r="AE25" s="75">
        <f>Synthèse!$C$30</f>
        <v>15021.608333333334</v>
      </c>
      <c r="AF25" s="75"/>
      <c r="AG25" s="75">
        <f t="shared" ref="AG25:AG27" si="67">AE25-AF25</f>
        <v>15021.608333333334</v>
      </c>
      <c r="AH25" s="75"/>
      <c r="AI25" s="75">
        <f>Synthèse!$C$30</f>
        <v>15021.608333333334</v>
      </c>
      <c r="AJ25" s="75"/>
      <c r="AK25" s="75">
        <f t="shared" ref="AK25:AK27" si="68">AI25-AJ25</f>
        <v>15021.608333333334</v>
      </c>
      <c r="AL25" s="75"/>
      <c r="AM25" s="75">
        <f>Synthèse!$C$30</f>
        <v>15021.608333333334</v>
      </c>
      <c r="AN25" s="75"/>
      <c r="AO25" s="75">
        <f t="shared" ref="AO25:AO27" si="69">AM25-AN25</f>
        <v>15021.608333333334</v>
      </c>
      <c r="AP25" s="75"/>
      <c r="AQ25" s="75">
        <f>Synthèse!$C$30</f>
        <v>15021.608333333334</v>
      </c>
      <c r="AR25" s="75"/>
      <c r="AS25" s="75">
        <f t="shared" ref="AS25:AS27" si="70">AQ25-AR25</f>
        <v>15021.608333333334</v>
      </c>
      <c r="AT25" s="75"/>
      <c r="AU25" s="75">
        <f>Synthèse!$C$30</f>
        <v>15021.608333333334</v>
      </c>
      <c r="AV25" s="75"/>
      <c r="AW25" s="75">
        <f t="shared" ref="AW25:AW27" si="71">AU25-AV25</f>
        <v>15021.608333333334</v>
      </c>
      <c r="AX25" s="75"/>
      <c r="AY25" s="75"/>
      <c r="AZ25" s="75">
        <f>SUMIF($C$3:$O$3,"O",C25:O25)</f>
        <v>45064.824999999997</v>
      </c>
      <c r="BA25" s="75">
        <f>SUMIF($C$3:$O$3,"R",C25:O25)</f>
        <v>58306.259999999995</v>
      </c>
      <c r="BB25" s="75">
        <f t="shared" ref="BB25:BB27" si="72">BA25-AZ25</f>
        <v>13241.434999999998</v>
      </c>
      <c r="BC25" s="75"/>
      <c r="BD25" s="75">
        <f t="shared" ref="BD25:BD27" si="73">(AZ25/$BD$3)*12</f>
        <v>135194.47499999998</v>
      </c>
      <c r="BE25" s="75">
        <f t="shared" ref="BE25:BE27" si="74">(BA25/$BD$3)*12</f>
        <v>174918.77999999997</v>
      </c>
      <c r="BF25" s="75">
        <f t="shared" ref="BF25:BF27" si="75">BE25-BD25</f>
        <v>39724.304999999993</v>
      </c>
    </row>
    <row r="26" spans="2:58">
      <c r="B26" s="26" t="s">
        <v>478</v>
      </c>
      <c r="C26" s="75">
        <f>Synthèse!$C$31</f>
        <v>7314.4066666666668</v>
      </c>
      <c r="D26" s="75">
        <f>GETPIVOTDATA("Montant",BG!$O$337,"Intitulé","Wagram")</f>
        <v>7875.4333333333334</v>
      </c>
      <c r="E26" s="75">
        <f t="shared" si="60"/>
        <v>-561.02666666666664</v>
      </c>
      <c r="F26" s="75"/>
      <c r="G26" s="75">
        <f>Synthèse!$C$31</f>
        <v>7314.4066666666668</v>
      </c>
      <c r="H26" s="75">
        <f>GETPIVOTDATA("Montant",BG!$O$337,"Intitulé","Wagram")</f>
        <v>7875.4333333333334</v>
      </c>
      <c r="I26" s="75">
        <f t="shared" si="61"/>
        <v>-561.02666666666664</v>
      </c>
      <c r="J26" s="75"/>
      <c r="K26" s="75">
        <f>Synthèse!$C$31</f>
        <v>7314.4066666666668</v>
      </c>
      <c r="L26" s="75">
        <f>GETPIVOTDATA("Montant",BG!$O$337,"Intitulé","Wagram")</f>
        <v>7875.4333333333334</v>
      </c>
      <c r="M26" s="75">
        <f t="shared" si="62"/>
        <v>-561.02666666666664</v>
      </c>
      <c r="N26" s="75"/>
      <c r="O26" s="75">
        <f>Synthèse!$C$31</f>
        <v>7314.4066666666668</v>
      </c>
      <c r="P26" s="75">
        <f>GETPIVOTDATA("0,00",BG!$T$255,"x","Wagram")</f>
        <v>6576.93</v>
      </c>
      <c r="Q26" s="75">
        <f t="shared" si="63"/>
        <v>737.47666666666646</v>
      </c>
      <c r="R26" s="75"/>
      <c r="S26" s="75">
        <f>Synthèse!$C$31</f>
        <v>7314.4066666666668</v>
      </c>
      <c r="T26" s="75">
        <f>GETPIVOTDATA("0,00",BG!$Z$260,"x","Wagram")</f>
        <v>5606.71</v>
      </c>
      <c r="U26" s="75">
        <f t="shared" si="64"/>
        <v>1707.6966666666667</v>
      </c>
      <c r="V26" s="75"/>
      <c r="W26" s="75">
        <f>Synthèse!$C$31</f>
        <v>7314.4066666666668</v>
      </c>
      <c r="X26" s="75">
        <f>GETPIVOTDATA("0,00",BG!$AF$255,"x","Wagram")</f>
        <v>8076.5</v>
      </c>
      <c r="Y26" s="75">
        <f t="shared" si="65"/>
        <v>-762.09333333333325</v>
      </c>
      <c r="Z26" s="75"/>
      <c r="AA26" s="75">
        <f>Synthèse!$C$31</f>
        <v>7314.4066666666668</v>
      </c>
      <c r="AB26" s="75"/>
      <c r="AC26" s="75">
        <f t="shared" si="66"/>
        <v>7314.4066666666668</v>
      </c>
      <c r="AD26" s="75"/>
      <c r="AE26" s="75">
        <f>Synthèse!$C$31</f>
        <v>7314.4066666666668</v>
      </c>
      <c r="AF26" s="75"/>
      <c r="AG26" s="75">
        <f t="shared" si="67"/>
        <v>7314.4066666666668</v>
      </c>
      <c r="AH26" s="75"/>
      <c r="AI26" s="75">
        <f>Synthèse!$C$31</f>
        <v>7314.4066666666668</v>
      </c>
      <c r="AJ26" s="75"/>
      <c r="AK26" s="75">
        <f t="shared" si="68"/>
        <v>7314.4066666666668</v>
      </c>
      <c r="AL26" s="75"/>
      <c r="AM26" s="75">
        <f>Synthèse!$C$31</f>
        <v>7314.4066666666668</v>
      </c>
      <c r="AN26" s="75"/>
      <c r="AO26" s="75">
        <f t="shared" si="69"/>
        <v>7314.4066666666668</v>
      </c>
      <c r="AP26" s="75"/>
      <c r="AQ26" s="75">
        <f>Synthèse!$C$31</f>
        <v>7314.4066666666668</v>
      </c>
      <c r="AR26" s="75"/>
      <c r="AS26" s="75">
        <f t="shared" si="70"/>
        <v>7314.4066666666668</v>
      </c>
      <c r="AT26" s="75"/>
      <c r="AU26" s="75">
        <f>Synthèse!$C$31</f>
        <v>7314.4066666666668</v>
      </c>
      <c r="AV26" s="75"/>
      <c r="AW26" s="75">
        <f t="shared" si="71"/>
        <v>7314.4066666666668</v>
      </c>
      <c r="AX26" s="75"/>
      <c r="AY26" s="75"/>
      <c r="AZ26" s="75">
        <f>SUMIF($C$3:$O$3,"O",C26:O26)</f>
        <v>21943.22</v>
      </c>
      <c r="BA26" s="75">
        <f>SUMIF($C$3:$O$3,"R",C26:O26)</f>
        <v>23626.3</v>
      </c>
      <c r="BB26" s="75">
        <f t="shared" si="72"/>
        <v>1683.0799999999981</v>
      </c>
      <c r="BC26" s="75"/>
      <c r="BD26" s="75">
        <f t="shared" si="73"/>
        <v>65829.66</v>
      </c>
      <c r="BE26" s="75">
        <f t="shared" si="74"/>
        <v>70878.899999999994</v>
      </c>
      <c r="BF26" s="75">
        <f t="shared" si="75"/>
        <v>5049.2399999999907</v>
      </c>
    </row>
    <row r="27" spans="2:58">
      <c r="B27" s="26" t="s">
        <v>479</v>
      </c>
      <c r="C27" s="75">
        <f>Synthèse!$C$32</f>
        <v>7707.2016666666668</v>
      </c>
      <c r="D27" s="75">
        <f>GETPIVOTDATA("Montant",BG!$O$337,"Intitulé","Déplacements")</f>
        <v>11559.986666666666</v>
      </c>
      <c r="E27" s="75">
        <f t="shared" si="60"/>
        <v>-3852.7849999999989</v>
      </c>
      <c r="F27" s="75"/>
      <c r="G27" s="75">
        <f>Synthèse!$C$32</f>
        <v>7707.2016666666668</v>
      </c>
      <c r="H27" s="75">
        <f>GETPIVOTDATA("Montant",BG!$O$337,"Intitulé","Déplacements")</f>
        <v>11559.986666666666</v>
      </c>
      <c r="I27" s="75">
        <f t="shared" si="61"/>
        <v>-3852.7849999999989</v>
      </c>
      <c r="J27" s="75"/>
      <c r="K27" s="75">
        <f>Synthèse!$C$32</f>
        <v>7707.2016666666668</v>
      </c>
      <c r="L27" s="75">
        <f>GETPIVOTDATA("Montant",BG!$O$337,"Intitulé","Déplacements")</f>
        <v>11559.986666666666</v>
      </c>
      <c r="M27" s="75">
        <f t="shared" si="62"/>
        <v>-3852.7849999999989</v>
      </c>
      <c r="N27" s="75"/>
      <c r="O27" s="75">
        <f>Synthèse!$C$32</f>
        <v>7707.2016666666668</v>
      </c>
      <c r="P27" s="75">
        <f>GETPIVOTDATA("0,00",BG!$T$255,"x","Déplacements")</f>
        <v>1312.43</v>
      </c>
      <c r="Q27" s="75">
        <f t="shared" si="63"/>
        <v>6394.7716666666665</v>
      </c>
      <c r="R27" s="75"/>
      <c r="S27" s="75">
        <f>Synthèse!$C$32</f>
        <v>7707.2016666666668</v>
      </c>
      <c r="T27" s="75">
        <f>GETPIVOTDATA("0,00",BG!$Z$260,"x","Déplacements")</f>
        <v>478.77999999999975</v>
      </c>
      <c r="U27" s="75">
        <f t="shared" si="64"/>
        <v>7228.4216666666671</v>
      </c>
      <c r="V27" s="75"/>
      <c r="W27" s="75">
        <f>Synthèse!$C$32</f>
        <v>7707.2016666666668</v>
      </c>
      <c r="X27" s="75">
        <f>GETPIVOTDATA("0,00",BG!$AF$255,"x","Déplacements")</f>
        <v>9772.0399999999991</v>
      </c>
      <c r="Y27" s="75">
        <f t="shared" si="65"/>
        <v>-2064.8383333333322</v>
      </c>
      <c r="Z27" s="75"/>
      <c r="AA27" s="75">
        <f>Synthèse!$C$32</f>
        <v>7707.2016666666668</v>
      </c>
      <c r="AB27" s="75"/>
      <c r="AC27" s="75">
        <f t="shared" si="66"/>
        <v>7707.2016666666668</v>
      </c>
      <c r="AD27" s="75"/>
      <c r="AE27" s="75">
        <f>Synthèse!$C$32</f>
        <v>7707.2016666666668</v>
      </c>
      <c r="AF27" s="75"/>
      <c r="AG27" s="75">
        <f t="shared" si="67"/>
        <v>7707.2016666666668</v>
      </c>
      <c r="AH27" s="75"/>
      <c r="AI27" s="75">
        <f>Synthèse!$C$32</f>
        <v>7707.2016666666668</v>
      </c>
      <c r="AJ27" s="75"/>
      <c r="AK27" s="75">
        <f t="shared" si="68"/>
        <v>7707.2016666666668</v>
      </c>
      <c r="AL27" s="75"/>
      <c r="AM27" s="75">
        <f>Synthèse!$C$32</f>
        <v>7707.2016666666668</v>
      </c>
      <c r="AN27" s="75"/>
      <c r="AO27" s="75">
        <f t="shared" si="69"/>
        <v>7707.2016666666668</v>
      </c>
      <c r="AP27" s="75"/>
      <c r="AQ27" s="75">
        <f>Synthèse!$C$32</f>
        <v>7707.2016666666668</v>
      </c>
      <c r="AR27" s="75"/>
      <c r="AS27" s="75">
        <f t="shared" si="70"/>
        <v>7707.2016666666668</v>
      </c>
      <c r="AT27" s="75"/>
      <c r="AU27" s="75">
        <f>Synthèse!$C$32</f>
        <v>7707.2016666666668</v>
      </c>
      <c r="AV27" s="75"/>
      <c r="AW27" s="75">
        <f t="shared" si="71"/>
        <v>7707.2016666666668</v>
      </c>
      <c r="AX27" s="75"/>
      <c r="AY27" s="75"/>
      <c r="AZ27" s="75">
        <f>SUMIF($C$3:$O$3,"O",C27:O27)</f>
        <v>23121.605</v>
      </c>
      <c r="BA27" s="75">
        <f>SUMIF($C$3:$O$3,"R",C27:O27)</f>
        <v>34679.96</v>
      </c>
      <c r="BB27" s="75">
        <f t="shared" si="72"/>
        <v>11558.355</v>
      </c>
      <c r="BC27" s="75"/>
      <c r="BD27" s="75">
        <f t="shared" si="73"/>
        <v>69364.815000000002</v>
      </c>
      <c r="BE27" s="75">
        <f t="shared" si="74"/>
        <v>104039.88</v>
      </c>
      <c r="BF27" s="75">
        <f t="shared" si="75"/>
        <v>34675.065000000002</v>
      </c>
    </row>
    <row r="28" spans="2:58"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</row>
    <row r="29" spans="2:58">
      <c r="B29" t="s">
        <v>465</v>
      </c>
      <c r="C29" s="75">
        <f>Synthèse!$C$34</f>
        <v>2797.396666666667</v>
      </c>
      <c r="D29" s="75">
        <f>GETPIVOTDATA("Montant",BG!$O$337,"Intitulé","Documentation")</f>
        <v>2311.1066666666666</v>
      </c>
      <c r="E29" s="75">
        <f>C29-D29</f>
        <v>486.29000000000042</v>
      </c>
      <c r="F29" s="75"/>
      <c r="G29" s="75">
        <f>Synthèse!$C$34</f>
        <v>2797.396666666667</v>
      </c>
      <c r="H29" s="75">
        <f>GETPIVOTDATA("Montant",BG!$O$337,"Intitulé","Documentation")</f>
        <v>2311.1066666666666</v>
      </c>
      <c r="I29" s="75">
        <f>G29-H29</f>
        <v>486.29000000000042</v>
      </c>
      <c r="J29" s="75"/>
      <c r="K29" s="75">
        <f>Synthèse!$C$34</f>
        <v>2797.396666666667</v>
      </c>
      <c r="L29" s="75">
        <f>GETPIVOTDATA("Montant",BG!$O$337,"Intitulé","Documentation")</f>
        <v>2311.1066666666666</v>
      </c>
      <c r="M29" s="75">
        <f>K29-L29</f>
        <v>486.29000000000042</v>
      </c>
      <c r="N29" s="75"/>
      <c r="O29" s="75">
        <f>Synthèse!$C$34</f>
        <v>2797.396666666667</v>
      </c>
      <c r="P29" s="75">
        <f>GETPIVOTDATA("0,00",BG!$T$255,"x","Documentation")</f>
        <v>1575.3600000000001</v>
      </c>
      <c r="Q29" s="75">
        <f>O29-P29</f>
        <v>1222.0366666666669</v>
      </c>
      <c r="R29" s="75"/>
      <c r="S29" s="75">
        <f>Synthèse!$C$34</f>
        <v>2797.396666666667</v>
      </c>
      <c r="T29" s="75">
        <f>GETPIVOTDATA("0,00",BG!$Z$260,"x","Documentation")</f>
        <v>7564.96</v>
      </c>
      <c r="U29" s="75">
        <f>S29-T29</f>
        <v>-4767.5633333333335</v>
      </c>
      <c r="V29" s="75"/>
      <c r="W29" s="75">
        <f>Synthèse!$C$34</f>
        <v>2797.396666666667</v>
      </c>
      <c r="X29" s="75">
        <f>GETPIVOTDATA("0,00",BG!$AF$255,"x","Documentation")</f>
        <v>710.74</v>
      </c>
      <c r="Y29" s="75">
        <f>W29-X29</f>
        <v>2086.6566666666668</v>
      </c>
      <c r="Z29" s="75"/>
      <c r="AA29" s="75">
        <f>Synthèse!$C$34</f>
        <v>2797.396666666667</v>
      </c>
      <c r="AB29" s="75"/>
      <c r="AC29" s="75">
        <f>AA29-AB29</f>
        <v>2797.396666666667</v>
      </c>
      <c r="AD29" s="75"/>
      <c r="AE29" s="75">
        <f>Synthèse!$C$34</f>
        <v>2797.396666666667</v>
      </c>
      <c r="AF29" s="75"/>
      <c r="AG29" s="75">
        <f>AE29-AF29</f>
        <v>2797.396666666667</v>
      </c>
      <c r="AH29" s="75"/>
      <c r="AI29" s="75">
        <f>Synthèse!$C$34</f>
        <v>2797.396666666667</v>
      </c>
      <c r="AJ29" s="75"/>
      <c r="AK29" s="75">
        <f>AI29-AJ29</f>
        <v>2797.396666666667</v>
      </c>
      <c r="AL29" s="75"/>
      <c r="AM29" s="75">
        <f>Synthèse!$C$34</f>
        <v>2797.396666666667</v>
      </c>
      <c r="AN29" s="75"/>
      <c r="AO29" s="75">
        <f>AM29-AN29</f>
        <v>2797.396666666667</v>
      </c>
      <c r="AP29" s="75"/>
      <c r="AQ29" s="75">
        <f>Synthèse!$C$34</f>
        <v>2797.396666666667</v>
      </c>
      <c r="AR29" s="75"/>
      <c r="AS29" s="75">
        <f>AQ29-AR29</f>
        <v>2797.396666666667</v>
      </c>
      <c r="AT29" s="75"/>
      <c r="AU29" s="75">
        <f>Synthèse!$C$34</f>
        <v>2797.396666666667</v>
      </c>
      <c r="AV29" s="75"/>
      <c r="AW29" s="75">
        <f>AU29-AV29</f>
        <v>2797.396666666667</v>
      </c>
      <c r="AX29" s="75"/>
      <c r="AY29" s="75"/>
      <c r="AZ29" s="75">
        <f>SUMIF($C$3:$O$3,"O",C29:O29)</f>
        <v>8392.19</v>
      </c>
      <c r="BA29" s="75">
        <f>SUMIF($C$3:$O$3,"R",C29:O29)</f>
        <v>6933.32</v>
      </c>
      <c r="BB29" s="75">
        <f t="shared" ref="BB29" si="76">BA29-AZ29</f>
        <v>-1458.8700000000008</v>
      </c>
      <c r="BC29" s="75"/>
      <c r="BD29" s="75">
        <f t="shared" ref="BD29" si="77">(AZ29/$BD$3)*12</f>
        <v>25176.57</v>
      </c>
      <c r="BE29" s="75">
        <f t="shared" ref="BE29" si="78">(BA29/$BD$3)*12</f>
        <v>20799.96</v>
      </c>
      <c r="BF29" s="75">
        <f t="shared" ref="BF29" si="79">BE29-BD29</f>
        <v>-4376.6100000000006</v>
      </c>
    </row>
    <row r="30" spans="2:58"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</row>
    <row r="31" spans="2:58">
      <c r="B31" t="s">
        <v>466</v>
      </c>
      <c r="C31" s="75">
        <f>Synthèse!$C$36</f>
        <v>34878.271666666667</v>
      </c>
      <c r="D31" s="75">
        <f>SUM(D32:D36)</f>
        <v>29956.800000000003</v>
      </c>
      <c r="E31" s="75">
        <f t="shared" ref="E31:E36" si="80">C31-D31</f>
        <v>4921.4716666666645</v>
      </c>
      <c r="F31" s="75"/>
      <c r="G31" s="75">
        <f>Synthèse!$C$36</f>
        <v>34878.271666666667</v>
      </c>
      <c r="H31" s="75">
        <f>SUM(H32:H36)</f>
        <v>29956.800000000003</v>
      </c>
      <c r="I31" s="75">
        <f t="shared" ref="I31:I36" si="81">G31-H31</f>
        <v>4921.4716666666645</v>
      </c>
      <c r="J31" s="75"/>
      <c r="K31" s="75">
        <f>Synthèse!$C$36</f>
        <v>34878.271666666667</v>
      </c>
      <c r="L31" s="75">
        <f>SUM(L32:L36)</f>
        <v>29956.800000000003</v>
      </c>
      <c r="M31" s="75">
        <f t="shared" ref="M31:M36" si="82">K31-L31</f>
        <v>4921.4716666666645</v>
      </c>
      <c r="N31" s="75"/>
      <c r="O31" s="75">
        <f>Synthèse!$C$36</f>
        <v>34878.271666666667</v>
      </c>
      <c r="P31" s="75">
        <f>SUM(P32:P36)</f>
        <v>52826.740000000005</v>
      </c>
      <c r="Q31" s="75">
        <f t="shared" ref="Q31:Q36" si="83">O31-P31</f>
        <v>-17948.468333333338</v>
      </c>
      <c r="R31" s="75"/>
      <c r="S31" s="75">
        <f>Synthèse!$C$36</f>
        <v>34878.271666666667</v>
      </c>
      <c r="T31" s="75">
        <f>SUM(T32:T36)</f>
        <v>49388.53</v>
      </c>
      <c r="U31" s="75">
        <f t="shared" ref="U31:U36" si="84">S31-T31</f>
        <v>-14510.258333333331</v>
      </c>
      <c r="V31" s="75"/>
      <c r="W31" s="75">
        <f>Synthèse!$C$36</f>
        <v>34878.271666666667</v>
      </c>
      <c r="X31" s="75">
        <f>SUM(X32:X36)</f>
        <v>40270.480000000003</v>
      </c>
      <c r="Y31" s="75">
        <f t="shared" ref="Y31:Y36" si="85">W31-X31</f>
        <v>-5392.2083333333358</v>
      </c>
      <c r="Z31" s="75"/>
      <c r="AA31" s="75">
        <f>Synthèse!$C$36</f>
        <v>34878.271666666667</v>
      </c>
      <c r="AB31" s="75"/>
      <c r="AC31" s="75">
        <f t="shared" ref="AC31:AC36" si="86">AA31-AB31</f>
        <v>34878.271666666667</v>
      </c>
      <c r="AD31" s="75"/>
      <c r="AE31" s="75">
        <f>Synthèse!$C$36</f>
        <v>34878.271666666667</v>
      </c>
      <c r="AF31" s="75"/>
      <c r="AG31" s="75">
        <f t="shared" ref="AG31:AG36" si="87">AE31-AF31</f>
        <v>34878.271666666667</v>
      </c>
      <c r="AH31" s="75"/>
      <c r="AI31" s="75">
        <f>Synthèse!$C$36</f>
        <v>34878.271666666667</v>
      </c>
      <c r="AJ31" s="75"/>
      <c r="AK31" s="75">
        <f t="shared" ref="AK31:AK36" si="88">AI31-AJ31</f>
        <v>34878.271666666667</v>
      </c>
      <c r="AL31" s="75"/>
      <c r="AM31" s="75">
        <f>Synthèse!$C$36</f>
        <v>34878.271666666667</v>
      </c>
      <c r="AN31" s="75"/>
      <c r="AO31" s="75">
        <f t="shared" ref="AO31:AO36" si="89">AM31-AN31</f>
        <v>34878.271666666667</v>
      </c>
      <c r="AP31" s="75"/>
      <c r="AQ31" s="75">
        <f>Synthèse!$C$36</f>
        <v>34878.271666666667</v>
      </c>
      <c r="AR31" s="75"/>
      <c r="AS31" s="75">
        <f t="shared" ref="AS31:AS36" si="90">AQ31-AR31</f>
        <v>34878.271666666667</v>
      </c>
      <c r="AT31" s="75"/>
      <c r="AU31" s="75">
        <f>Synthèse!$C$36</f>
        <v>34878.271666666667</v>
      </c>
      <c r="AV31" s="75"/>
      <c r="AW31" s="75">
        <f t="shared" ref="AW31:AW36" si="91">AU31-AV31</f>
        <v>34878.271666666667</v>
      </c>
      <c r="AX31" s="75"/>
      <c r="AY31" s="75"/>
      <c r="AZ31" s="75">
        <f t="shared" ref="AZ31:AZ36" si="92">SUMIF($C$3:$O$3,"O",C31:O31)</f>
        <v>104634.815</v>
      </c>
      <c r="BA31" s="75">
        <f t="shared" ref="BA31:BA36" si="93">SUMIF($C$3:$O$3,"R",C31:O31)</f>
        <v>89870.400000000009</v>
      </c>
      <c r="BB31" s="75">
        <f t="shared" ref="BB31:BB36" si="94">BA31-AZ31</f>
        <v>-14764.414999999994</v>
      </c>
      <c r="BC31" s="75"/>
      <c r="BD31" s="75">
        <f t="shared" ref="BD31:BD36" si="95">(AZ31/$BD$3)*12</f>
        <v>313904.44500000001</v>
      </c>
      <c r="BE31" s="75">
        <f t="shared" ref="BE31:BE36" si="96">(BA31/$BD$3)*12</f>
        <v>269611.2</v>
      </c>
      <c r="BF31" s="75">
        <f t="shared" ref="BF31:BF36" si="97">BE31-BD31</f>
        <v>-44293.244999999995</v>
      </c>
    </row>
    <row r="32" spans="2:58">
      <c r="B32" s="26" t="s">
        <v>467</v>
      </c>
      <c r="C32" s="75">
        <f>Synthèse!$C$37</f>
        <v>14416.666666666666</v>
      </c>
      <c r="D32" s="75">
        <f>GETPIVOTDATA("Montant",BG!$O$337,"Intitulé","Honoraires HM")</f>
        <v>14833.333333333334</v>
      </c>
      <c r="E32" s="75">
        <f t="shared" si="80"/>
        <v>-416.66666666666788</v>
      </c>
      <c r="F32" s="75"/>
      <c r="G32" s="75">
        <f>Synthèse!$C$37</f>
        <v>14416.666666666666</v>
      </c>
      <c r="H32" s="75">
        <f>GETPIVOTDATA("Montant",BG!$O$337,"Intitulé","Honoraires HM")</f>
        <v>14833.333333333334</v>
      </c>
      <c r="I32" s="75">
        <f t="shared" si="81"/>
        <v>-416.66666666666788</v>
      </c>
      <c r="J32" s="75"/>
      <c r="K32" s="75">
        <f>Synthèse!$C$37</f>
        <v>14416.666666666666</v>
      </c>
      <c r="L32" s="75">
        <f>GETPIVOTDATA("Montant",BG!$O$337,"Intitulé","Honoraires HM")</f>
        <v>14833.333333333334</v>
      </c>
      <c r="M32" s="75">
        <f t="shared" si="82"/>
        <v>-416.66666666666788</v>
      </c>
      <c r="N32" s="75"/>
      <c r="O32" s="75">
        <f>Synthèse!$C$37</f>
        <v>14416.666666666666</v>
      </c>
      <c r="P32" s="75">
        <f>GETPIVOTDATA("0,00",BG!$T$255,"x","Honoraires HM")</f>
        <v>14000</v>
      </c>
      <c r="Q32" s="75">
        <f t="shared" si="83"/>
        <v>416.66666666666606</v>
      </c>
      <c r="R32" s="75"/>
      <c r="S32" s="75">
        <f>Synthèse!$C$37</f>
        <v>14416.666666666666</v>
      </c>
      <c r="T32" s="75">
        <f>GETPIVOTDATA("0,00",BG!$Z$260,"x","Honoraires HM")</f>
        <v>14000</v>
      </c>
      <c r="U32" s="75">
        <f t="shared" si="84"/>
        <v>416.66666666666606</v>
      </c>
      <c r="V32" s="75"/>
      <c r="W32" s="75">
        <f>Synthèse!$C$37</f>
        <v>14416.666666666666</v>
      </c>
      <c r="X32" s="75">
        <f>GETPIVOTDATA("0,00",BG!$AF$255,"x","Honoraires HM")</f>
        <v>14000</v>
      </c>
      <c r="Y32" s="75">
        <f t="shared" si="85"/>
        <v>416.66666666666606</v>
      </c>
      <c r="Z32" s="75"/>
      <c r="AA32" s="75">
        <f>Synthèse!$C$37</f>
        <v>14416.666666666666</v>
      </c>
      <c r="AB32" s="75"/>
      <c r="AC32" s="75">
        <f t="shared" si="86"/>
        <v>14416.666666666666</v>
      </c>
      <c r="AD32" s="75"/>
      <c r="AE32" s="75">
        <f>Synthèse!$C$37</f>
        <v>14416.666666666666</v>
      </c>
      <c r="AF32" s="75"/>
      <c r="AG32" s="75">
        <f t="shared" si="87"/>
        <v>14416.666666666666</v>
      </c>
      <c r="AH32" s="75"/>
      <c r="AI32" s="75">
        <f>Synthèse!$C$37</f>
        <v>14416.666666666666</v>
      </c>
      <c r="AJ32" s="75"/>
      <c r="AK32" s="75">
        <f t="shared" si="88"/>
        <v>14416.666666666666</v>
      </c>
      <c r="AL32" s="75"/>
      <c r="AM32" s="75">
        <f>Synthèse!$C$37</f>
        <v>14416.666666666666</v>
      </c>
      <c r="AN32" s="75"/>
      <c r="AO32" s="75">
        <f t="shared" si="89"/>
        <v>14416.666666666666</v>
      </c>
      <c r="AP32" s="75"/>
      <c r="AQ32" s="75">
        <f>Synthèse!$C$37</f>
        <v>14416.666666666666</v>
      </c>
      <c r="AR32" s="75"/>
      <c r="AS32" s="75">
        <f t="shared" si="90"/>
        <v>14416.666666666666</v>
      </c>
      <c r="AT32" s="75"/>
      <c r="AU32" s="75">
        <f>Synthèse!$C$37</f>
        <v>14416.666666666666</v>
      </c>
      <c r="AV32" s="75"/>
      <c r="AW32" s="75">
        <f t="shared" si="91"/>
        <v>14416.666666666666</v>
      </c>
      <c r="AX32" s="75"/>
      <c r="AY32" s="75"/>
      <c r="AZ32" s="75">
        <f t="shared" si="92"/>
        <v>43250</v>
      </c>
      <c r="BA32" s="75">
        <f t="shared" si="93"/>
        <v>44500</v>
      </c>
      <c r="BB32" s="75">
        <f t="shared" si="94"/>
        <v>1250</v>
      </c>
      <c r="BC32" s="75"/>
      <c r="BD32" s="75">
        <f t="shared" si="95"/>
        <v>129750</v>
      </c>
      <c r="BE32" s="75">
        <f t="shared" si="96"/>
        <v>133500</v>
      </c>
      <c r="BF32" s="75">
        <f t="shared" si="97"/>
        <v>3750</v>
      </c>
    </row>
    <row r="33" spans="2:58">
      <c r="B33" s="26" t="s">
        <v>468</v>
      </c>
      <c r="C33" s="75">
        <f>Synthèse!$C$38</f>
        <v>6494.6500000000005</v>
      </c>
      <c r="D33" s="75">
        <f>GETPIVOTDATA("Montant",BG!$O$337,"Intitulé","Honoraires Avocat")</f>
        <v>6596.666666666667</v>
      </c>
      <c r="E33" s="75">
        <f t="shared" si="80"/>
        <v>-102.01666666666642</v>
      </c>
      <c r="F33" s="75"/>
      <c r="G33" s="75">
        <f>Synthèse!$C$38</f>
        <v>6494.6500000000005</v>
      </c>
      <c r="H33" s="75">
        <f>GETPIVOTDATA("Montant",BG!$O$337,"Intitulé","Honoraires Avocat")</f>
        <v>6596.666666666667</v>
      </c>
      <c r="I33" s="75">
        <f t="shared" si="81"/>
        <v>-102.01666666666642</v>
      </c>
      <c r="J33" s="75"/>
      <c r="K33" s="75">
        <f>Synthèse!$C$38</f>
        <v>6494.6500000000005</v>
      </c>
      <c r="L33" s="75">
        <f>GETPIVOTDATA("Montant",BG!$O$337,"Intitulé","Honoraires Avocat")</f>
        <v>6596.666666666667</v>
      </c>
      <c r="M33" s="75">
        <f t="shared" si="82"/>
        <v>-102.01666666666642</v>
      </c>
      <c r="N33" s="75"/>
      <c r="O33" s="75">
        <f>Synthèse!$C$38</f>
        <v>6494.6500000000005</v>
      </c>
      <c r="P33" s="75">
        <f>GETPIVOTDATA("0,00",BG!$T$255,"x","Honoraires Avocat")</f>
        <v>12977.9</v>
      </c>
      <c r="Q33" s="75">
        <f t="shared" si="83"/>
        <v>-6483.2499999999991</v>
      </c>
      <c r="R33" s="75"/>
      <c r="S33" s="75">
        <f>Synthèse!$C$38</f>
        <v>6494.6500000000005</v>
      </c>
      <c r="T33" s="75">
        <f>GETPIVOTDATA("0,00",BG!$Z$260,"x","Honoraires Avocat")</f>
        <v>4800</v>
      </c>
      <c r="U33" s="75">
        <f t="shared" si="84"/>
        <v>1694.6500000000005</v>
      </c>
      <c r="V33" s="75"/>
      <c r="W33" s="75">
        <f>Synthèse!$C$38</f>
        <v>6494.6500000000005</v>
      </c>
      <c r="X33" s="75">
        <f>GETPIVOTDATA("0,00",BG!$AF$255,"x","Honoraires Avocat")</f>
        <v>1400</v>
      </c>
      <c r="Y33" s="75">
        <f t="shared" si="85"/>
        <v>5094.6500000000005</v>
      </c>
      <c r="Z33" s="75"/>
      <c r="AA33" s="75">
        <f>Synthèse!$C$38</f>
        <v>6494.6500000000005</v>
      </c>
      <c r="AB33" s="75"/>
      <c r="AC33" s="75">
        <f t="shared" si="86"/>
        <v>6494.6500000000005</v>
      </c>
      <c r="AD33" s="75"/>
      <c r="AE33" s="75">
        <f>Synthèse!$C$38</f>
        <v>6494.6500000000005</v>
      </c>
      <c r="AF33" s="75"/>
      <c r="AG33" s="75">
        <f t="shared" si="87"/>
        <v>6494.6500000000005</v>
      </c>
      <c r="AH33" s="75"/>
      <c r="AI33" s="75">
        <f>Synthèse!$C$38</f>
        <v>6494.6500000000005</v>
      </c>
      <c r="AJ33" s="75"/>
      <c r="AK33" s="75">
        <f t="shared" si="88"/>
        <v>6494.6500000000005</v>
      </c>
      <c r="AL33" s="75"/>
      <c r="AM33" s="75">
        <f>Synthèse!$C$38</f>
        <v>6494.6500000000005</v>
      </c>
      <c r="AN33" s="75"/>
      <c r="AO33" s="75">
        <f t="shared" si="89"/>
        <v>6494.6500000000005</v>
      </c>
      <c r="AP33" s="75"/>
      <c r="AQ33" s="75">
        <f>Synthèse!$C$38</f>
        <v>6494.6500000000005</v>
      </c>
      <c r="AR33" s="75"/>
      <c r="AS33" s="75">
        <f t="shared" si="90"/>
        <v>6494.6500000000005</v>
      </c>
      <c r="AT33" s="75"/>
      <c r="AU33" s="75">
        <f>Synthèse!$C$38</f>
        <v>6494.6500000000005</v>
      </c>
      <c r="AV33" s="75"/>
      <c r="AW33" s="75">
        <f t="shared" si="91"/>
        <v>6494.6500000000005</v>
      </c>
      <c r="AX33" s="75"/>
      <c r="AY33" s="75"/>
      <c r="AZ33" s="75">
        <f t="shared" si="92"/>
        <v>19483.95</v>
      </c>
      <c r="BA33" s="75">
        <f t="shared" si="93"/>
        <v>19790</v>
      </c>
      <c r="BB33" s="75">
        <f t="shared" si="94"/>
        <v>306.04999999999927</v>
      </c>
      <c r="BC33" s="75"/>
      <c r="BD33" s="75">
        <f t="shared" si="95"/>
        <v>58451.850000000006</v>
      </c>
      <c r="BE33" s="75">
        <f t="shared" si="96"/>
        <v>59370</v>
      </c>
      <c r="BF33" s="75">
        <f t="shared" si="97"/>
        <v>918.14999999999418</v>
      </c>
    </row>
    <row r="34" spans="2:58">
      <c r="B34" s="26" t="s">
        <v>469</v>
      </c>
      <c r="C34" s="75">
        <f>Synthèse!$C$39</f>
        <v>1119.2166666666665</v>
      </c>
      <c r="D34" s="75">
        <f>GETPIVOTDATA("Montant",BG!$O$337,"Intitulé","Honoraires EC")+GETPIVOTDATA("Montant",BG!$O$337,"Intitulé","Honoraires CAC")</f>
        <v>-300.69333333333338</v>
      </c>
      <c r="E34" s="75">
        <f t="shared" si="80"/>
        <v>1419.9099999999999</v>
      </c>
      <c r="F34" s="75"/>
      <c r="G34" s="75">
        <f>Synthèse!$C$39</f>
        <v>1119.2166666666665</v>
      </c>
      <c r="H34" s="75">
        <f>GETPIVOTDATA("Montant",BG!$O$337,"Intitulé","Honoraires EC")+GETPIVOTDATA("Montant",BG!$O$337,"Intitulé","Honoraires CAC")</f>
        <v>-300.69333333333338</v>
      </c>
      <c r="I34" s="75">
        <f t="shared" si="81"/>
        <v>1419.9099999999999</v>
      </c>
      <c r="J34" s="75"/>
      <c r="K34" s="75">
        <f>Synthèse!$C$39</f>
        <v>1119.2166666666665</v>
      </c>
      <c r="L34" s="75">
        <f>GETPIVOTDATA("Montant",BG!$O$337,"Intitulé","Honoraires EC")+GETPIVOTDATA("Montant",BG!$O$337,"Intitulé","Honoraires CAC")</f>
        <v>-300.69333333333338</v>
      </c>
      <c r="M34" s="75">
        <f t="shared" si="82"/>
        <v>1419.9099999999999</v>
      </c>
      <c r="N34" s="75"/>
      <c r="O34" s="75">
        <f>Synthèse!$C$39</f>
        <v>1119.2166666666665</v>
      </c>
      <c r="P34" s="75">
        <f>GETPIVOTDATA("0,00",BG!$T$255,"x","Honoraires CAC")+GETPIVOTDATA("0,00",BG!$T$255,"x","Honoraires EC")</f>
        <v>3548.9700000000003</v>
      </c>
      <c r="Q34" s="75">
        <f t="shared" si="83"/>
        <v>-2429.753333333334</v>
      </c>
      <c r="R34" s="75"/>
      <c r="S34" s="75">
        <f>Synthèse!$C$39</f>
        <v>1119.2166666666665</v>
      </c>
      <c r="T34" s="75">
        <f>GETPIVOTDATA("0,00",BG!$Z$260,"x","Honoraires CAC")+GETPIVOTDATA("0,00",BG!$Z$260,"x","Honoraires EC")</f>
        <v>2872.44</v>
      </c>
      <c r="U34" s="75">
        <f t="shared" si="84"/>
        <v>-1753.2233333333336</v>
      </c>
      <c r="V34" s="75"/>
      <c r="W34" s="75">
        <f>Synthèse!$C$39</f>
        <v>1119.2166666666665</v>
      </c>
      <c r="X34" s="75">
        <f>GETPIVOTDATA("0,00",BG!$AF$255,"x","Honoraires CAC")+GETPIVOTDATA("0,00",BG!$AF$255,"x","Honoraires EC")</f>
        <v>1195.97</v>
      </c>
      <c r="Y34" s="75">
        <f t="shared" si="85"/>
        <v>-76.753333333333558</v>
      </c>
      <c r="Z34" s="75"/>
      <c r="AA34" s="75">
        <f>Synthèse!$C$39</f>
        <v>1119.2166666666665</v>
      </c>
      <c r="AB34" s="75"/>
      <c r="AC34" s="75">
        <f t="shared" si="86"/>
        <v>1119.2166666666665</v>
      </c>
      <c r="AD34" s="75"/>
      <c r="AE34" s="75">
        <f>Synthèse!$C$39</f>
        <v>1119.2166666666665</v>
      </c>
      <c r="AF34" s="75"/>
      <c r="AG34" s="75">
        <f t="shared" si="87"/>
        <v>1119.2166666666665</v>
      </c>
      <c r="AH34" s="75"/>
      <c r="AI34" s="75">
        <f>Synthèse!$C$39</f>
        <v>1119.2166666666665</v>
      </c>
      <c r="AJ34" s="75"/>
      <c r="AK34" s="75">
        <f t="shared" si="88"/>
        <v>1119.2166666666665</v>
      </c>
      <c r="AL34" s="75"/>
      <c r="AM34" s="75">
        <f>Synthèse!$C$39</f>
        <v>1119.2166666666665</v>
      </c>
      <c r="AN34" s="75"/>
      <c r="AO34" s="75">
        <f t="shared" si="89"/>
        <v>1119.2166666666665</v>
      </c>
      <c r="AP34" s="75"/>
      <c r="AQ34" s="75">
        <f>Synthèse!$C$39</f>
        <v>1119.2166666666665</v>
      </c>
      <c r="AR34" s="75"/>
      <c r="AS34" s="75">
        <f t="shared" si="90"/>
        <v>1119.2166666666665</v>
      </c>
      <c r="AT34" s="75"/>
      <c r="AU34" s="75">
        <f>Synthèse!$C$39</f>
        <v>1119.2166666666665</v>
      </c>
      <c r="AV34" s="75"/>
      <c r="AW34" s="75">
        <f t="shared" si="91"/>
        <v>1119.2166666666665</v>
      </c>
      <c r="AX34" s="75"/>
      <c r="AY34" s="75"/>
      <c r="AZ34" s="75">
        <f t="shared" si="92"/>
        <v>3357.6499999999996</v>
      </c>
      <c r="BA34" s="75">
        <f t="shared" si="93"/>
        <v>-902.08000000000015</v>
      </c>
      <c r="BB34" s="75">
        <f t="shared" si="94"/>
        <v>-4259.7299999999996</v>
      </c>
      <c r="BC34" s="75"/>
      <c r="BD34" s="75">
        <f t="shared" si="95"/>
        <v>10072.949999999999</v>
      </c>
      <c r="BE34" s="75">
        <f t="shared" si="96"/>
        <v>-2706.2400000000007</v>
      </c>
      <c r="BF34" s="75">
        <f t="shared" si="97"/>
        <v>-12779.189999999999</v>
      </c>
    </row>
    <row r="35" spans="2:58">
      <c r="B35" s="26" t="s">
        <v>470</v>
      </c>
      <c r="C35" s="75">
        <f>Synthèse!$C$40</f>
        <v>833.33333333333337</v>
      </c>
      <c r="D35" s="75">
        <f>GETPIVOTDATA("Montant",BG!$O$337,"Intitulé","Honoraires Recrut")</f>
        <v>3000</v>
      </c>
      <c r="E35" s="75">
        <f t="shared" si="80"/>
        <v>-2166.6666666666665</v>
      </c>
      <c r="F35" s="75"/>
      <c r="G35" s="75">
        <f>Synthèse!$C$40</f>
        <v>833.33333333333337</v>
      </c>
      <c r="H35" s="75">
        <f>GETPIVOTDATA("Montant",BG!$O$337,"Intitulé","Honoraires Recrut")</f>
        <v>3000</v>
      </c>
      <c r="I35" s="75">
        <f t="shared" si="81"/>
        <v>-2166.6666666666665</v>
      </c>
      <c r="J35" s="75"/>
      <c r="K35" s="75">
        <f>Synthèse!$C$40</f>
        <v>833.33333333333337</v>
      </c>
      <c r="L35" s="75">
        <f>GETPIVOTDATA("Montant",BG!$O$337,"Intitulé","Honoraires Recrut")</f>
        <v>3000</v>
      </c>
      <c r="M35" s="75">
        <f t="shared" si="82"/>
        <v>-2166.6666666666665</v>
      </c>
      <c r="N35" s="75"/>
      <c r="O35" s="75">
        <f>Synthèse!$C$40</f>
        <v>833.33333333333337</v>
      </c>
      <c r="P35" s="75">
        <v>0</v>
      </c>
      <c r="Q35" s="75">
        <f t="shared" si="83"/>
        <v>833.33333333333337</v>
      </c>
      <c r="R35" s="75"/>
      <c r="S35" s="75">
        <f>Synthèse!$C$40</f>
        <v>833.33333333333337</v>
      </c>
      <c r="T35" s="75">
        <v>0</v>
      </c>
      <c r="U35" s="75">
        <f t="shared" si="84"/>
        <v>833.33333333333337</v>
      </c>
      <c r="V35" s="75"/>
      <c r="W35" s="75">
        <f>Synthèse!$C$40</f>
        <v>833.33333333333337</v>
      </c>
      <c r="X35" s="75">
        <v>0</v>
      </c>
      <c r="Y35" s="75">
        <f t="shared" si="85"/>
        <v>833.33333333333337</v>
      </c>
      <c r="Z35" s="75"/>
      <c r="AA35" s="75">
        <f>Synthèse!$C$40</f>
        <v>833.33333333333337</v>
      </c>
      <c r="AB35" s="75"/>
      <c r="AC35" s="75">
        <f t="shared" si="86"/>
        <v>833.33333333333337</v>
      </c>
      <c r="AD35" s="75"/>
      <c r="AE35" s="75">
        <f>Synthèse!$C$40</f>
        <v>833.33333333333337</v>
      </c>
      <c r="AF35" s="75"/>
      <c r="AG35" s="75">
        <f t="shared" si="87"/>
        <v>833.33333333333337</v>
      </c>
      <c r="AH35" s="75"/>
      <c r="AI35" s="75">
        <f>Synthèse!$C$40</f>
        <v>833.33333333333337</v>
      </c>
      <c r="AJ35" s="75"/>
      <c r="AK35" s="75">
        <f t="shared" si="88"/>
        <v>833.33333333333337</v>
      </c>
      <c r="AL35" s="75"/>
      <c r="AM35" s="75">
        <f>Synthèse!$C$40</f>
        <v>833.33333333333337</v>
      </c>
      <c r="AN35" s="75"/>
      <c r="AO35" s="75">
        <f t="shared" si="89"/>
        <v>833.33333333333337</v>
      </c>
      <c r="AP35" s="75"/>
      <c r="AQ35" s="75">
        <f>Synthèse!$C$40</f>
        <v>833.33333333333337</v>
      </c>
      <c r="AR35" s="75"/>
      <c r="AS35" s="75">
        <f t="shared" si="90"/>
        <v>833.33333333333337</v>
      </c>
      <c r="AT35" s="75"/>
      <c r="AU35" s="75">
        <f>Synthèse!$C$40</f>
        <v>833.33333333333337</v>
      </c>
      <c r="AV35" s="75"/>
      <c r="AW35" s="75">
        <f t="shared" si="91"/>
        <v>833.33333333333337</v>
      </c>
      <c r="AX35" s="75"/>
      <c r="AY35" s="75"/>
      <c r="AZ35" s="75">
        <f t="shared" si="92"/>
        <v>2500</v>
      </c>
      <c r="BA35" s="75">
        <f t="shared" si="93"/>
        <v>9000</v>
      </c>
      <c r="BB35" s="75">
        <f t="shared" si="94"/>
        <v>6500</v>
      </c>
      <c r="BC35" s="75"/>
      <c r="BD35" s="75">
        <f t="shared" si="95"/>
        <v>7500</v>
      </c>
      <c r="BE35" s="75">
        <f t="shared" si="96"/>
        <v>27000</v>
      </c>
      <c r="BF35" s="75">
        <f t="shared" si="97"/>
        <v>19500</v>
      </c>
    </row>
    <row r="36" spans="2:58">
      <c r="B36" s="26" t="s">
        <v>471</v>
      </c>
      <c r="C36" s="75">
        <f>Synthèse!$C$41</f>
        <v>12014.404999999999</v>
      </c>
      <c r="D36" s="75">
        <f>GETPIVOTDATA("Montant",BG!$O$337,"Intitulé","Honoraires")</f>
        <v>5827.4933333333338</v>
      </c>
      <c r="E36" s="75">
        <f t="shared" si="80"/>
        <v>6186.911666666665</v>
      </c>
      <c r="F36" s="75"/>
      <c r="G36" s="75">
        <f>Synthèse!$C$41</f>
        <v>12014.404999999999</v>
      </c>
      <c r="H36" s="75">
        <f>GETPIVOTDATA("Montant",BG!$O$337,"Intitulé","Honoraires")</f>
        <v>5827.4933333333338</v>
      </c>
      <c r="I36" s="75">
        <f t="shared" si="81"/>
        <v>6186.911666666665</v>
      </c>
      <c r="J36" s="75"/>
      <c r="K36" s="75">
        <f>Synthèse!$C$41</f>
        <v>12014.404999999999</v>
      </c>
      <c r="L36" s="75">
        <f>GETPIVOTDATA("Montant",BG!$O$337,"Intitulé","Honoraires")</f>
        <v>5827.4933333333338</v>
      </c>
      <c r="M36" s="75">
        <f t="shared" si="82"/>
        <v>6186.911666666665</v>
      </c>
      <c r="N36" s="75"/>
      <c r="O36" s="75">
        <f>Synthèse!$C$41</f>
        <v>12014.404999999999</v>
      </c>
      <c r="P36" s="75">
        <f>GETPIVOTDATA("0,00",BG!$T$255,"x","Honoraires")</f>
        <v>22299.87</v>
      </c>
      <c r="Q36" s="75">
        <f t="shared" si="83"/>
        <v>-10285.465</v>
      </c>
      <c r="R36" s="75"/>
      <c r="S36" s="75">
        <f>Synthèse!$C$41</f>
        <v>12014.404999999999</v>
      </c>
      <c r="T36" s="75">
        <f>GETPIVOTDATA("0,00",BG!$Z$260,"x","Honoraires")</f>
        <v>27716.09</v>
      </c>
      <c r="U36" s="75">
        <f t="shared" si="84"/>
        <v>-15701.685000000001</v>
      </c>
      <c r="V36" s="75"/>
      <c r="W36" s="75">
        <f>Synthèse!$C$41</f>
        <v>12014.404999999999</v>
      </c>
      <c r="X36" s="75">
        <f>GETPIVOTDATA("0,00",BG!$AF$255,"x","Honoraires")</f>
        <v>23674.510000000002</v>
      </c>
      <c r="Y36" s="75">
        <f t="shared" si="85"/>
        <v>-11660.105000000003</v>
      </c>
      <c r="Z36" s="75"/>
      <c r="AA36" s="75">
        <f>Synthèse!$C$41</f>
        <v>12014.404999999999</v>
      </c>
      <c r="AB36" s="75"/>
      <c r="AC36" s="75">
        <f t="shared" si="86"/>
        <v>12014.404999999999</v>
      </c>
      <c r="AD36" s="75"/>
      <c r="AE36" s="75">
        <f>Synthèse!$C$41</f>
        <v>12014.404999999999</v>
      </c>
      <c r="AF36" s="75"/>
      <c r="AG36" s="75">
        <f t="shared" si="87"/>
        <v>12014.404999999999</v>
      </c>
      <c r="AH36" s="75"/>
      <c r="AI36" s="75">
        <f>Synthèse!$C$41</f>
        <v>12014.404999999999</v>
      </c>
      <c r="AJ36" s="75"/>
      <c r="AK36" s="75">
        <f t="shared" si="88"/>
        <v>12014.404999999999</v>
      </c>
      <c r="AL36" s="75"/>
      <c r="AM36" s="75">
        <f>Synthèse!$C$41</f>
        <v>12014.404999999999</v>
      </c>
      <c r="AN36" s="75"/>
      <c r="AO36" s="75">
        <f t="shared" si="89"/>
        <v>12014.404999999999</v>
      </c>
      <c r="AP36" s="75"/>
      <c r="AQ36" s="75">
        <f>Synthèse!$C$41</f>
        <v>12014.404999999999</v>
      </c>
      <c r="AR36" s="75"/>
      <c r="AS36" s="75">
        <f t="shared" si="90"/>
        <v>12014.404999999999</v>
      </c>
      <c r="AT36" s="75"/>
      <c r="AU36" s="75">
        <f>Synthèse!$C$41</f>
        <v>12014.404999999999</v>
      </c>
      <c r="AV36" s="75"/>
      <c r="AW36" s="75">
        <f t="shared" si="91"/>
        <v>12014.404999999999</v>
      </c>
      <c r="AX36" s="75"/>
      <c r="AY36" s="75"/>
      <c r="AZ36" s="75">
        <f t="shared" si="92"/>
        <v>36043.214999999997</v>
      </c>
      <c r="BA36" s="75">
        <f t="shared" si="93"/>
        <v>17482.480000000003</v>
      </c>
      <c r="BB36" s="75">
        <f t="shared" si="94"/>
        <v>-18560.734999999993</v>
      </c>
      <c r="BC36" s="75"/>
      <c r="BD36" s="75">
        <f t="shared" si="95"/>
        <v>108129.64499999999</v>
      </c>
      <c r="BE36" s="75">
        <f t="shared" si="96"/>
        <v>52447.44000000001</v>
      </c>
      <c r="BF36" s="75">
        <f t="shared" si="97"/>
        <v>-55682.20499999998</v>
      </c>
    </row>
    <row r="37" spans="2:58"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</row>
    <row r="38" spans="2:58">
      <c r="B38" t="s">
        <v>472</v>
      </c>
      <c r="C38" s="75">
        <f>Synthèse!$C$43</f>
        <v>3650.7083333333335</v>
      </c>
      <c r="D38" s="75">
        <f>GETPIVOTDATA("Montant",BG!$O$337,"Intitulé","Publicité")</f>
        <v>1068.68</v>
      </c>
      <c r="E38" s="75">
        <f t="shared" ref="E38:E42" si="98">C38-D38</f>
        <v>2582.0283333333336</v>
      </c>
      <c r="F38" s="75"/>
      <c r="G38" s="75">
        <f>Synthèse!$C$43</f>
        <v>3650.7083333333335</v>
      </c>
      <c r="H38" s="75">
        <f>GETPIVOTDATA("Montant",BG!$O$337,"Intitulé","Publicité")</f>
        <v>1068.68</v>
      </c>
      <c r="I38" s="75">
        <f t="shared" ref="I38:I42" si="99">G38-H38</f>
        <v>2582.0283333333336</v>
      </c>
      <c r="J38" s="75"/>
      <c r="K38" s="75">
        <f>Synthèse!$C$43</f>
        <v>3650.7083333333335</v>
      </c>
      <c r="L38" s="75">
        <f>GETPIVOTDATA("Montant",BG!$O$337,"Intitulé","Publicité")</f>
        <v>1068.68</v>
      </c>
      <c r="M38" s="75">
        <f t="shared" ref="M38:M42" si="100">K38-L38</f>
        <v>2582.0283333333336</v>
      </c>
      <c r="N38" s="75"/>
      <c r="O38" s="75">
        <f>Synthèse!$C$43</f>
        <v>3650.7083333333335</v>
      </c>
      <c r="P38" s="75">
        <f>GETPIVOTDATA("0,00",BG!$T$255,"x","Publicité")</f>
        <v>15656.62</v>
      </c>
      <c r="Q38" s="75">
        <f t="shared" ref="Q38:Q42" si="101">O38-P38</f>
        <v>-12005.911666666667</v>
      </c>
      <c r="R38" s="75"/>
      <c r="S38" s="75">
        <f>Synthèse!$C$43</f>
        <v>3650.7083333333335</v>
      </c>
      <c r="T38" s="75">
        <f>GETPIVOTDATA("0,00",BG!$Z$260,"x","Publicité")</f>
        <v>3016.13</v>
      </c>
      <c r="U38" s="75">
        <f t="shared" ref="U38:U42" si="102">S38-T38</f>
        <v>634.57833333333338</v>
      </c>
      <c r="V38" s="75"/>
      <c r="W38" s="75">
        <f>Synthèse!$C$43</f>
        <v>3650.7083333333335</v>
      </c>
      <c r="X38" s="75">
        <f>GETPIVOTDATA("0,00",BG!$AF$255,"x","Publicité")</f>
        <v>25.46</v>
      </c>
      <c r="Y38" s="75">
        <f t="shared" ref="Y38:Y42" si="103">W38-X38</f>
        <v>3625.2483333333334</v>
      </c>
      <c r="Z38" s="75"/>
      <c r="AA38" s="75">
        <f>Synthèse!$C$43</f>
        <v>3650.7083333333335</v>
      </c>
      <c r="AB38" s="75"/>
      <c r="AC38" s="75">
        <f t="shared" ref="AC38:AC42" si="104">AA38-AB38</f>
        <v>3650.7083333333335</v>
      </c>
      <c r="AD38" s="75"/>
      <c r="AE38" s="75">
        <f>Synthèse!$C$43</f>
        <v>3650.7083333333335</v>
      </c>
      <c r="AF38" s="75"/>
      <c r="AG38" s="75">
        <f t="shared" ref="AG38:AG42" si="105">AE38-AF38</f>
        <v>3650.7083333333335</v>
      </c>
      <c r="AH38" s="75"/>
      <c r="AI38" s="75">
        <f>Synthèse!$C$43</f>
        <v>3650.7083333333335</v>
      </c>
      <c r="AJ38" s="75"/>
      <c r="AK38" s="75">
        <f t="shared" ref="AK38:AK42" si="106">AI38-AJ38</f>
        <v>3650.7083333333335</v>
      </c>
      <c r="AL38" s="75"/>
      <c r="AM38" s="75">
        <f>Synthèse!$C$43</f>
        <v>3650.7083333333335</v>
      </c>
      <c r="AN38" s="75"/>
      <c r="AO38" s="75">
        <f t="shared" ref="AO38:AO42" si="107">AM38-AN38</f>
        <v>3650.7083333333335</v>
      </c>
      <c r="AP38" s="75"/>
      <c r="AQ38" s="75">
        <f>Synthèse!$C$43</f>
        <v>3650.7083333333335</v>
      </c>
      <c r="AR38" s="75"/>
      <c r="AS38" s="75">
        <f t="shared" ref="AS38:AS42" si="108">AQ38-AR38</f>
        <v>3650.7083333333335</v>
      </c>
      <c r="AT38" s="75"/>
      <c r="AU38" s="75">
        <f>Synthèse!$C$43</f>
        <v>3650.7083333333335</v>
      </c>
      <c r="AV38" s="75"/>
      <c r="AW38" s="75">
        <f t="shared" ref="AW38:AW42" si="109">AU38-AV38</f>
        <v>3650.7083333333335</v>
      </c>
      <c r="AX38" s="75"/>
      <c r="AY38" s="75"/>
      <c r="AZ38" s="75">
        <f t="shared" ref="AZ38:AZ43" si="110">SUMIF($C$3:$O$3,"O",C38:O38)</f>
        <v>10952.125</v>
      </c>
      <c r="BA38" s="75">
        <f t="shared" ref="BA38:BA43" si="111">SUMIF($C$3:$O$3,"R",C38:O38)</f>
        <v>3206.04</v>
      </c>
      <c r="BB38" s="75">
        <f t="shared" ref="BB38:BB43" si="112">BA38-AZ38</f>
        <v>-7746.085</v>
      </c>
      <c r="BC38" s="75"/>
      <c r="BD38" s="75">
        <f t="shared" ref="BD38:BD43" si="113">(AZ38/$BD$3)*12</f>
        <v>32856.375</v>
      </c>
      <c r="BE38" s="75">
        <f t="shared" ref="BE38:BE43" si="114">(BA38/$BD$3)*12</f>
        <v>9618.119999999999</v>
      </c>
      <c r="BF38" s="75">
        <f t="shared" ref="BF38:BF43" si="115">BE38-BD38</f>
        <v>-23238.255000000001</v>
      </c>
    </row>
    <row r="39" spans="2:58">
      <c r="B39" t="s">
        <v>473</v>
      </c>
      <c r="C39" s="75">
        <f>Synthèse!$C$44</f>
        <v>2916.7350000000001</v>
      </c>
      <c r="D39" s="75">
        <f>GETPIVOTDATA("Montant",BG!$O$337,"Intitulé","Salons et expositions")</f>
        <v>5006.666666666667</v>
      </c>
      <c r="E39" s="75">
        <f t="shared" si="98"/>
        <v>-2089.9316666666668</v>
      </c>
      <c r="F39" s="75"/>
      <c r="G39" s="75">
        <f>Synthèse!$C$44</f>
        <v>2916.7350000000001</v>
      </c>
      <c r="H39" s="75">
        <f>GETPIVOTDATA("Montant",BG!$O$337,"Intitulé","Salons et expositions")</f>
        <v>5006.666666666667</v>
      </c>
      <c r="I39" s="75">
        <f t="shared" si="99"/>
        <v>-2089.9316666666668</v>
      </c>
      <c r="J39" s="75"/>
      <c r="K39" s="75">
        <f>Synthèse!$C$44</f>
        <v>2916.7350000000001</v>
      </c>
      <c r="L39" s="75">
        <f>GETPIVOTDATA("Montant",BG!$O$337,"Intitulé","Salons et expositions")</f>
        <v>5006.666666666667</v>
      </c>
      <c r="M39" s="75">
        <f t="shared" si="100"/>
        <v>-2089.9316666666668</v>
      </c>
      <c r="N39" s="75"/>
      <c r="O39" s="75">
        <f>Synthèse!$C$44</f>
        <v>2916.7350000000001</v>
      </c>
      <c r="P39" s="75">
        <f>GETPIVOTDATA("0,00",BG!$T$255,"x","Salons et expositions")</f>
        <v>15364.6</v>
      </c>
      <c r="Q39" s="75">
        <f t="shared" si="101"/>
        <v>-12447.865</v>
      </c>
      <c r="R39" s="75"/>
      <c r="S39" s="75">
        <f>Synthèse!$C$44</f>
        <v>2916.7350000000001</v>
      </c>
      <c r="T39" s="75">
        <f>GETPIVOTDATA("0,00",BG!$Z$260,"x","Salons et expositions")</f>
        <v>2115.81</v>
      </c>
      <c r="U39" s="75">
        <f t="shared" si="102"/>
        <v>800.92500000000018</v>
      </c>
      <c r="V39" s="75"/>
      <c r="W39" s="75">
        <f>Synthèse!$C$44</f>
        <v>2916.7350000000001</v>
      </c>
      <c r="X39" s="75">
        <f>GETPIVOTDATA("0,00",BG!$AF$255,"x","Salons et expositions")</f>
        <v>0</v>
      </c>
      <c r="Y39" s="75">
        <f t="shared" si="103"/>
        <v>2916.7350000000001</v>
      </c>
      <c r="Z39" s="75"/>
      <c r="AA39" s="75">
        <f>Synthèse!$C$44</f>
        <v>2916.7350000000001</v>
      </c>
      <c r="AB39" s="75"/>
      <c r="AC39" s="75">
        <f t="shared" si="104"/>
        <v>2916.7350000000001</v>
      </c>
      <c r="AD39" s="75"/>
      <c r="AE39" s="75">
        <f>Synthèse!$C$44</f>
        <v>2916.7350000000001</v>
      </c>
      <c r="AF39" s="75"/>
      <c r="AG39" s="75">
        <f t="shared" si="105"/>
        <v>2916.7350000000001</v>
      </c>
      <c r="AH39" s="75"/>
      <c r="AI39" s="75">
        <f>Synthèse!$C$44</f>
        <v>2916.7350000000001</v>
      </c>
      <c r="AJ39" s="75"/>
      <c r="AK39" s="75">
        <f t="shared" si="106"/>
        <v>2916.7350000000001</v>
      </c>
      <c r="AL39" s="75"/>
      <c r="AM39" s="75">
        <f>Synthèse!$C$44</f>
        <v>2916.7350000000001</v>
      </c>
      <c r="AN39" s="75"/>
      <c r="AO39" s="75">
        <f t="shared" si="107"/>
        <v>2916.7350000000001</v>
      </c>
      <c r="AP39" s="75"/>
      <c r="AQ39" s="75">
        <f>Synthèse!$C$44</f>
        <v>2916.7350000000001</v>
      </c>
      <c r="AR39" s="75"/>
      <c r="AS39" s="75">
        <f t="shared" si="108"/>
        <v>2916.7350000000001</v>
      </c>
      <c r="AT39" s="75"/>
      <c r="AU39" s="75">
        <f>Synthèse!$C$44</f>
        <v>2916.7350000000001</v>
      </c>
      <c r="AV39" s="75"/>
      <c r="AW39" s="75">
        <f t="shared" si="109"/>
        <v>2916.7350000000001</v>
      </c>
      <c r="AX39" s="75"/>
      <c r="AY39" s="75"/>
      <c r="AZ39" s="75">
        <f t="shared" si="110"/>
        <v>8750.2049999999999</v>
      </c>
      <c r="BA39" s="75">
        <f t="shared" si="111"/>
        <v>15020</v>
      </c>
      <c r="BB39" s="75">
        <f t="shared" si="112"/>
        <v>6269.7950000000001</v>
      </c>
      <c r="BC39" s="75"/>
      <c r="BD39" s="75">
        <f t="shared" si="113"/>
        <v>26250.614999999998</v>
      </c>
      <c r="BE39" s="75">
        <f t="shared" si="114"/>
        <v>45060</v>
      </c>
      <c r="BF39" s="75">
        <f t="shared" si="115"/>
        <v>18809.385000000002</v>
      </c>
    </row>
    <row r="40" spans="2:58">
      <c r="B40" t="s">
        <v>475</v>
      </c>
      <c r="C40" s="75">
        <f>Synthèse!$C$45</f>
        <v>5522.0649999999996</v>
      </c>
      <c r="D40" s="75">
        <f>GETPIVOTDATA("Montant",BG!$O$337,"Intitulé","Petits-déjeuners")</f>
        <v>4050.06</v>
      </c>
      <c r="E40" s="75">
        <f t="shared" si="98"/>
        <v>1472.0049999999997</v>
      </c>
      <c r="F40" s="75"/>
      <c r="G40" s="75">
        <f>Synthèse!$C$45</f>
        <v>5522.0649999999996</v>
      </c>
      <c r="H40" s="75">
        <f>GETPIVOTDATA("Montant",BG!$O$337,"Intitulé","Petits-déjeuners")</f>
        <v>4050.06</v>
      </c>
      <c r="I40" s="75">
        <f t="shared" si="99"/>
        <v>1472.0049999999997</v>
      </c>
      <c r="J40" s="75"/>
      <c r="K40" s="75">
        <f>Synthèse!$C$45</f>
        <v>5522.0649999999996</v>
      </c>
      <c r="L40" s="75">
        <f>GETPIVOTDATA("Montant",BG!$O$337,"Intitulé","Petits-déjeuners")</f>
        <v>4050.06</v>
      </c>
      <c r="M40" s="75">
        <f t="shared" si="100"/>
        <v>1472.0049999999997</v>
      </c>
      <c r="N40" s="75"/>
      <c r="O40" s="75">
        <f>Synthèse!$C$45</f>
        <v>5522.0649999999996</v>
      </c>
      <c r="P40" s="75">
        <f>GETPIVOTDATA("0,00",BG!$T$255,"x","Petits-déjeuners")</f>
        <v>3367.54</v>
      </c>
      <c r="Q40" s="75">
        <f t="shared" si="101"/>
        <v>2154.5249999999996</v>
      </c>
      <c r="R40" s="75"/>
      <c r="S40" s="75">
        <f>Synthèse!$C$45</f>
        <v>5522.0649999999996</v>
      </c>
      <c r="T40" s="75">
        <f>GETPIVOTDATA("0,00",BG!$Z$260,"x","Petits-déjeuners")</f>
        <v>10685.37</v>
      </c>
      <c r="U40" s="75">
        <f t="shared" si="102"/>
        <v>-5163.3050000000012</v>
      </c>
      <c r="V40" s="75"/>
      <c r="W40" s="75">
        <f>Synthèse!$C$45</f>
        <v>5522.0649999999996</v>
      </c>
      <c r="X40" s="75">
        <f>GETPIVOTDATA("0,00",BG!$AF$255,"x","Petits-déjeuners")</f>
        <v>6929.3</v>
      </c>
      <c r="Y40" s="75">
        <f t="shared" si="103"/>
        <v>-1407.2350000000006</v>
      </c>
      <c r="Z40" s="75"/>
      <c r="AA40" s="75">
        <f>Synthèse!$C$45</f>
        <v>5522.0649999999996</v>
      </c>
      <c r="AB40" s="75"/>
      <c r="AC40" s="75">
        <f t="shared" si="104"/>
        <v>5522.0649999999996</v>
      </c>
      <c r="AD40" s="75"/>
      <c r="AE40" s="75">
        <f>Synthèse!$C$45</f>
        <v>5522.0649999999996</v>
      </c>
      <c r="AF40" s="75"/>
      <c r="AG40" s="75">
        <f t="shared" si="105"/>
        <v>5522.0649999999996</v>
      </c>
      <c r="AH40" s="75"/>
      <c r="AI40" s="75">
        <f>Synthèse!$C$45</f>
        <v>5522.0649999999996</v>
      </c>
      <c r="AJ40" s="75"/>
      <c r="AK40" s="75">
        <f t="shared" si="106"/>
        <v>5522.0649999999996</v>
      </c>
      <c r="AL40" s="75"/>
      <c r="AM40" s="75">
        <f>Synthèse!$C$45</f>
        <v>5522.0649999999996</v>
      </c>
      <c r="AN40" s="75"/>
      <c r="AO40" s="75">
        <f t="shared" si="107"/>
        <v>5522.0649999999996</v>
      </c>
      <c r="AP40" s="75"/>
      <c r="AQ40" s="75">
        <f>Synthèse!$C$45</f>
        <v>5522.0649999999996</v>
      </c>
      <c r="AR40" s="75"/>
      <c r="AS40" s="75">
        <f t="shared" si="108"/>
        <v>5522.0649999999996</v>
      </c>
      <c r="AT40" s="75"/>
      <c r="AU40" s="75">
        <f>Synthèse!$C$45</f>
        <v>5522.0649999999996</v>
      </c>
      <c r="AV40" s="75"/>
      <c r="AW40" s="75">
        <f t="shared" si="109"/>
        <v>5522.0649999999996</v>
      </c>
      <c r="AX40" s="75"/>
      <c r="AY40" s="75"/>
      <c r="AZ40" s="75">
        <f t="shared" si="110"/>
        <v>16566.195</v>
      </c>
      <c r="BA40" s="75">
        <f t="shared" si="111"/>
        <v>12150.18</v>
      </c>
      <c r="BB40" s="75">
        <f t="shared" si="112"/>
        <v>-4416.0149999999994</v>
      </c>
      <c r="BC40" s="75"/>
      <c r="BD40" s="75">
        <f t="shared" si="113"/>
        <v>49698.584999999999</v>
      </c>
      <c r="BE40" s="75">
        <f t="shared" si="114"/>
        <v>36450.54</v>
      </c>
      <c r="BF40" s="75">
        <f t="shared" si="115"/>
        <v>-13248.044999999998</v>
      </c>
    </row>
    <row r="41" spans="2:58">
      <c r="B41" t="s">
        <v>476</v>
      </c>
      <c r="C41" s="75">
        <f>Synthèse!$C$46</f>
        <v>2660.2266666666669</v>
      </c>
      <c r="D41" s="75">
        <f>GETPIVOTDATA("Montant",BG!$O$337,"Intitulé","Evènements")</f>
        <v>4030.3633333333332</v>
      </c>
      <c r="E41" s="75">
        <f t="shared" si="98"/>
        <v>-1370.1366666666663</v>
      </c>
      <c r="F41" s="75"/>
      <c r="G41" s="75">
        <f>Synthèse!$C$46</f>
        <v>2660.2266666666669</v>
      </c>
      <c r="H41" s="75">
        <f>GETPIVOTDATA("Montant",BG!$O$337,"Intitulé","Evènements")</f>
        <v>4030.3633333333332</v>
      </c>
      <c r="I41" s="75">
        <f t="shared" si="99"/>
        <v>-1370.1366666666663</v>
      </c>
      <c r="J41" s="75"/>
      <c r="K41" s="75">
        <f>Synthèse!$C$46</f>
        <v>2660.2266666666669</v>
      </c>
      <c r="L41" s="75">
        <f>GETPIVOTDATA("Montant",BG!$O$337,"Intitulé","Evènements")</f>
        <v>4030.3633333333332</v>
      </c>
      <c r="M41" s="75">
        <f t="shared" si="100"/>
        <v>-1370.1366666666663</v>
      </c>
      <c r="N41" s="75"/>
      <c r="O41" s="75">
        <f>Synthèse!$C$46</f>
        <v>2660.2266666666669</v>
      </c>
      <c r="P41" s="75">
        <f>GETPIVOTDATA("0,00",BG!$T$255,"x","Evènements")</f>
        <v>2544.64</v>
      </c>
      <c r="Q41" s="75">
        <f t="shared" si="101"/>
        <v>115.58666666666704</v>
      </c>
      <c r="R41" s="75"/>
      <c r="S41" s="75">
        <f>Synthèse!$C$46</f>
        <v>2660.2266666666669</v>
      </c>
      <c r="T41" s="75">
        <f>GETPIVOTDATA("0,00",BG!$Z$260,"x","Evènements")</f>
        <v>-1881.06</v>
      </c>
      <c r="U41" s="75">
        <f t="shared" si="102"/>
        <v>4541.2866666666669</v>
      </c>
      <c r="V41" s="75"/>
      <c r="W41" s="75">
        <f>Synthèse!$C$46</f>
        <v>2660.2266666666669</v>
      </c>
      <c r="X41" s="75">
        <f>GETPIVOTDATA("0,00",BG!$AF$255,"x","Evènements")</f>
        <v>3196.79</v>
      </c>
      <c r="Y41" s="75">
        <f t="shared" si="103"/>
        <v>-536.56333333333305</v>
      </c>
      <c r="Z41" s="75"/>
      <c r="AA41" s="75">
        <f>Synthèse!$C$46</f>
        <v>2660.2266666666669</v>
      </c>
      <c r="AB41" s="75"/>
      <c r="AC41" s="75">
        <f t="shared" si="104"/>
        <v>2660.2266666666669</v>
      </c>
      <c r="AD41" s="75"/>
      <c r="AE41" s="75">
        <f>Synthèse!$C$46</f>
        <v>2660.2266666666669</v>
      </c>
      <c r="AF41" s="75"/>
      <c r="AG41" s="75">
        <f t="shared" si="105"/>
        <v>2660.2266666666669</v>
      </c>
      <c r="AH41" s="75"/>
      <c r="AI41" s="75">
        <f>Synthèse!$C$46</f>
        <v>2660.2266666666669</v>
      </c>
      <c r="AJ41" s="75"/>
      <c r="AK41" s="75">
        <f t="shared" si="106"/>
        <v>2660.2266666666669</v>
      </c>
      <c r="AL41" s="75"/>
      <c r="AM41" s="75">
        <f>Synthèse!$C$46</f>
        <v>2660.2266666666669</v>
      </c>
      <c r="AN41" s="75"/>
      <c r="AO41" s="75">
        <f t="shared" si="107"/>
        <v>2660.2266666666669</v>
      </c>
      <c r="AP41" s="75"/>
      <c r="AQ41" s="75">
        <f>Synthèse!$C$46</f>
        <v>2660.2266666666669</v>
      </c>
      <c r="AR41" s="75"/>
      <c r="AS41" s="75">
        <f t="shared" si="108"/>
        <v>2660.2266666666669</v>
      </c>
      <c r="AT41" s="75"/>
      <c r="AU41" s="75">
        <f>Synthèse!$C$46</f>
        <v>2660.2266666666669</v>
      </c>
      <c r="AV41" s="75"/>
      <c r="AW41" s="75">
        <f t="shared" si="109"/>
        <v>2660.2266666666669</v>
      </c>
      <c r="AX41" s="75"/>
      <c r="AY41" s="75"/>
      <c r="AZ41" s="75">
        <f t="shared" si="110"/>
        <v>7980.68</v>
      </c>
      <c r="BA41" s="75">
        <f t="shared" si="111"/>
        <v>12091.09</v>
      </c>
      <c r="BB41" s="75">
        <f t="shared" si="112"/>
        <v>4110.41</v>
      </c>
      <c r="BC41" s="75"/>
      <c r="BD41" s="75">
        <f t="shared" si="113"/>
        <v>23942.04</v>
      </c>
      <c r="BE41" s="75">
        <f t="shared" si="114"/>
        <v>36273.270000000004</v>
      </c>
      <c r="BF41" s="75">
        <f t="shared" si="115"/>
        <v>12331.230000000003</v>
      </c>
    </row>
    <row r="42" spans="2:58">
      <c r="B42" t="s">
        <v>490</v>
      </c>
      <c r="C42" s="75">
        <f>Synthèse!$C$47</f>
        <v>2936.978333333333</v>
      </c>
      <c r="D42" s="75">
        <f>GETPIVOTDATA("Montant",BG!$O$337,"Intitulé","Formation et séminaire")</f>
        <v>493.33333333333331</v>
      </c>
      <c r="E42" s="75">
        <f t="shared" si="98"/>
        <v>2443.6449999999995</v>
      </c>
      <c r="F42" s="75"/>
      <c r="G42" s="75">
        <f>Synthèse!$C$47</f>
        <v>2936.978333333333</v>
      </c>
      <c r="H42" s="75">
        <f>GETPIVOTDATA("Montant",BG!$O$337,"Intitulé","Formation et séminaire")</f>
        <v>493.33333333333331</v>
      </c>
      <c r="I42" s="75">
        <f t="shared" si="99"/>
        <v>2443.6449999999995</v>
      </c>
      <c r="J42" s="75"/>
      <c r="K42" s="75">
        <f>Synthèse!$C$47</f>
        <v>2936.978333333333</v>
      </c>
      <c r="L42" s="75">
        <f>GETPIVOTDATA("Montant",BG!$O$337,"Intitulé","Formation et séminaire")</f>
        <v>493.33333333333331</v>
      </c>
      <c r="M42" s="75">
        <f t="shared" si="100"/>
        <v>2443.6449999999995</v>
      </c>
      <c r="N42" s="75"/>
      <c r="O42" s="75">
        <f>Synthèse!$C$47</f>
        <v>2936.978333333333</v>
      </c>
      <c r="P42" s="75">
        <f>GETPIVOTDATA("0,00",BG!$T$255,"x","Formation et séminaire")</f>
        <v>300</v>
      </c>
      <c r="Q42" s="75">
        <f t="shared" si="101"/>
        <v>2636.978333333333</v>
      </c>
      <c r="R42" s="75"/>
      <c r="S42" s="75">
        <f>Synthèse!$C$47</f>
        <v>2936.978333333333</v>
      </c>
      <c r="T42" s="75">
        <f>GETPIVOTDATA("0,00",BG!$Z$260,"x","Formation et séminaire")</f>
        <v>2685.6</v>
      </c>
      <c r="U42" s="75">
        <f t="shared" si="102"/>
        <v>251.3783333333331</v>
      </c>
      <c r="V42" s="75"/>
      <c r="W42" s="75">
        <f>Synthèse!$C$47</f>
        <v>2936.978333333333</v>
      </c>
      <c r="X42" s="75">
        <f>GETPIVOTDATA("0,00",BG!$AF$255,"x","Formation et séminaire")</f>
        <v>13156.27</v>
      </c>
      <c r="Y42" s="75">
        <f t="shared" si="103"/>
        <v>-10219.291666666668</v>
      </c>
      <c r="Z42" s="75"/>
      <c r="AA42" s="75">
        <f>Synthèse!$C$47</f>
        <v>2936.978333333333</v>
      </c>
      <c r="AB42" s="75"/>
      <c r="AC42" s="75">
        <f t="shared" si="104"/>
        <v>2936.978333333333</v>
      </c>
      <c r="AD42" s="75"/>
      <c r="AE42" s="75">
        <f>Synthèse!$C$47</f>
        <v>2936.978333333333</v>
      </c>
      <c r="AF42" s="75"/>
      <c r="AG42" s="75">
        <f t="shared" si="105"/>
        <v>2936.978333333333</v>
      </c>
      <c r="AH42" s="75"/>
      <c r="AI42" s="75">
        <f>Synthèse!$C$47</f>
        <v>2936.978333333333</v>
      </c>
      <c r="AJ42" s="75"/>
      <c r="AK42" s="75">
        <f t="shared" si="106"/>
        <v>2936.978333333333</v>
      </c>
      <c r="AL42" s="75"/>
      <c r="AM42" s="75">
        <f>Synthèse!$C$47</f>
        <v>2936.978333333333</v>
      </c>
      <c r="AN42" s="75"/>
      <c r="AO42" s="75">
        <f t="shared" si="107"/>
        <v>2936.978333333333</v>
      </c>
      <c r="AP42" s="75"/>
      <c r="AQ42" s="75">
        <f>Synthèse!$C$47</f>
        <v>2936.978333333333</v>
      </c>
      <c r="AR42" s="75"/>
      <c r="AS42" s="75">
        <f t="shared" si="108"/>
        <v>2936.978333333333</v>
      </c>
      <c r="AT42" s="75"/>
      <c r="AU42" s="75">
        <f>Synthèse!$C$47</f>
        <v>2936.978333333333</v>
      </c>
      <c r="AV42" s="75"/>
      <c r="AW42" s="75">
        <f t="shared" si="109"/>
        <v>2936.978333333333</v>
      </c>
      <c r="AX42" s="75"/>
      <c r="AY42" s="75"/>
      <c r="AZ42" s="75">
        <f t="shared" si="110"/>
        <v>8810.9349999999995</v>
      </c>
      <c r="BA42" s="75">
        <f t="shared" si="111"/>
        <v>1480</v>
      </c>
      <c r="BB42" s="75">
        <f t="shared" si="112"/>
        <v>-7330.9349999999995</v>
      </c>
      <c r="BC42" s="75"/>
      <c r="BD42" s="75">
        <f t="shared" si="113"/>
        <v>26432.805</v>
      </c>
      <c r="BE42" s="75">
        <f t="shared" si="114"/>
        <v>4440</v>
      </c>
      <c r="BF42" s="75">
        <f t="shared" si="115"/>
        <v>-21992.805</v>
      </c>
    </row>
    <row r="43" spans="2:58">
      <c r="B43" s="33" t="s">
        <v>501</v>
      </c>
      <c r="C43" s="76">
        <f t="shared" ref="C43:E43" si="116">SUM(C25,C29,C31,C38:C42,C23)</f>
        <v>79932.795000000013</v>
      </c>
      <c r="D43" s="76">
        <f t="shared" si="116"/>
        <v>78444.539999999994</v>
      </c>
      <c r="E43" s="76">
        <f t="shared" si="116"/>
        <v>1488.2549999999997</v>
      </c>
      <c r="F43" s="76"/>
      <c r="G43" s="76">
        <f t="shared" ref="G43:I43" si="117">SUM(G25,G29,G31,G38:G42,G23)</f>
        <v>79932.795000000013</v>
      </c>
      <c r="H43" s="76">
        <f t="shared" si="117"/>
        <v>78444.539999999994</v>
      </c>
      <c r="I43" s="76">
        <f t="shared" si="117"/>
        <v>1488.2549999999997</v>
      </c>
      <c r="J43" s="76"/>
      <c r="K43" s="76">
        <f t="shared" ref="K43:M43" si="118">SUM(K25,K29,K31,K38:K42,K23)</f>
        <v>79932.795000000013</v>
      </c>
      <c r="L43" s="76">
        <f t="shared" si="118"/>
        <v>78444.539999999994</v>
      </c>
      <c r="M43" s="76">
        <f t="shared" si="118"/>
        <v>1488.2549999999997</v>
      </c>
      <c r="N43" s="76"/>
      <c r="O43" s="76">
        <f t="shared" ref="O43:Q43" si="119">SUM(O25,O29,O31,O38:O42,O23)</f>
        <v>79932.795000000013</v>
      </c>
      <c r="P43" s="76">
        <f t="shared" si="119"/>
        <v>100953.29</v>
      </c>
      <c r="Q43" s="76">
        <f t="shared" si="119"/>
        <v>-21020.495000000006</v>
      </c>
      <c r="R43" s="76"/>
      <c r="S43" s="76">
        <f t="shared" ref="S43:U43" si="120">SUM(S25,S29,S31,S38:S42,S23)</f>
        <v>79932.795000000013</v>
      </c>
      <c r="T43" s="76">
        <f t="shared" si="120"/>
        <v>89245.55</v>
      </c>
      <c r="U43" s="76">
        <f t="shared" si="120"/>
        <v>-9312.7549999999956</v>
      </c>
      <c r="V43" s="76"/>
      <c r="W43" s="76">
        <f t="shared" ref="W43:Y43" si="121">SUM(W25,W29,W31,W38:W42,W23)</f>
        <v>79932.795000000013</v>
      </c>
      <c r="X43" s="76">
        <f t="shared" si="121"/>
        <v>92140.930000000008</v>
      </c>
      <c r="Y43" s="76">
        <f t="shared" si="121"/>
        <v>-12208.135000000004</v>
      </c>
      <c r="Z43" s="76"/>
      <c r="AA43" s="76">
        <f t="shared" ref="AA43:AC43" si="122">SUM(AA25,AA29,AA31,AA38:AA42,AA23)</f>
        <v>79932.795000000013</v>
      </c>
      <c r="AB43" s="76">
        <f t="shared" si="122"/>
        <v>0</v>
      </c>
      <c r="AC43" s="76">
        <f t="shared" si="122"/>
        <v>79932.795000000013</v>
      </c>
      <c r="AD43" s="76"/>
      <c r="AE43" s="76">
        <f t="shared" ref="AE43:AG43" si="123">SUM(AE25,AE29,AE31,AE38:AE42,AE23)</f>
        <v>79932.795000000013</v>
      </c>
      <c r="AF43" s="76">
        <f t="shared" si="123"/>
        <v>0</v>
      </c>
      <c r="AG43" s="76">
        <f t="shared" si="123"/>
        <v>79932.795000000013</v>
      </c>
      <c r="AH43" s="76"/>
      <c r="AI43" s="76">
        <f t="shared" ref="AI43:AK43" si="124">SUM(AI25,AI29,AI31,AI38:AI42,AI23)</f>
        <v>79932.795000000013</v>
      </c>
      <c r="AJ43" s="76">
        <f t="shared" si="124"/>
        <v>0</v>
      </c>
      <c r="AK43" s="76">
        <f t="shared" si="124"/>
        <v>79932.795000000013</v>
      </c>
      <c r="AL43" s="76"/>
      <c r="AM43" s="76">
        <f t="shared" ref="AM43:AO43" si="125">SUM(AM25,AM29,AM31,AM38:AM42,AM23)</f>
        <v>79932.795000000013</v>
      </c>
      <c r="AN43" s="76">
        <f t="shared" si="125"/>
        <v>0</v>
      </c>
      <c r="AO43" s="76">
        <f t="shared" si="125"/>
        <v>79932.795000000013</v>
      </c>
      <c r="AP43" s="76"/>
      <c r="AQ43" s="76">
        <f t="shared" ref="AQ43:AS43" si="126">SUM(AQ25,AQ29,AQ31,AQ38:AQ42,AQ23)</f>
        <v>79932.795000000013</v>
      </c>
      <c r="AR43" s="76">
        <f t="shared" si="126"/>
        <v>0</v>
      </c>
      <c r="AS43" s="76">
        <f t="shared" si="126"/>
        <v>79932.795000000013</v>
      </c>
      <c r="AT43" s="76"/>
      <c r="AU43" s="76">
        <f t="shared" ref="AU43:AW43" si="127">SUM(AU25,AU29,AU31,AU38:AU42,AU23)</f>
        <v>79932.795000000013</v>
      </c>
      <c r="AV43" s="76">
        <f t="shared" si="127"/>
        <v>0</v>
      </c>
      <c r="AW43" s="76">
        <f t="shared" si="127"/>
        <v>79932.795000000013</v>
      </c>
      <c r="AX43" s="81"/>
      <c r="AY43" s="81"/>
      <c r="AZ43" s="76">
        <f t="shared" si="110"/>
        <v>239798.38500000004</v>
      </c>
      <c r="BA43" s="76">
        <f t="shared" si="111"/>
        <v>235333.62</v>
      </c>
      <c r="BB43" s="76">
        <f t="shared" si="112"/>
        <v>-4464.7650000000431</v>
      </c>
      <c r="BC43" s="76"/>
      <c r="BD43" s="76">
        <f t="shared" si="113"/>
        <v>719395.15500000014</v>
      </c>
      <c r="BE43" s="76">
        <f t="shared" si="114"/>
        <v>706000.86</v>
      </c>
      <c r="BF43" s="76">
        <f t="shared" si="115"/>
        <v>-13394.295000000158</v>
      </c>
    </row>
    <row r="44" spans="2:58" ht="15.75" thickBot="1"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75"/>
      <c r="BB44" s="75"/>
      <c r="BC44" s="75"/>
      <c r="BD44" s="75"/>
      <c r="BE44" s="75"/>
      <c r="BF44" s="75"/>
    </row>
    <row r="45" spans="2:58" ht="15.75" thickBot="1">
      <c r="B45" s="69" t="s">
        <v>481</v>
      </c>
      <c r="C45" s="78">
        <f>SUM(C43,C19)</f>
        <v>167481.51270833335</v>
      </c>
      <c r="D45" s="78">
        <f t="shared" ref="D45:AF45" si="128">SUM(D43,D19)</f>
        <v>639990.16333333333</v>
      </c>
      <c r="E45" s="78">
        <f>D45-C45</f>
        <v>472508.65062500001</v>
      </c>
      <c r="F45" s="78">
        <f t="shared" si="128"/>
        <v>0</v>
      </c>
      <c r="G45" s="78">
        <f t="shared" si="128"/>
        <v>167481.51270833335</v>
      </c>
      <c r="H45" s="78">
        <f t="shared" si="128"/>
        <v>639990.16333333333</v>
      </c>
      <c r="I45" s="78">
        <f>H45-G45</f>
        <v>472508.65062500001</v>
      </c>
      <c r="J45" s="78">
        <f t="shared" si="128"/>
        <v>0</v>
      </c>
      <c r="K45" s="78">
        <f t="shared" si="128"/>
        <v>167481.51270833335</v>
      </c>
      <c r="L45" s="78">
        <f t="shared" si="128"/>
        <v>639990.16333333333</v>
      </c>
      <c r="M45" s="78">
        <f>L45-K45</f>
        <v>472508.65062500001</v>
      </c>
      <c r="N45" s="78">
        <f t="shared" si="128"/>
        <v>0</v>
      </c>
      <c r="O45" s="78">
        <f t="shared" si="128"/>
        <v>167481.51270833335</v>
      </c>
      <c r="P45" s="78">
        <f>SUM(P43,P19)</f>
        <v>647720.18000000005</v>
      </c>
      <c r="Q45" s="78">
        <f>P45-O45</f>
        <v>480238.66729166673</v>
      </c>
      <c r="R45" s="78">
        <f t="shared" si="128"/>
        <v>0</v>
      </c>
      <c r="S45" s="78">
        <f t="shared" si="128"/>
        <v>167481.51270833335</v>
      </c>
      <c r="T45" s="78">
        <f t="shared" si="128"/>
        <v>552917.93000000005</v>
      </c>
      <c r="U45" s="78">
        <f>T45-S45</f>
        <v>385436.41729166673</v>
      </c>
      <c r="V45" s="78">
        <f t="shared" si="128"/>
        <v>0</v>
      </c>
      <c r="W45" s="78">
        <f t="shared" si="128"/>
        <v>167481.51270833335</v>
      </c>
      <c r="X45" s="78">
        <f t="shared" si="128"/>
        <v>747344.92</v>
      </c>
      <c r="Y45" s="78">
        <f>X45-W45</f>
        <v>579863.40729166672</v>
      </c>
      <c r="Z45" s="78">
        <f t="shared" si="128"/>
        <v>0</v>
      </c>
      <c r="AA45" s="78">
        <f t="shared" si="128"/>
        <v>167481.51270833335</v>
      </c>
      <c r="AB45" s="78">
        <f t="shared" si="128"/>
        <v>0</v>
      </c>
      <c r="AC45" s="78">
        <f>AB45-AA45</f>
        <v>-167481.51270833335</v>
      </c>
      <c r="AD45" s="78">
        <f t="shared" si="128"/>
        <v>0</v>
      </c>
      <c r="AE45" s="78">
        <f t="shared" si="128"/>
        <v>167481.51270833335</v>
      </c>
      <c r="AF45" s="78">
        <f t="shared" si="128"/>
        <v>0</v>
      </c>
      <c r="AG45" s="78">
        <f>AF45-AE45</f>
        <v>-167481.51270833335</v>
      </c>
      <c r="AH45" s="78">
        <f t="shared" ref="AH45:AN45" si="129">SUM(AH43,AH19)</f>
        <v>0</v>
      </c>
      <c r="AI45" s="78">
        <f t="shared" si="129"/>
        <v>167481.51270833335</v>
      </c>
      <c r="AJ45" s="78">
        <f t="shared" si="129"/>
        <v>0</v>
      </c>
      <c r="AK45" s="78">
        <f>AJ45-AI45</f>
        <v>-167481.51270833335</v>
      </c>
      <c r="AL45" s="78">
        <f t="shared" si="129"/>
        <v>0</v>
      </c>
      <c r="AM45" s="78">
        <f t="shared" si="129"/>
        <v>167481.51270833335</v>
      </c>
      <c r="AN45" s="78">
        <f t="shared" si="129"/>
        <v>0</v>
      </c>
      <c r="AO45" s="78">
        <f>AN45-AM45</f>
        <v>-167481.51270833335</v>
      </c>
      <c r="AP45" s="78">
        <f t="shared" ref="AP45:AR45" si="130">SUM(AP43,AP19)</f>
        <v>0</v>
      </c>
      <c r="AQ45" s="78">
        <f t="shared" si="130"/>
        <v>167481.51270833335</v>
      </c>
      <c r="AR45" s="78">
        <f t="shared" si="130"/>
        <v>0</v>
      </c>
      <c r="AS45" s="78">
        <f>AR45-AQ45</f>
        <v>-167481.51270833335</v>
      </c>
      <c r="AT45" s="78">
        <f t="shared" ref="AT45:AV45" si="131">SUM(AT43,AT19)</f>
        <v>0</v>
      </c>
      <c r="AU45" s="78">
        <f t="shared" si="131"/>
        <v>167481.51270833335</v>
      </c>
      <c r="AV45" s="78">
        <f t="shared" si="131"/>
        <v>0</v>
      </c>
      <c r="AW45" s="78">
        <f>AV45-AU45</f>
        <v>-167481.51270833335</v>
      </c>
      <c r="AX45" s="81"/>
      <c r="AY45" s="81"/>
      <c r="AZ45" s="78">
        <f>SUMIF($C$3:$O$3,"O",C45:O45)</f>
        <v>502444.53812500008</v>
      </c>
      <c r="BA45" s="78">
        <f>SUMIF($C$3:$O$3,"R",C45:O45)</f>
        <v>1919970.49</v>
      </c>
      <c r="BB45" s="78">
        <f t="shared" ref="BB45:BB47" si="132">AZ45-BA45</f>
        <v>-1417525.9518749998</v>
      </c>
      <c r="BC45" s="78"/>
      <c r="BD45" s="78">
        <f t="shared" ref="BD45" si="133">(AZ45/$BD$3)*12</f>
        <v>1507333.6143750004</v>
      </c>
      <c r="BE45" s="78">
        <f t="shared" ref="BE45" si="134">(BA45/$BD$3)*12</f>
        <v>5759911.4699999997</v>
      </c>
      <c r="BF45" s="78">
        <f t="shared" ref="BF45" si="135">BE45-BD45</f>
        <v>4252577.8556249999</v>
      </c>
    </row>
    <row r="46" spans="2:58" ht="15.75" thickBot="1"/>
    <row r="47" spans="2:58" ht="15.75" thickBot="1">
      <c r="B47" s="79" t="s">
        <v>561</v>
      </c>
      <c r="C47" s="84">
        <f t="shared" ref="C47:AG47" si="136">C6-C45</f>
        <v>492050.48729166668</v>
      </c>
      <c r="D47" s="84">
        <f t="shared" si="136"/>
        <v>-552.1533333332045</v>
      </c>
      <c r="E47" s="84">
        <f>E6-E45</f>
        <v>-492602.64062499988</v>
      </c>
      <c r="F47" s="84">
        <f t="shared" si="136"/>
        <v>0</v>
      </c>
      <c r="G47" s="84">
        <f t="shared" si="136"/>
        <v>492050.48729166668</v>
      </c>
      <c r="H47" s="84">
        <f t="shared" si="136"/>
        <v>-18562.67333333334</v>
      </c>
      <c r="I47" s="84">
        <f t="shared" si="136"/>
        <v>-510613.16062500002</v>
      </c>
      <c r="J47" s="84">
        <f t="shared" si="136"/>
        <v>0</v>
      </c>
      <c r="K47" s="84">
        <f t="shared" si="136"/>
        <v>492050.48729166668</v>
      </c>
      <c r="L47" s="84">
        <f t="shared" si="136"/>
        <v>20081.466666666674</v>
      </c>
      <c r="M47" s="84">
        <f t="shared" si="136"/>
        <v>-471969.020625</v>
      </c>
      <c r="N47" s="84">
        <f t="shared" si="136"/>
        <v>0</v>
      </c>
      <c r="O47" s="84">
        <f t="shared" si="136"/>
        <v>492050.48729166668</v>
      </c>
      <c r="P47" s="84">
        <f t="shared" si="136"/>
        <v>-31780.540000000037</v>
      </c>
      <c r="Q47" s="84">
        <f t="shared" si="136"/>
        <v>-523831.02729166672</v>
      </c>
      <c r="R47" s="84">
        <f t="shared" si="136"/>
        <v>0</v>
      </c>
      <c r="S47" s="84">
        <f t="shared" si="136"/>
        <v>492050.48729166668</v>
      </c>
      <c r="T47" s="84">
        <f t="shared" si="136"/>
        <v>93066.13</v>
      </c>
      <c r="U47" s="84">
        <f t="shared" si="136"/>
        <v>-398984.35729166667</v>
      </c>
      <c r="V47" s="84">
        <f t="shared" si="136"/>
        <v>0</v>
      </c>
      <c r="W47" s="84">
        <f t="shared" si="136"/>
        <v>492050.48729166668</v>
      </c>
      <c r="X47" s="84">
        <f>X6-X45</f>
        <v>19425.309999999939</v>
      </c>
      <c r="Y47" s="84">
        <f>Y6-Y45</f>
        <v>-472625.17729166674</v>
      </c>
      <c r="Z47" s="84">
        <f t="shared" si="136"/>
        <v>0</v>
      </c>
      <c r="AA47" s="84">
        <f t="shared" si="136"/>
        <v>492050.48729166668</v>
      </c>
      <c r="AB47" s="84">
        <f t="shared" si="136"/>
        <v>0</v>
      </c>
      <c r="AC47" s="84">
        <f t="shared" si="136"/>
        <v>-492050.48729166668</v>
      </c>
      <c r="AD47" s="84">
        <f t="shared" si="136"/>
        <v>0</v>
      </c>
      <c r="AE47" s="84">
        <f t="shared" si="136"/>
        <v>492050.48729166668</v>
      </c>
      <c r="AF47" s="84">
        <f t="shared" si="136"/>
        <v>0</v>
      </c>
      <c r="AG47" s="84">
        <f t="shared" si="136"/>
        <v>-492050.48729166668</v>
      </c>
      <c r="AH47" s="84">
        <f t="shared" ref="AH47:AO47" si="137">AH6-AH45</f>
        <v>0</v>
      </c>
      <c r="AI47" s="84">
        <f t="shared" si="137"/>
        <v>492051.48729166668</v>
      </c>
      <c r="AJ47" s="84">
        <f t="shared" si="137"/>
        <v>0</v>
      </c>
      <c r="AK47" s="84">
        <f t="shared" si="137"/>
        <v>-492051.48729166668</v>
      </c>
      <c r="AL47" s="84">
        <f t="shared" si="137"/>
        <v>0</v>
      </c>
      <c r="AM47" s="84">
        <f t="shared" si="137"/>
        <v>492051.48729166668</v>
      </c>
      <c r="AN47" s="84">
        <f t="shared" si="137"/>
        <v>0</v>
      </c>
      <c r="AO47" s="84">
        <f t="shared" si="137"/>
        <v>-492051.48729166668</v>
      </c>
      <c r="AP47" s="84">
        <f t="shared" ref="AP47:AS47" si="138">AP6-AP45</f>
        <v>0</v>
      </c>
      <c r="AQ47" s="84">
        <f t="shared" si="138"/>
        <v>492052.48729166668</v>
      </c>
      <c r="AR47" s="84">
        <f t="shared" si="138"/>
        <v>0</v>
      </c>
      <c r="AS47" s="84">
        <f t="shared" si="138"/>
        <v>-492052.48729166668</v>
      </c>
      <c r="AT47" s="84">
        <f t="shared" ref="AT47:AW47" si="139">AT6-AT45</f>
        <v>0</v>
      </c>
      <c r="AU47" s="84">
        <f t="shared" si="139"/>
        <v>492053.48729166668</v>
      </c>
      <c r="AV47" s="84">
        <f t="shared" si="139"/>
        <v>0</v>
      </c>
      <c r="AW47" s="84">
        <f t="shared" si="139"/>
        <v>-492053.48729166668</v>
      </c>
      <c r="AX47" s="75"/>
      <c r="AZ47" s="84">
        <f>SUMIF($C$3:$O$3,"O",C47:O47)</f>
        <v>1476151.461875</v>
      </c>
      <c r="BA47" s="84">
        <f>SUMIF($C$3:$O$3,"R",C47:O47)</f>
        <v>966.64000000013039</v>
      </c>
      <c r="BB47" s="84">
        <f t="shared" si="132"/>
        <v>1475184.8218749999</v>
      </c>
      <c r="BC47" s="84"/>
      <c r="BD47" s="84">
        <f>BD6-BD5</f>
        <v>4428454.3856249992</v>
      </c>
      <c r="BE47" s="84">
        <f t="shared" ref="BE47:BF47" si="140">BE6-BE5</f>
        <v>2899.9199999999255</v>
      </c>
      <c r="BF47" s="84">
        <f t="shared" si="140"/>
        <v>-4425554.4656250002</v>
      </c>
    </row>
  </sheetData>
  <sheetProtection algorithmName="SHA-512" hashValue="uRFVxYJBcexV5A8qKO5RWZHbWTEa3oStxOYKmBEd980j6v4GStKT0EOBikDTroWOfIVWl+WcAJMJ6VZhFow3Og==" saltValue="bPYmOKCp6bRJvuWi9P3lmQ==" spinCount="100000" sheet="1" objects="1" scenarios="1"/>
  <mergeCells count="14">
    <mergeCell ref="AQ4:AS4"/>
    <mergeCell ref="AU4:AW4"/>
    <mergeCell ref="AZ4:BB4"/>
    <mergeCell ref="BD4:BF4"/>
    <mergeCell ref="K4:M4"/>
    <mergeCell ref="AA4:AC4"/>
    <mergeCell ref="AE4:AG4"/>
    <mergeCell ref="W4:Y4"/>
    <mergeCell ref="AM4:AO4"/>
    <mergeCell ref="C4:E4"/>
    <mergeCell ref="G4:I4"/>
    <mergeCell ref="O4:Q4"/>
    <mergeCell ref="S4:U4"/>
    <mergeCell ref="AI4:AK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BB165"/>
  <sheetViews>
    <sheetView showGridLines="0" zoomScaleNormal="100" workbookViewId="0">
      <pane xSplit="2" ySplit="6" topLeftCell="C7" activePane="bottomRight" state="frozen"/>
      <selection activeCell="F132" activeCellId="1" sqref="AF109 F132"/>
      <selection pane="topRight" activeCell="F132" activeCellId="1" sqref="AF109 F132"/>
      <selection pane="bottomLeft" activeCell="F132" activeCellId="1" sqref="AF109 F132"/>
      <selection pane="bottomRight" activeCell="AV7" sqref="AV7"/>
    </sheetView>
  </sheetViews>
  <sheetFormatPr defaultColWidth="11.42578125" defaultRowHeight="15"/>
  <cols>
    <col min="1" max="1" width="2.42578125" customWidth="1"/>
    <col min="2" max="2" width="15.85546875" style="1" customWidth="1"/>
    <col min="3" max="3" width="11" style="3" customWidth="1"/>
    <col min="4" max="7" width="10" style="1" hidden="1" customWidth="1"/>
    <col min="8" max="8" width="9.5703125" style="4" hidden="1" customWidth="1"/>
    <col min="9" max="16" width="10" style="1" hidden="1" customWidth="1"/>
    <col min="17" max="17" width="12.42578125" style="5" hidden="1" customWidth="1"/>
    <col min="18" max="23" width="10" style="1" hidden="1" customWidth="1"/>
    <col min="24" max="24" width="10.42578125" style="1" hidden="1" customWidth="1"/>
    <col min="25" max="27" width="10" style="1" hidden="1" customWidth="1"/>
    <col min="28" max="28" width="11.42578125" style="1" hidden="1" customWidth="1"/>
    <col min="29" max="33" width="10" style="1" hidden="1" customWidth="1"/>
    <col min="34" max="34" width="13.5703125" style="89" hidden="1" customWidth="1"/>
    <col min="35" max="35" width="10.42578125" style="89" hidden="1" customWidth="1"/>
    <col min="36" max="36" width="12.42578125" style="89" hidden="1" customWidth="1"/>
    <col min="37" max="37" width="16.42578125" style="89" hidden="1" customWidth="1"/>
    <col min="38" max="38" width="14.42578125" style="1" hidden="1" customWidth="1"/>
    <col min="39" max="39" width="5.42578125" style="23" hidden="1" customWidth="1"/>
    <col min="40" max="40" width="27.42578125" style="49" hidden="1" customWidth="1"/>
    <col min="41" max="41" width="14.42578125" hidden="1" customWidth="1"/>
    <col min="42" max="46" width="11.42578125" customWidth="1"/>
  </cols>
  <sheetData>
    <row r="1" spans="2:54" ht="15.75" thickBot="1">
      <c r="B1" s="1">
        <v>21.67</v>
      </c>
      <c r="AO1" s="96">
        <f>1+$AO$3</f>
        <v>1.05</v>
      </c>
    </row>
    <row r="2" spans="2:54" ht="15" customHeight="1"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N2" s="90" t="s">
        <v>574</v>
      </c>
      <c r="AO2" s="91">
        <v>0.56000000000000005</v>
      </c>
    </row>
    <row r="3" spans="2:54" ht="15" customHeight="1"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N3" s="92" t="s">
        <v>572</v>
      </c>
      <c r="AO3" s="93">
        <v>0.05</v>
      </c>
    </row>
    <row r="4" spans="2:54" ht="15.75" customHeight="1" thickBot="1"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8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N4" s="94" t="s">
        <v>573</v>
      </c>
      <c r="AO4" s="95">
        <v>1.9E-2</v>
      </c>
    </row>
    <row r="5" spans="2:54" ht="21.75" thickBot="1"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5"/>
      <c r="AK5" s="135"/>
      <c r="AL5" s="135"/>
      <c r="AN5" s="88"/>
    </row>
    <row r="6" spans="2:54" s="190" customFormat="1" ht="25.5">
      <c r="B6" s="191" t="s">
        <v>0</v>
      </c>
      <c r="C6" s="180" t="s">
        <v>1</v>
      </c>
      <c r="D6" s="181">
        <v>42614</v>
      </c>
      <c r="E6" s="181">
        <v>42644</v>
      </c>
      <c r="F6" s="181">
        <v>42675</v>
      </c>
      <c r="G6" s="181">
        <v>42705</v>
      </c>
      <c r="H6" s="182" t="s">
        <v>2</v>
      </c>
      <c r="I6" s="181">
        <v>42736</v>
      </c>
      <c r="J6" s="181">
        <v>42767</v>
      </c>
      <c r="K6" s="181">
        <v>42795</v>
      </c>
      <c r="L6" s="181">
        <v>42826</v>
      </c>
      <c r="M6" s="181">
        <v>42856</v>
      </c>
      <c r="N6" s="181">
        <v>42887</v>
      </c>
      <c r="O6" s="181">
        <v>42917</v>
      </c>
      <c r="P6" s="181">
        <v>42948</v>
      </c>
      <c r="Q6" s="183" t="s">
        <v>3</v>
      </c>
      <c r="R6" s="181">
        <v>42979</v>
      </c>
      <c r="S6" s="184">
        <v>43009</v>
      </c>
      <c r="T6" s="185">
        <v>43040</v>
      </c>
      <c r="U6" s="185">
        <v>43070</v>
      </c>
      <c r="V6" s="185">
        <v>43101</v>
      </c>
      <c r="W6" s="185">
        <v>43132</v>
      </c>
      <c r="X6" s="185">
        <v>43160</v>
      </c>
      <c r="Y6" s="185">
        <v>43191</v>
      </c>
      <c r="Z6" s="185">
        <v>43221</v>
      </c>
      <c r="AA6" s="185">
        <v>43252</v>
      </c>
      <c r="AB6" s="185">
        <v>43282</v>
      </c>
      <c r="AC6" s="185">
        <v>43313</v>
      </c>
      <c r="AD6" s="185">
        <v>43344</v>
      </c>
      <c r="AE6" s="185">
        <v>43374</v>
      </c>
      <c r="AF6" s="185">
        <v>43405</v>
      </c>
      <c r="AG6" s="185">
        <v>43435</v>
      </c>
      <c r="AH6" s="186" t="s">
        <v>578</v>
      </c>
      <c r="AI6" s="186" t="s">
        <v>579</v>
      </c>
      <c r="AJ6" s="186" t="s">
        <v>534</v>
      </c>
      <c r="AK6" s="187" t="s">
        <v>575</v>
      </c>
      <c r="AL6" s="187" t="s">
        <v>576</v>
      </c>
      <c r="AM6" s="188"/>
      <c r="AN6" s="189" t="s">
        <v>571</v>
      </c>
      <c r="AP6" s="212">
        <v>43466</v>
      </c>
      <c r="AQ6" s="213">
        <v>43497</v>
      </c>
      <c r="AR6" s="213">
        <v>43525</v>
      </c>
      <c r="AS6" s="213">
        <v>43556</v>
      </c>
      <c r="AT6" s="213">
        <v>43586</v>
      </c>
      <c r="AU6" s="213">
        <v>43617</v>
      </c>
      <c r="AV6" s="213">
        <v>43647</v>
      </c>
      <c r="AW6" s="213">
        <v>43678</v>
      </c>
      <c r="AX6" s="213">
        <v>43709</v>
      </c>
      <c r="AY6" s="213">
        <v>43739</v>
      </c>
      <c r="AZ6" s="213">
        <v>43770</v>
      </c>
      <c r="BA6" s="213">
        <v>43800</v>
      </c>
      <c r="BB6" s="185"/>
    </row>
    <row r="7" spans="2:54">
      <c r="B7" s="201" t="s">
        <v>754</v>
      </c>
      <c r="C7" s="139"/>
      <c r="D7" s="140"/>
      <c r="E7" s="140"/>
      <c r="F7" s="140"/>
      <c r="G7" s="140"/>
      <c r="H7" s="141"/>
      <c r="I7" s="140"/>
      <c r="J7" s="140"/>
      <c r="K7" s="140"/>
      <c r="L7" s="140"/>
      <c r="M7" s="140"/>
      <c r="N7" s="140"/>
      <c r="O7" s="140"/>
      <c r="P7" s="140"/>
      <c r="Q7" s="142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0"/>
      <c r="AF7" s="140"/>
      <c r="AG7" s="140"/>
      <c r="AH7" s="143">
        <f>SUM(V7:AG7)*$AO$4</f>
        <v>0</v>
      </c>
      <c r="AI7" s="143">
        <v>0</v>
      </c>
      <c r="AJ7" s="143">
        <v>0</v>
      </c>
      <c r="AK7" s="143">
        <f>SUM(V7:AG7)</f>
        <v>0</v>
      </c>
      <c r="AL7" s="144">
        <f>SUM(V7:AH7)</f>
        <v>0</v>
      </c>
      <c r="AN7" s="145"/>
      <c r="AO7" s="136"/>
      <c r="AP7" s="146">
        <v>550</v>
      </c>
      <c r="AQ7" s="140">
        <f>+AP7/2</f>
        <v>275</v>
      </c>
      <c r="AR7" s="140">
        <v>0</v>
      </c>
      <c r="AS7" s="140">
        <v>0</v>
      </c>
      <c r="AT7" s="140">
        <v>131.25</v>
      </c>
      <c r="AU7" s="115">
        <v>498.75</v>
      </c>
      <c r="AV7" s="115">
        <v>446.25</v>
      </c>
      <c r="AW7" s="140">
        <v>52.5</v>
      </c>
      <c r="AX7" s="140">
        <v>0</v>
      </c>
      <c r="AY7" s="140">
        <v>0</v>
      </c>
      <c r="AZ7" s="140">
        <v>0</v>
      </c>
      <c r="BA7" s="140">
        <v>0</v>
      </c>
      <c r="BB7" s="140"/>
    </row>
    <row r="8" spans="2:54">
      <c r="B8" s="147" t="s">
        <v>755</v>
      </c>
      <c r="C8" s="139"/>
      <c r="D8" s="140"/>
      <c r="E8" s="140"/>
      <c r="F8" s="140"/>
      <c r="G8" s="140"/>
      <c r="H8" s="141"/>
      <c r="I8" s="140"/>
      <c r="J8" s="140"/>
      <c r="K8" s="140"/>
      <c r="L8" s="140"/>
      <c r="M8" s="140"/>
      <c r="N8" s="140"/>
      <c r="O8" s="140"/>
      <c r="P8" s="140"/>
      <c r="Q8" s="142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52"/>
      <c r="AC8" s="140"/>
      <c r="AD8" s="140"/>
      <c r="AE8" s="140"/>
      <c r="AF8" s="140"/>
      <c r="AG8" s="140"/>
      <c r="AH8" s="143">
        <f>SUM(V8:AG8)*$AO$4</f>
        <v>0</v>
      </c>
      <c r="AI8" s="143">
        <v>0</v>
      </c>
      <c r="AJ8" s="143">
        <f>AK8*$AO$4</f>
        <v>0</v>
      </c>
      <c r="AK8" s="143">
        <f>SUM(V8:AG8)</f>
        <v>0</v>
      </c>
      <c r="AL8" s="144">
        <f>SUM(V8:AH8)</f>
        <v>0</v>
      </c>
      <c r="AN8" s="145">
        <f>AK8*(1+$AO$2)+AH8*1.08</f>
        <v>0</v>
      </c>
      <c r="AO8" s="136"/>
      <c r="AP8" s="146">
        <f>38000/12/3</f>
        <v>1055.5555555555554</v>
      </c>
      <c r="AQ8" s="140">
        <f>38000/12</f>
        <v>3166.6666666666665</v>
      </c>
      <c r="AR8" s="140">
        <f>AQ8</f>
        <v>3166.6666666666665</v>
      </c>
      <c r="AS8" s="140">
        <f>AR8</f>
        <v>3166.6666666666665</v>
      </c>
      <c r="AT8" s="140">
        <f>AS8</f>
        <v>3166.6666666666665</v>
      </c>
      <c r="AU8" s="140">
        <f>AT8</f>
        <v>3166.6666666666665</v>
      </c>
      <c r="AV8" s="115">
        <f>AU8+0.01*SUM(AP8:AU8,AB8:AG8)</f>
        <v>3335.5555555555552</v>
      </c>
      <c r="AW8" s="140">
        <f>AU8</f>
        <v>3166.6666666666665</v>
      </c>
      <c r="AX8" s="140">
        <f>AW8</f>
        <v>3166.6666666666665</v>
      </c>
      <c r="AY8" s="140">
        <f>AX8</f>
        <v>3166.6666666666665</v>
      </c>
      <c r="AZ8" s="140">
        <f>AY8</f>
        <v>3166.6666666666665</v>
      </c>
      <c r="BA8" s="140">
        <f>AZ8</f>
        <v>3166.6666666666665</v>
      </c>
      <c r="BB8" s="140"/>
    </row>
    <row r="9" spans="2:54">
      <c r="B9" s="147" t="s">
        <v>756</v>
      </c>
      <c r="C9" s="139">
        <v>43712</v>
      </c>
      <c r="D9" s="140"/>
      <c r="E9" s="140"/>
      <c r="F9" s="140"/>
      <c r="G9" s="140"/>
      <c r="H9" s="141"/>
      <c r="I9" s="140"/>
      <c r="J9" s="140"/>
      <c r="K9" s="140"/>
      <c r="L9" s="140"/>
      <c r="M9" s="140"/>
      <c r="N9" s="140"/>
      <c r="O9" s="140"/>
      <c r="P9" s="197"/>
      <c r="Q9" s="198"/>
      <c r="R9" s="197"/>
      <c r="S9" s="197"/>
      <c r="T9" s="197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3"/>
      <c r="AI9" s="143"/>
      <c r="AJ9" s="143"/>
      <c r="AK9" s="143"/>
      <c r="AL9" s="144"/>
      <c r="AN9" s="145"/>
      <c r="AO9" s="136"/>
      <c r="AP9" s="140">
        <v>0</v>
      </c>
      <c r="AQ9" s="140">
        <v>0</v>
      </c>
      <c r="AR9" s="140">
        <v>1155</v>
      </c>
      <c r="AS9" s="140">
        <v>1212.75</v>
      </c>
      <c r="AT9" s="140">
        <v>1155</v>
      </c>
      <c r="AU9" s="140">
        <v>1097.25</v>
      </c>
      <c r="AV9" s="160">
        <v>1328.25</v>
      </c>
      <c r="AW9" s="140">
        <v>981.75</v>
      </c>
      <c r="AX9" s="140">
        <v>0</v>
      </c>
      <c r="AY9" s="140">
        <v>0</v>
      </c>
      <c r="AZ9" s="140">
        <v>0</v>
      </c>
      <c r="BA9" s="140">
        <v>0</v>
      </c>
      <c r="BB9" s="140"/>
    </row>
    <row r="10" spans="2:54">
      <c r="B10" s="147" t="s">
        <v>757</v>
      </c>
      <c r="C10" s="139"/>
      <c r="D10" s="140">
        <v>3750</v>
      </c>
      <c r="E10" s="140">
        <v>3750</v>
      </c>
      <c r="F10" s="140">
        <v>5000.01</v>
      </c>
      <c r="G10" s="140">
        <v>4166.67</v>
      </c>
      <c r="H10" s="141">
        <v>1500</v>
      </c>
      <c r="I10" s="140">
        <v>4166.67</v>
      </c>
      <c r="J10" s="140">
        <v>4166.67</v>
      </c>
      <c r="K10" s="140">
        <v>4166.67</v>
      </c>
      <c r="L10" s="140">
        <v>4166.67</v>
      </c>
      <c r="M10" s="140">
        <v>4166.67</v>
      </c>
      <c r="N10" s="140">
        <v>4166.67</v>
      </c>
      <c r="O10" s="140">
        <f>4166.67+506.93</f>
        <v>4673.6000000000004</v>
      </c>
      <c r="P10" s="140">
        <v>4166.67</v>
      </c>
      <c r="Q10" s="142">
        <f>SUM(D10:P10)</f>
        <v>52006.969999999987</v>
      </c>
      <c r="R10" s="140">
        <v>4583.33</v>
      </c>
      <c r="S10" s="140">
        <v>4583.33</v>
      </c>
      <c r="T10" s="140">
        <v>4583.33</v>
      </c>
      <c r="U10" s="140">
        <v>4583.33</v>
      </c>
      <c r="V10" s="148">
        <v>4583.33</v>
      </c>
      <c r="W10" s="148">
        <v>4583.33</v>
      </c>
      <c r="X10" s="148">
        <v>4583.33</v>
      </c>
      <c r="Y10" s="148">
        <v>4583.33</v>
      </c>
      <c r="Z10" s="148">
        <v>4583.33</v>
      </c>
      <c r="AA10" s="148">
        <v>4583.33</v>
      </c>
      <c r="AB10" s="152">
        <f>(AA10)*1.12</f>
        <v>5133.3296</v>
      </c>
      <c r="AC10" s="148">
        <v>4583.33</v>
      </c>
      <c r="AD10" s="148">
        <v>4791.66</v>
      </c>
      <c r="AE10" s="148">
        <f>AD10</f>
        <v>4791.66</v>
      </c>
      <c r="AF10" s="148">
        <f>AE10</f>
        <v>4791.66</v>
      </c>
      <c r="AG10" s="148">
        <f>AF10</f>
        <v>4791.66</v>
      </c>
      <c r="AH10" s="143">
        <v>2562</v>
      </c>
      <c r="AI10" s="143">
        <f>AH10-AJ10</f>
        <v>1490.7176875999999</v>
      </c>
      <c r="AJ10" s="143">
        <f>AK10*$AO$4</f>
        <v>1071.2823124000001</v>
      </c>
      <c r="AK10" s="143">
        <f>SUM(V10:AG10)</f>
        <v>56383.279600000009</v>
      </c>
      <c r="AL10" s="144">
        <f>SUM(V10:AH10)</f>
        <v>58945.279600000009</v>
      </c>
      <c r="AN10" s="145">
        <f>AK10*(1+$AO$2)+AH10*1.08</f>
        <v>90724.87617600002</v>
      </c>
      <c r="AO10" s="136"/>
      <c r="AP10" s="146">
        <f>AG10</f>
        <v>4791.66</v>
      </c>
      <c r="AQ10" s="140">
        <f>AP10</f>
        <v>4791.66</v>
      </c>
      <c r="AR10" s="140">
        <f>AQ10</f>
        <v>4791.66</v>
      </c>
      <c r="AS10" s="140">
        <f>AR10</f>
        <v>4791.66</v>
      </c>
      <c r="AT10" s="140">
        <f>AS10</f>
        <v>4791.66</v>
      </c>
      <c r="AU10" s="140">
        <f>AT10</f>
        <v>4791.66</v>
      </c>
      <c r="AV10" s="115">
        <f>AU10+0.01*SUM(AP10:AU10,AB10:AG10)</f>
        <v>5367.992596</v>
      </c>
      <c r="AW10" s="140">
        <f>AU10</f>
        <v>4791.66</v>
      </c>
      <c r="AX10" s="140" t="e">
        <f>AW10*(1+#REF!)</f>
        <v>#REF!</v>
      </c>
      <c r="AY10" s="140" t="e">
        <f>AX10</f>
        <v>#REF!</v>
      </c>
      <c r="AZ10" s="140" t="e">
        <f>AY10</f>
        <v>#REF!</v>
      </c>
      <c r="BA10" s="140" t="e">
        <f>AZ10</f>
        <v>#REF!</v>
      </c>
      <c r="BB10" s="140"/>
    </row>
    <row r="11" spans="2:54" ht="14.25" customHeight="1">
      <c r="B11" s="147" t="s">
        <v>758</v>
      </c>
      <c r="C11" s="139"/>
      <c r="D11" s="140"/>
      <c r="E11" s="140"/>
      <c r="F11" s="140"/>
      <c r="G11" s="140"/>
      <c r="H11" s="141"/>
      <c r="I11" s="140"/>
      <c r="J11" s="140"/>
      <c r="K11" s="140"/>
      <c r="L11" s="197"/>
      <c r="M11" s="197"/>
      <c r="N11" s="197"/>
      <c r="O11" s="197"/>
      <c r="P11" s="197"/>
      <c r="Q11" s="142"/>
      <c r="R11" s="197"/>
      <c r="S11" s="140"/>
      <c r="T11" s="197"/>
      <c r="U11" s="140"/>
      <c r="V11" s="148"/>
      <c r="W11" s="148"/>
      <c r="X11" s="148"/>
      <c r="Y11" s="148"/>
      <c r="Z11" s="148"/>
      <c r="AA11" s="148"/>
      <c r="AB11" s="152"/>
      <c r="AC11" s="148"/>
      <c r="AD11" s="148"/>
      <c r="AE11" s="148"/>
      <c r="AF11" s="148"/>
      <c r="AG11" s="148"/>
      <c r="AH11" s="143"/>
      <c r="AI11" s="143"/>
      <c r="AJ11" s="143"/>
      <c r="AK11" s="143"/>
      <c r="AL11" s="144"/>
      <c r="AN11" s="145"/>
      <c r="AO11" s="136"/>
      <c r="AP11" s="146">
        <v>0</v>
      </c>
      <c r="AQ11" s="140">
        <v>0</v>
      </c>
      <c r="AR11" s="140">
        <v>0</v>
      </c>
      <c r="AS11" s="140">
        <v>0</v>
      </c>
      <c r="AT11" s="196">
        <v>1155</v>
      </c>
      <c r="AU11" s="196">
        <v>1097.25</v>
      </c>
      <c r="AV11" s="160">
        <v>1328.25</v>
      </c>
      <c r="AW11" s="140">
        <v>981.75</v>
      </c>
      <c r="AX11" s="140">
        <v>1212.75</v>
      </c>
      <c r="AY11" s="140">
        <v>1328.25</v>
      </c>
      <c r="AZ11" s="140">
        <v>0</v>
      </c>
      <c r="BA11" s="140">
        <v>0</v>
      </c>
      <c r="BB11" s="140"/>
    </row>
    <row r="12" spans="2:54" ht="14.25" customHeight="1">
      <c r="B12" s="147" t="s">
        <v>759</v>
      </c>
      <c r="C12" s="139"/>
      <c r="D12" s="140"/>
      <c r="E12" s="140"/>
      <c r="F12" s="140"/>
      <c r="G12" s="140"/>
      <c r="H12" s="141"/>
      <c r="I12" s="140"/>
      <c r="J12" s="140"/>
      <c r="K12" s="140"/>
      <c r="L12" s="140"/>
      <c r="M12" s="140"/>
      <c r="N12" s="140"/>
      <c r="O12" s="140"/>
      <c r="P12" s="140"/>
      <c r="Q12" s="142"/>
      <c r="R12" s="150"/>
      <c r="S12" s="150"/>
      <c r="T12" s="150"/>
      <c r="U12" s="150"/>
      <c r="V12" s="148">
        <v>6666.6670000000004</v>
      </c>
      <c r="W12" s="148">
        <v>6666.6670000000004</v>
      </c>
      <c r="X12" s="148">
        <v>6666.6670000000004</v>
      </c>
      <c r="Y12" s="148">
        <v>6666.6670000000004</v>
      </c>
      <c r="Z12" s="148">
        <v>6666.6670000000004</v>
      </c>
      <c r="AA12" s="148">
        <v>6666.6670000000004</v>
      </c>
      <c r="AB12" s="152">
        <f>(AA12)*1.12</f>
        <v>7466.6670400000012</v>
      </c>
      <c r="AC12" s="148">
        <v>6666.6670000000004</v>
      </c>
      <c r="AD12" s="148">
        <v>6666.6670000000004</v>
      </c>
      <c r="AE12" s="148">
        <v>6666.6670000000004</v>
      </c>
      <c r="AF12" s="148">
        <v>6666.6670000000004</v>
      </c>
      <c r="AG12" s="148">
        <v>6666.6670000000004</v>
      </c>
      <c r="AH12" s="143">
        <v>9520</v>
      </c>
      <c r="AI12" s="143">
        <f>AH12-AJ12</f>
        <v>7984.7999232399998</v>
      </c>
      <c r="AJ12" s="143">
        <f>AK12*$AO$4</f>
        <v>1535.20007676</v>
      </c>
      <c r="AK12" s="143">
        <f>SUM(V12:AG12)</f>
        <v>80800.00404</v>
      </c>
      <c r="AL12" s="144">
        <f>SUM(V12:AH12)</f>
        <v>90320.00404</v>
      </c>
      <c r="AN12" s="145">
        <f>AK12*(1+$AO$2)+AH12*1.08</f>
        <v>136329.6063024</v>
      </c>
      <c r="AO12" s="136"/>
      <c r="AP12" s="146">
        <f>85000/12</f>
        <v>7083.333333333333</v>
      </c>
      <c r="AQ12" s="140">
        <f t="shared" ref="AQ12:AU13" si="0">AP12</f>
        <v>7083.333333333333</v>
      </c>
      <c r="AR12" s="140">
        <f t="shared" si="0"/>
        <v>7083.333333333333</v>
      </c>
      <c r="AS12" s="140">
        <f t="shared" si="0"/>
        <v>7083.333333333333</v>
      </c>
      <c r="AT12" s="140">
        <f t="shared" si="0"/>
        <v>7083.333333333333</v>
      </c>
      <c r="AU12" s="140">
        <f t="shared" si="0"/>
        <v>7083.333333333333</v>
      </c>
      <c r="AV12" s="115">
        <f t="shared" ref="AV12:AV31" si="1">AU12+0.01*SUM(AP12:AU12,AB12:AG12)</f>
        <v>7916.3333537333328</v>
      </c>
      <c r="AW12" s="140">
        <f t="shared" ref="AW12:AW19" si="2">AU12</f>
        <v>7083.333333333333</v>
      </c>
      <c r="AX12" s="140">
        <f>AW12</f>
        <v>7083.333333333333</v>
      </c>
      <c r="AY12" s="140">
        <f>AX12</f>
        <v>7083.333333333333</v>
      </c>
      <c r="AZ12" s="140">
        <f>AY12</f>
        <v>7083.333333333333</v>
      </c>
      <c r="BA12" s="140">
        <f>AZ12</f>
        <v>7083.333333333333</v>
      </c>
      <c r="BB12" s="140"/>
    </row>
    <row r="13" spans="2:54">
      <c r="B13" s="147" t="s">
        <v>760</v>
      </c>
      <c r="C13" s="139"/>
      <c r="D13" s="140">
        <v>2833.33</v>
      </c>
      <c r="E13" s="140">
        <v>2833.33</v>
      </c>
      <c r="F13" s="140">
        <v>2833.33</v>
      </c>
      <c r="G13" s="140">
        <v>2833.33</v>
      </c>
      <c r="H13" s="141">
        <v>1000</v>
      </c>
      <c r="I13" s="140">
        <v>2833.33</v>
      </c>
      <c r="J13" s="140">
        <v>2833.33</v>
      </c>
      <c r="K13" s="140">
        <v>3166.67</v>
      </c>
      <c r="L13" s="140">
        <v>3000</v>
      </c>
      <c r="M13" s="140">
        <v>3000</v>
      </c>
      <c r="N13" s="140">
        <v>3000</v>
      </c>
      <c r="O13" s="140">
        <f>3000+358.1</f>
        <v>3358.1</v>
      </c>
      <c r="P13" s="140">
        <v>3000</v>
      </c>
      <c r="Q13" s="142">
        <f>SUM(D13:P13)</f>
        <v>36524.75</v>
      </c>
      <c r="R13" s="140">
        <v>3000</v>
      </c>
      <c r="S13" s="140">
        <v>3000</v>
      </c>
      <c r="T13" s="140">
        <v>3000</v>
      </c>
      <c r="U13" s="140">
        <v>3000</v>
      </c>
      <c r="V13" s="148">
        <v>2400</v>
      </c>
      <c r="W13" s="148">
        <v>2400</v>
      </c>
      <c r="X13" s="148">
        <v>2400</v>
      </c>
      <c r="Y13" s="148">
        <v>2400</v>
      </c>
      <c r="Z13" s="148"/>
      <c r="AA13" s="148"/>
      <c r="AB13" s="152"/>
      <c r="AC13" s="148">
        <v>1200</v>
      </c>
      <c r="AD13" s="148">
        <v>2400</v>
      </c>
      <c r="AE13" s="148">
        <f>AD13</f>
        <v>2400</v>
      </c>
      <c r="AF13" s="148">
        <f>AE13</f>
        <v>2400</v>
      </c>
      <c r="AG13" s="148">
        <v>2520</v>
      </c>
      <c r="AH13" s="143">
        <f>SUM(V13:AG13)*$AO$4</f>
        <v>389.88</v>
      </c>
      <c r="AI13" s="143">
        <f>AH13-AJ13</f>
        <v>0</v>
      </c>
      <c r="AJ13" s="143">
        <f>AK13*$AO$4</f>
        <v>389.88</v>
      </c>
      <c r="AK13" s="143">
        <f>SUM(V13:AG13)</f>
        <v>20520</v>
      </c>
      <c r="AL13" s="144">
        <f>SUM(V13:AH13)</f>
        <v>20909.88</v>
      </c>
      <c r="AN13" s="145">
        <f>AK13*(1+$AO$2)+AH13*1.08</f>
        <v>32432.270400000001</v>
      </c>
      <c r="AO13" s="136"/>
      <c r="AP13" s="146">
        <f>37800/12*4/5</f>
        <v>2520</v>
      </c>
      <c r="AQ13" s="140">
        <f t="shared" si="0"/>
        <v>2520</v>
      </c>
      <c r="AR13" s="140">
        <f t="shared" si="0"/>
        <v>2520</v>
      </c>
      <c r="AS13" s="140">
        <f t="shared" si="0"/>
        <v>2520</v>
      </c>
      <c r="AT13" s="140">
        <f t="shared" si="0"/>
        <v>2520</v>
      </c>
      <c r="AU13" s="140">
        <f t="shared" si="0"/>
        <v>2520</v>
      </c>
      <c r="AV13" s="115">
        <f t="shared" si="1"/>
        <v>2780.4</v>
      </c>
      <c r="AW13" s="140">
        <f t="shared" si="2"/>
        <v>2520</v>
      </c>
      <c r="AX13" s="140">
        <f>AW13</f>
        <v>2520</v>
      </c>
      <c r="AY13" s="140">
        <f>AX13</f>
        <v>2520</v>
      </c>
      <c r="AZ13" s="140">
        <f>AY13</f>
        <v>2520</v>
      </c>
      <c r="BA13" s="140" t="e">
        <f>AZ13*(1+#REF!)</f>
        <v>#REF!</v>
      </c>
      <c r="BB13" s="140"/>
    </row>
    <row r="14" spans="2:54">
      <c r="B14" s="147" t="s">
        <v>761</v>
      </c>
      <c r="C14" s="139"/>
      <c r="D14" s="140">
        <v>4333</v>
      </c>
      <c r="E14" s="140">
        <v>4333</v>
      </c>
      <c r="F14" s="140">
        <v>4333</v>
      </c>
      <c r="G14" s="140">
        <v>5567.68</v>
      </c>
      <c r="H14" s="141">
        <v>3500</v>
      </c>
      <c r="I14" s="140">
        <v>4641.67</v>
      </c>
      <c r="J14" s="140">
        <v>4641.67</v>
      </c>
      <c r="K14" s="140">
        <v>4641.67</v>
      </c>
      <c r="L14" s="140">
        <v>4641.67</v>
      </c>
      <c r="M14" s="140">
        <v>4641.67</v>
      </c>
      <c r="N14" s="140">
        <v>4641.67</v>
      </c>
      <c r="O14" s="140">
        <f>4641.67+587.89</f>
        <v>5229.5600000000004</v>
      </c>
      <c r="P14" s="140">
        <v>4641.67</v>
      </c>
      <c r="Q14" s="142">
        <f>SUM(D14:P14)</f>
        <v>59787.929999999986</v>
      </c>
      <c r="R14" s="140">
        <v>4875</v>
      </c>
      <c r="S14" s="140">
        <v>4875</v>
      </c>
      <c r="T14" s="140">
        <v>4875</v>
      </c>
      <c r="U14" s="140">
        <v>4875</v>
      </c>
      <c r="V14" s="148">
        <v>4875</v>
      </c>
      <c r="W14" s="148">
        <v>4875</v>
      </c>
      <c r="X14" s="148">
        <v>4875</v>
      </c>
      <c r="Y14" s="148">
        <v>4875</v>
      </c>
      <c r="Z14" s="148">
        <v>4875</v>
      </c>
      <c r="AA14" s="148">
        <v>4875</v>
      </c>
      <c r="AB14" s="152">
        <f>(AA14)*1.12</f>
        <v>5460.0000000000009</v>
      </c>
      <c r="AC14" s="148">
        <v>4875</v>
      </c>
      <c r="AD14" s="148">
        <f>AC14-(86*30)</f>
        <v>2295</v>
      </c>
      <c r="AE14" s="148">
        <f>AC14-(86*31)</f>
        <v>2209</v>
      </c>
      <c r="AF14" s="148">
        <f>AC14-(86*30)</f>
        <v>2295</v>
      </c>
      <c r="AG14" s="148">
        <f>AC14-(86*31)</f>
        <v>2209</v>
      </c>
      <c r="AH14" s="143">
        <v>2412</v>
      </c>
      <c r="AI14" s="143">
        <f>AH14-AJ14</f>
        <v>1488.7330000000002</v>
      </c>
      <c r="AJ14" s="143">
        <f>AK14*$AO$4</f>
        <v>923.26699999999994</v>
      </c>
      <c r="AK14" s="143">
        <f>SUM(V14:AG14)</f>
        <v>48593</v>
      </c>
      <c r="AL14" s="144">
        <f>SUM(V14:AH14)</f>
        <v>51005</v>
      </c>
      <c r="AN14" s="145">
        <f>AK14*(1+$AO$2)+AH14*1.08</f>
        <v>78410.040000000008</v>
      </c>
      <c r="AO14" s="136"/>
      <c r="AP14" s="146">
        <f>AG14</f>
        <v>2209</v>
      </c>
      <c r="AQ14" s="140">
        <f>AP14</f>
        <v>2209</v>
      </c>
      <c r="AR14" s="140">
        <v>4000</v>
      </c>
      <c r="AS14" s="140">
        <f>AR14</f>
        <v>4000</v>
      </c>
      <c r="AT14" s="140">
        <f>AS14</f>
        <v>4000</v>
      </c>
      <c r="AU14" s="140">
        <f>AT14</f>
        <v>4000</v>
      </c>
      <c r="AV14" s="115">
        <f t="shared" si="1"/>
        <v>4397.6099999999997</v>
      </c>
      <c r="AW14" s="140">
        <f t="shared" si="2"/>
        <v>4000</v>
      </c>
      <c r="AX14" s="140" t="e">
        <f>AW14*(1+#REF!)</f>
        <v>#REF!</v>
      </c>
      <c r="AY14" s="140" t="e">
        <f t="shared" ref="AY14:BA16" si="3">AX14</f>
        <v>#REF!</v>
      </c>
      <c r="AZ14" s="140" t="e">
        <f t="shared" si="3"/>
        <v>#REF!</v>
      </c>
      <c r="BA14" s="140" t="e">
        <f t="shared" si="3"/>
        <v>#REF!</v>
      </c>
      <c r="BB14" s="140"/>
    </row>
    <row r="15" spans="2:54">
      <c r="B15" s="147" t="s">
        <v>762</v>
      </c>
      <c r="C15" s="139"/>
      <c r="D15" s="140"/>
      <c r="E15" s="140"/>
      <c r="F15" s="140"/>
      <c r="G15" s="140"/>
      <c r="H15" s="141"/>
      <c r="I15" s="140"/>
      <c r="J15" s="140"/>
      <c r="K15" s="140"/>
      <c r="L15" s="140"/>
      <c r="M15" s="140"/>
      <c r="N15" s="140"/>
      <c r="O15" s="140"/>
      <c r="P15" s="140"/>
      <c r="Q15" s="142"/>
      <c r="R15" s="140"/>
      <c r="S15" s="140"/>
      <c r="T15" s="140"/>
      <c r="U15" s="140"/>
      <c r="V15" s="148"/>
      <c r="W15" s="148"/>
      <c r="X15" s="148"/>
      <c r="Y15" s="148"/>
      <c r="Z15" s="148"/>
      <c r="AA15" s="148"/>
      <c r="AB15" s="152"/>
      <c r="AC15" s="148"/>
      <c r="AD15" s="148"/>
      <c r="AE15" s="148"/>
      <c r="AF15" s="148"/>
      <c r="AG15" s="148"/>
      <c r="AH15" s="143"/>
      <c r="AI15" s="143"/>
      <c r="AJ15" s="143"/>
      <c r="AK15" s="143"/>
      <c r="AL15" s="144"/>
      <c r="AN15" s="145"/>
      <c r="AO15" s="136"/>
      <c r="AP15" s="140">
        <v>0</v>
      </c>
      <c r="AQ15" s="140">
        <v>0</v>
      </c>
      <c r="AR15" s="140">
        <v>0</v>
      </c>
      <c r="AS15" s="140">
        <v>0</v>
      </c>
      <c r="AT15" s="140">
        <v>0</v>
      </c>
      <c r="AU15" s="140">
        <f>115000/12</f>
        <v>9583.3333333333339</v>
      </c>
      <c r="AV15" s="115">
        <f t="shared" si="1"/>
        <v>9679.1666666666679</v>
      </c>
      <c r="AW15" s="140">
        <f t="shared" si="2"/>
        <v>9583.3333333333339</v>
      </c>
      <c r="AX15" s="140">
        <f>115000/12</f>
        <v>9583.3333333333339</v>
      </c>
      <c r="AY15" s="140">
        <f t="shared" si="3"/>
        <v>9583.3333333333339</v>
      </c>
      <c r="AZ15" s="140">
        <f t="shared" si="3"/>
        <v>9583.3333333333339</v>
      </c>
      <c r="BA15" s="140">
        <f t="shared" si="3"/>
        <v>9583.3333333333339</v>
      </c>
      <c r="BB15" s="140"/>
    </row>
    <row r="16" spans="2:54">
      <c r="B16" s="147" t="s">
        <v>763</v>
      </c>
      <c r="C16" s="139"/>
      <c r="D16" s="140"/>
      <c r="E16" s="140"/>
      <c r="F16" s="140"/>
      <c r="G16" s="140"/>
      <c r="H16" s="141"/>
      <c r="I16" s="140">
        <v>2347.14</v>
      </c>
      <c r="J16" s="140">
        <v>2833.34</v>
      </c>
      <c r="K16" s="140">
        <v>2833.34</v>
      </c>
      <c r="L16" s="140">
        <v>2833.34</v>
      </c>
      <c r="M16" s="140">
        <v>2833.34</v>
      </c>
      <c r="N16" s="140">
        <v>2833.34</v>
      </c>
      <c r="O16" s="140">
        <f>2833.34+136.81</f>
        <v>2970.15</v>
      </c>
      <c r="P16" s="140">
        <v>2833.34</v>
      </c>
      <c r="Q16" s="142">
        <f>SUM(D16:P16)</f>
        <v>22317.33</v>
      </c>
      <c r="R16" s="140">
        <v>2833.34</v>
      </c>
      <c r="S16" s="140">
        <v>2833.34</v>
      </c>
      <c r="T16" s="140">
        <v>2833.34</v>
      </c>
      <c r="U16" s="140">
        <v>2833.34</v>
      </c>
      <c r="V16" s="148">
        <v>3166.67</v>
      </c>
      <c r="W16" s="148">
        <v>3166.67</v>
      </c>
      <c r="X16" s="148">
        <v>3166.67</v>
      </c>
      <c r="Y16" s="148">
        <v>3166.67</v>
      </c>
      <c r="Z16" s="148">
        <v>3166.67</v>
      </c>
      <c r="AA16" s="148">
        <v>3166.67</v>
      </c>
      <c r="AB16" s="152">
        <f>(AA16)*1.12</f>
        <v>3546.6704000000004</v>
      </c>
      <c r="AC16" s="148">
        <v>3166.67</v>
      </c>
      <c r="AD16" s="148">
        <v>3166.67</v>
      </c>
      <c r="AE16" s="148">
        <v>3166.67</v>
      </c>
      <c r="AF16" s="148">
        <v>3166.67</v>
      </c>
      <c r="AG16" s="148">
        <v>3166.67</v>
      </c>
      <c r="AH16" s="143">
        <v>1222</v>
      </c>
      <c r="AI16" s="143">
        <f>AH16-AJ16</f>
        <v>492.77923240000018</v>
      </c>
      <c r="AJ16" s="143">
        <f>AK16*$AO$4</f>
        <v>729.22076759999982</v>
      </c>
      <c r="AK16" s="143">
        <f>SUM(V16:AG16)</f>
        <v>38380.040399999991</v>
      </c>
      <c r="AL16" s="144">
        <f>SUM(V16:AH16)</f>
        <v>39602.040399999991</v>
      </c>
      <c r="AN16" s="145">
        <f>AK16*(1+$AO$2)+AH16*1.08</f>
        <v>61192.623023999993</v>
      </c>
      <c r="AO16" s="136"/>
      <c r="AP16" s="146">
        <v>3333.33</v>
      </c>
      <c r="AQ16" s="140">
        <f t="shared" ref="AQ16:AU18" si="4">AP16</f>
        <v>3333.33</v>
      </c>
      <c r="AR16" s="140">
        <f t="shared" si="4"/>
        <v>3333.33</v>
      </c>
      <c r="AS16" s="140">
        <f t="shared" si="4"/>
        <v>3333.33</v>
      </c>
      <c r="AT16" s="140">
        <f t="shared" si="4"/>
        <v>3333.33</v>
      </c>
      <c r="AU16" s="140">
        <f t="shared" si="4"/>
        <v>3333.33</v>
      </c>
      <c r="AV16" s="115">
        <f t="shared" si="1"/>
        <v>3727.1300040000001</v>
      </c>
      <c r="AW16" s="140">
        <f t="shared" si="2"/>
        <v>3333.33</v>
      </c>
      <c r="AX16" s="140">
        <f>AW16</f>
        <v>3333.33</v>
      </c>
      <c r="AY16" s="140">
        <f t="shared" si="3"/>
        <v>3333.33</v>
      </c>
      <c r="AZ16" s="140">
        <f t="shared" si="3"/>
        <v>3333.33</v>
      </c>
      <c r="BA16" s="140">
        <f t="shared" si="3"/>
        <v>3333.33</v>
      </c>
      <c r="BB16" s="140"/>
    </row>
    <row r="17" spans="2:54">
      <c r="B17" s="147" t="s">
        <v>764</v>
      </c>
      <c r="C17" s="139"/>
      <c r="D17" s="140">
        <v>3333</v>
      </c>
      <c r="E17" s="140">
        <v>3333</v>
      </c>
      <c r="F17" s="140">
        <v>3834</v>
      </c>
      <c r="G17" s="140">
        <v>3500</v>
      </c>
      <c r="H17" s="141">
        <v>1500</v>
      </c>
      <c r="I17" s="140">
        <v>3500</v>
      </c>
      <c r="J17" s="140">
        <v>3500</v>
      </c>
      <c r="K17" s="140">
        <v>3500</v>
      </c>
      <c r="L17" s="140">
        <v>1723.08</v>
      </c>
      <c r="M17" s="140"/>
      <c r="N17" s="140">
        <v>2530.77</v>
      </c>
      <c r="O17" s="140">
        <f>3500+381.06</f>
        <v>3881.06</v>
      </c>
      <c r="P17" s="140">
        <v>3500</v>
      </c>
      <c r="Q17" s="142">
        <f>SUM(D17:P17)</f>
        <v>37634.910000000003</v>
      </c>
      <c r="R17" s="140">
        <v>3850</v>
      </c>
      <c r="S17" s="140">
        <v>3850</v>
      </c>
      <c r="T17" s="140">
        <v>3850</v>
      </c>
      <c r="U17" s="140">
        <v>3850</v>
      </c>
      <c r="V17" s="148">
        <v>3850</v>
      </c>
      <c r="W17" s="148">
        <v>3850</v>
      </c>
      <c r="X17" s="148">
        <v>3850</v>
      </c>
      <c r="Y17" s="148">
        <v>3850</v>
      </c>
      <c r="Z17" s="148">
        <f>3850-(86*31)</f>
        <v>1184</v>
      </c>
      <c r="AA17" s="148">
        <f>3850-(86*30)</f>
        <v>1270</v>
      </c>
      <c r="AB17" s="152">
        <f>(AA17)*1.12</f>
        <v>1422.4</v>
      </c>
      <c r="AC17" s="148">
        <f>3850-(86*31)</f>
        <v>1184</v>
      </c>
      <c r="AD17" s="148">
        <v>4041.67</v>
      </c>
      <c r="AE17" s="148">
        <v>4041.67</v>
      </c>
      <c r="AF17" s="148">
        <v>4041.67</v>
      </c>
      <c r="AG17" s="148">
        <v>4041.67</v>
      </c>
      <c r="AH17" s="143">
        <v>1691</v>
      </c>
      <c r="AI17" s="143">
        <f>AH17-AJ17</f>
        <v>995.08548000000008</v>
      </c>
      <c r="AJ17" s="143">
        <f>AK17*$AO$4</f>
        <v>695.91451999999992</v>
      </c>
      <c r="AK17" s="143">
        <f>SUM(V17:AG17)</f>
        <v>36627.079999999994</v>
      </c>
      <c r="AL17" s="144">
        <f>SUM(V17:AH17)</f>
        <v>38318.079999999994</v>
      </c>
      <c r="AN17" s="145">
        <f>AK17*(1+$AO$2)+AH17*1.08</f>
        <v>58964.524799999992</v>
      </c>
      <c r="AO17" s="136"/>
      <c r="AP17" s="146">
        <f>AG17</f>
        <v>4041.67</v>
      </c>
      <c r="AQ17" s="140">
        <f t="shared" si="4"/>
        <v>4041.67</v>
      </c>
      <c r="AR17" s="140">
        <f t="shared" si="4"/>
        <v>4041.67</v>
      </c>
      <c r="AS17" s="140">
        <f t="shared" si="4"/>
        <v>4041.67</v>
      </c>
      <c r="AT17" s="140">
        <f t="shared" si="4"/>
        <v>4041.67</v>
      </c>
      <c r="AU17" s="140">
        <f t="shared" si="4"/>
        <v>4041.67</v>
      </c>
      <c r="AV17" s="115">
        <f t="shared" si="1"/>
        <v>4471.9009999999998</v>
      </c>
      <c r="AW17" s="140">
        <f t="shared" si="2"/>
        <v>4041.67</v>
      </c>
      <c r="AX17" s="140">
        <f>AW17</f>
        <v>4041.67</v>
      </c>
      <c r="AY17" s="140">
        <f>AX17</f>
        <v>4041.67</v>
      </c>
      <c r="AZ17" s="140">
        <f t="shared" ref="AZ17:BA25" si="5">AY17</f>
        <v>4041.67</v>
      </c>
      <c r="BA17" s="140">
        <f t="shared" si="5"/>
        <v>4041.67</v>
      </c>
      <c r="BB17" s="140"/>
    </row>
    <row r="18" spans="2:54">
      <c r="B18" s="147" t="s">
        <v>765</v>
      </c>
      <c r="C18" s="139"/>
      <c r="D18" s="140"/>
      <c r="E18" s="140"/>
      <c r="F18" s="140"/>
      <c r="G18" s="140"/>
      <c r="H18" s="141"/>
      <c r="I18" s="140"/>
      <c r="J18" s="140"/>
      <c r="K18" s="140"/>
      <c r="L18" s="140"/>
      <c r="M18" s="140"/>
      <c r="N18" s="140"/>
      <c r="O18" s="140"/>
      <c r="P18" s="140"/>
      <c r="Q18" s="142"/>
      <c r="R18" s="140">
        <v>1579.74</v>
      </c>
      <c r="S18" s="140">
        <v>1579.74</v>
      </c>
      <c r="T18" s="140">
        <v>1579.74</v>
      </c>
      <c r="U18" s="140">
        <v>1579.74</v>
      </c>
      <c r="V18" s="148">
        <v>1579.74</v>
      </c>
      <c r="W18" s="148">
        <v>1579.74</v>
      </c>
      <c r="X18" s="148">
        <v>1579.74</v>
      </c>
      <c r="Y18" s="148">
        <v>1579.74</v>
      </c>
      <c r="Z18" s="148">
        <v>1579.74</v>
      </c>
      <c r="AA18" s="148">
        <v>1579.74</v>
      </c>
      <c r="AB18" s="152">
        <f>(AA18)*1.12</f>
        <v>1769.3088000000002</v>
      </c>
      <c r="AC18" s="148">
        <v>1579.74</v>
      </c>
      <c r="AD18" s="148">
        <v>3166.67</v>
      </c>
      <c r="AE18" s="148">
        <v>3166.67</v>
      </c>
      <c r="AF18" s="148">
        <v>3166.67</v>
      </c>
      <c r="AG18" s="148">
        <v>3166.67</v>
      </c>
      <c r="AH18" s="143">
        <f>SUM(V18:AG18)*$AO$4</f>
        <v>484.38920719999999</v>
      </c>
      <c r="AI18" s="143">
        <v>0</v>
      </c>
      <c r="AJ18" s="143">
        <f>AK18*$AO$4</f>
        <v>484.38920719999999</v>
      </c>
      <c r="AK18" s="143">
        <f>SUM(V18:AG18)</f>
        <v>25494.168799999999</v>
      </c>
      <c r="AL18" s="144">
        <f>SUM(V18:AH18)</f>
        <v>25978.558007200001</v>
      </c>
      <c r="AN18" s="145">
        <f>AK18*(1+$AO$2)+AH18*1.08</f>
        <v>40294.043671776002</v>
      </c>
      <c r="AO18" s="136"/>
      <c r="AP18" s="146">
        <f>AG18</f>
        <v>3166.67</v>
      </c>
      <c r="AQ18" s="140">
        <f t="shared" si="4"/>
        <v>3166.67</v>
      </c>
      <c r="AR18" s="140">
        <f t="shared" si="4"/>
        <v>3166.67</v>
      </c>
      <c r="AS18" s="140">
        <f t="shared" si="4"/>
        <v>3166.67</v>
      </c>
      <c r="AT18" s="140">
        <f t="shared" si="4"/>
        <v>3166.67</v>
      </c>
      <c r="AU18" s="140">
        <f t="shared" si="4"/>
        <v>3166.67</v>
      </c>
      <c r="AV18" s="115">
        <f t="shared" si="1"/>
        <v>3516.8274879999999</v>
      </c>
      <c r="AW18" s="140">
        <f t="shared" si="2"/>
        <v>3166.67</v>
      </c>
      <c r="AX18" s="140" t="e">
        <f>AW18*(1+#REF!)</f>
        <v>#REF!</v>
      </c>
      <c r="AY18" s="140" t="e">
        <f t="shared" ref="AY18:AY26" si="6">AX18</f>
        <v>#REF!</v>
      </c>
      <c r="AZ18" s="140" t="e">
        <f t="shared" si="5"/>
        <v>#REF!</v>
      </c>
      <c r="BA18" s="140" t="e">
        <f t="shared" si="5"/>
        <v>#REF!</v>
      </c>
      <c r="BB18" s="140"/>
    </row>
    <row r="19" spans="2:54">
      <c r="B19" s="147" t="s">
        <v>766</v>
      </c>
      <c r="C19" s="139"/>
      <c r="D19" s="140"/>
      <c r="E19" s="140"/>
      <c r="F19" s="140"/>
      <c r="G19" s="140"/>
      <c r="H19" s="141"/>
      <c r="I19" s="140"/>
      <c r="J19" s="140"/>
      <c r="K19" s="140"/>
      <c r="L19" s="140"/>
      <c r="M19" s="140"/>
      <c r="N19" s="140"/>
      <c r="O19" s="140"/>
      <c r="P19" s="140"/>
      <c r="Q19" s="142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52"/>
      <c r="AC19" s="140"/>
      <c r="AD19" s="140"/>
      <c r="AE19" s="140"/>
      <c r="AF19" s="140"/>
      <c r="AG19" s="140"/>
      <c r="AH19" s="143"/>
      <c r="AI19" s="143"/>
      <c r="AJ19" s="143"/>
      <c r="AK19" s="143"/>
      <c r="AL19" s="144"/>
      <c r="AN19" s="145"/>
      <c r="AO19" s="136"/>
      <c r="AP19" s="140">
        <v>0</v>
      </c>
      <c r="AQ19" s="140">
        <v>0</v>
      </c>
      <c r="AR19" s="140">
        <v>0</v>
      </c>
      <c r="AS19" s="140">
        <f>AT19*(21/30)</f>
        <v>1983.3309999999999</v>
      </c>
      <c r="AT19" s="140">
        <v>2833.33</v>
      </c>
      <c r="AU19" s="140">
        <f>AT19</f>
        <v>2833.33</v>
      </c>
      <c r="AV19" s="115">
        <f t="shared" si="1"/>
        <v>2909.8299099999999</v>
      </c>
      <c r="AW19" s="140">
        <f t="shared" si="2"/>
        <v>2833.33</v>
      </c>
      <c r="AX19" s="140">
        <f>AW19</f>
        <v>2833.33</v>
      </c>
      <c r="AY19" s="140">
        <f t="shared" si="6"/>
        <v>2833.33</v>
      </c>
      <c r="AZ19" s="140">
        <f t="shared" si="5"/>
        <v>2833.33</v>
      </c>
      <c r="BA19" s="140">
        <f t="shared" si="5"/>
        <v>2833.33</v>
      </c>
      <c r="BB19" s="140"/>
    </row>
    <row r="20" spans="2:54">
      <c r="B20" s="147" t="s">
        <v>767</v>
      </c>
      <c r="C20" s="139"/>
      <c r="D20" s="140"/>
      <c r="E20" s="140"/>
      <c r="F20" s="140"/>
      <c r="G20" s="140"/>
      <c r="H20" s="141"/>
      <c r="I20" s="140"/>
      <c r="J20" s="140"/>
      <c r="K20" s="140"/>
      <c r="L20" s="140">
        <v>2307.6799999999998</v>
      </c>
      <c r="M20" s="140">
        <v>3333.33</v>
      </c>
      <c r="N20" s="140">
        <v>3333.33</v>
      </c>
      <c r="O20" s="140">
        <f>3333.33+56.41</f>
        <v>3389.74</v>
      </c>
      <c r="P20" s="140">
        <v>3333.33</v>
      </c>
      <c r="Q20" s="142">
        <f>SUM(D20:P20)</f>
        <v>15697.41</v>
      </c>
      <c r="R20" s="140">
        <v>3333.33</v>
      </c>
      <c r="S20" s="140">
        <v>3333.33</v>
      </c>
      <c r="T20" s="140">
        <v>3333.33</v>
      </c>
      <c r="U20" s="140">
        <v>3333.33</v>
      </c>
      <c r="V20" s="148">
        <v>3333.33</v>
      </c>
      <c r="W20" s="148">
        <v>3333.33</v>
      </c>
      <c r="X20" s="148">
        <v>3333.33</v>
      </c>
      <c r="Y20" s="148">
        <v>3666.67</v>
      </c>
      <c r="Z20" s="148">
        <v>3666.67</v>
      </c>
      <c r="AA20" s="148">
        <v>3666.67</v>
      </c>
      <c r="AB20" s="152">
        <f>(AA20)*1.12</f>
        <v>4106.6704000000009</v>
      </c>
      <c r="AC20" s="148">
        <v>3666.67</v>
      </c>
      <c r="AD20" s="148">
        <v>3666.67</v>
      </c>
      <c r="AE20" s="148">
        <v>3666.67</v>
      </c>
      <c r="AF20" s="148">
        <v>3666.67</v>
      </c>
      <c r="AG20" s="148">
        <v>3666.67</v>
      </c>
      <c r="AH20" s="143">
        <v>1380</v>
      </c>
      <c r="AI20" s="143">
        <f>AH20-AJ20</f>
        <v>554.63961240000015</v>
      </c>
      <c r="AJ20" s="143">
        <f>AK20*$AO$4</f>
        <v>825.36038759999985</v>
      </c>
      <c r="AK20" s="143">
        <f>SUM(V20:AG20)</f>
        <v>43440.020399999994</v>
      </c>
      <c r="AL20" s="144">
        <f>SUM(V20:AH20)</f>
        <v>44820.020399999994</v>
      </c>
      <c r="AN20" s="145">
        <f>AK20*(1+$AO$2)+AH20*1.08</f>
        <v>69256.831823999994</v>
      </c>
      <c r="AO20" s="136"/>
      <c r="AP20" s="146">
        <f>AG20</f>
        <v>3666.67</v>
      </c>
      <c r="AQ20" s="140">
        <f t="shared" ref="AQ20:AR22" si="7">AP20</f>
        <v>3666.67</v>
      </c>
      <c r="AR20" s="140">
        <f t="shared" si="7"/>
        <v>3666.67</v>
      </c>
      <c r="AS20" s="140">
        <v>3750</v>
      </c>
      <c r="AT20" s="140">
        <f>45000/12</f>
        <v>3750</v>
      </c>
      <c r="AU20" s="140">
        <f>AT20</f>
        <v>3750</v>
      </c>
      <c r="AV20" s="115">
        <f t="shared" si="1"/>
        <v>4196.9003039999998</v>
      </c>
      <c r="AW20" s="140">
        <f t="shared" ref="AW20:AW30" si="8">AU20</f>
        <v>3750</v>
      </c>
      <c r="AX20" s="140">
        <f>AW20</f>
        <v>3750</v>
      </c>
      <c r="AY20" s="140">
        <f t="shared" si="6"/>
        <v>3750</v>
      </c>
      <c r="AZ20" s="140">
        <f t="shared" si="5"/>
        <v>3750</v>
      </c>
      <c r="BA20" s="140">
        <f t="shared" si="5"/>
        <v>3750</v>
      </c>
      <c r="BB20" s="140"/>
    </row>
    <row r="21" spans="2:54">
      <c r="B21" s="147" t="s">
        <v>768</v>
      </c>
      <c r="C21" s="139"/>
      <c r="D21" s="140"/>
      <c r="E21" s="140"/>
      <c r="F21" s="140"/>
      <c r="G21" s="140"/>
      <c r="H21" s="141"/>
      <c r="I21" s="140"/>
      <c r="J21" s="140"/>
      <c r="K21" s="140"/>
      <c r="L21" s="140"/>
      <c r="M21" s="140"/>
      <c r="N21" s="140"/>
      <c r="O21" s="140"/>
      <c r="P21" s="140">
        <v>553.84</v>
      </c>
      <c r="Q21" s="142">
        <f>SUM(D21:P21)</f>
        <v>553.84</v>
      </c>
      <c r="R21" s="140">
        <v>3000</v>
      </c>
      <c r="S21" s="140">
        <v>3000</v>
      </c>
      <c r="T21" s="140">
        <v>3000</v>
      </c>
      <c r="U21" s="140">
        <v>3000</v>
      </c>
      <c r="V21" s="148">
        <v>3000</v>
      </c>
      <c r="W21" s="148">
        <v>3000</v>
      </c>
      <c r="X21" s="148">
        <v>3000</v>
      </c>
      <c r="Y21" s="148">
        <v>3000</v>
      </c>
      <c r="Z21" s="148">
        <v>3000</v>
      </c>
      <c r="AA21" s="148">
        <v>3000</v>
      </c>
      <c r="AB21" s="152">
        <f>(AA21)*1.12</f>
        <v>3360.0000000000005</v>
      </c>
      <c r="AC21" s="148">
        <v>3000</v>
      </c>
      <c r="AD21" s="148">
        <f>AC21</f>
        <v>3000</v>
      </c>
      <c r="AE21" s="148">
        <v>3150</v>
      </c>
      <c r="AF21" s="148">
        <f>AE21</f>
        <v>3150</v>
      </c>
      <c r="AG21" s="148">
        <f>AF21</f>
        <v>3150</v>
      </c>
      <c r="AH21" s="143">
        <v>1220</v>
      </c>
      <c r="AI21" s="143">
        <f>AH21-AJ21</f>
        <v>520.61</v>
      </c>
      <c r="AJ21" s="143">
        <f>AK21*$AO$4</f>
        <v>699.39</v>
      </c>
      <c r="AK21" s="143">
        <f>SUM(V21:AG21)</f>
        <v>36810</v>
      </c>
      <c r="AL21" s="144">
        <f>SUM(V21:AH21)</f>
        <v>38030</v>
      </c>
      <c r="AN21" s="145">
        <f>AK21*(1+$AO$2)+AH21*1.08</f>
        <v>58741.2</v>
      </c>
      <c r="AO21" s="136"/>
      <c r="AP21" s="146">
        <f>AG21</f>
        <v>3150</v>
      </c>
      <c r="AQ21" s="140">
        <f t="shared" si="7"/>
        <v>3150</v>
      </c>
      <c r="AR21" s="140">
        <f t="shared" si="7"/>
        <v>3150</v>
      </c>
      <c r="AS21" s="140">
        <f>AR21</f>
        <v>3150</v>
      </c>
      <c r="AT21" s="140">
        <f>AS21</f>
        <v>3150</v>
      </c>
      <c r="AU21" s="140">
        <f>AT21</f>
        <v>3150</v>
      </c>
      <c r="AV21" s="115">
        <f t="shared" si="1"/>
        <v>3527.1</v>
      </c>
      <c r="AW21" s="140">
        <f t="shared" si="8"/>
        <v>3150</v>
      </c>
      <c r="AX21" s="140" t="e">
        <f>AW21*(1+#REF!)</f>
        <v>#REF!</v>
      </c>
      <c r="AY21" s="140" t="e">
        <f t="shared" si="6"/>
        <v>#REF!</v>
      </c>
      <c r="AZ21" s="140" t="e">
        <f t="shared" si="5"/>
        <v>#REF!</v>
      </c>
      <c r="BA21" s="140" t="e">
        <f t="shared" si="5"/>
        <v>#REF!</v>
      </c>
      <c r="BB21" s="140"/>
    </row>
    <row r="22" spans="2:54">
      <c r="B22" s="147" t="s">
        <v>769</v>
      </c>
      <c r="C22" s="139"/>
      <c r="D22" s="140"/>
      <c r="E22" s="140"/>
      <c r="F22" s="140"/>
      <c r="G22" s="140"/>
      <c r="H22" s="141"/>
      <c r="I22" s="140"/>
      <c r="J22" s="140"/>
      <c r="K22" s="140"/>
      <c r="L22" s="140"/>
      <c r="M22" s="140"/>
      <c r="N22" s="140"/>
      <c r="O22" s="140"/>
      <c r="P22" s="140">
        <v>1626.92</v>
      </c>
      <c r="Q22" s="142">
        <f>SUM(D22:P22)</f>
        <v>1626.92</v>
      </c>
      <c r="R22" s="140">
        <v>3916.66</v>
      </c>
      <c r="S22" s="140">
        <v>3916.66</v>
      </c>
      <c r="T22" s="140">
        <v>3916.66</v>
      </c>
      <c r="U22" s="140">
        <v>3916.66</v>
      </c>
      <c r="V22" s="148">
        <v>3916.66</v>
      </c>
      <c r="W22" s="148">
        <v>3916.66</v>
      </c>
      <c r="X22" s="148">
        <v>3916.66</v>
      </c>
      <c r="Y22" s="148">
        <v>3916.66</v>
      </c>
      <c r="Z22" s="148">
        <v>3916.66</v>
      </c>
      <c r="AA22" s="148">
        <v>3916.66</v>
      </c>
      <c r="AB22" s="152">
        <f>(AA22)*1.12</f>
        <v>4386.6592000000001</v>
      </c>
      <c r="AC22" s="148">
        <v>3916.66</v>
      </c>
      <c r="AD22" s="148">
        <v>4166.67</v>
      </c>
      <c r="AE22" s="148">
        <v>4166.67</v>
      </c>
      <c r="AF22" s="148">
        <v>4166.67</v>
      </c>
      <c r="AG22" s="148">
        <v>4166.67</v>
      </c>
      <c r="AH22" s="143">
        <f>SUM(V22:AG22)*$AO$4</f>
        <v>920.92922479999993</v>
      </c>
      <c r="AI22" s="143">
        <f>AH22-AJ22</f>
        <v>0</v>
      </c>
      <c r="AJ22" s="143">
        <f>AK22*$AO$4</f>
        <v>920.92922479999993</v>
      </c>
      <c r="AK22" s="143">
        <f>SUM(V22:AG22)</f>
        <v>48469.959199999998</v>
      </c>
      <c r="AL22" s="144">
        <f>SUM(V22:AH22)</f>
        <v>49390.888424799996</v>
      </c>
      <c r="AN22" s="145">
        <f>AK22*(1+$AO$2)+AH22*1.08</f>
        <v>76607.739914784004</v>
      </c>
      <c r="AO22" s="136"/>
      <c r="AP22" s="146">
        <f>AG22</f>
        <v>4166.67</v>
      </c>
      <c r="AQ22" s="140">
        <f t="shared" si="7"/>
        <v>4166.67</v>
      </c>
      <c r="AR22" s="140">
        <f t="shared" si="7"/>
        <v>4166.67</v>
      </c>
      <c r="AS22" s="140">
        <f>AR22</f>
        <v>4166.67</v>
      </c>
      <c r="AT22" s="140">
        <f>AS22</f>
        <v>4166.67</v>
      </c>
      <c r="AU22" s="140">
        <f>AT22</f>
        <v>4166.67</v>
      </c>
      <c r="AV22" s="115">
        <f t="shared" si="1"/>
        <v>4666.3701920000003</v>
      </c>
      <c r="AW22" s="140">
        <f t="shared" si="8"/>
        <v>4166.67</v>
      </c>
      <c r="AX22" s="140" t="e">
        <f>AW22*(1+#REF!)</f>
        <v>#REF!</v>
      </c>
      <c r="AY22" s="140" t="e">
        <f t="shared" si="6"/>
        <v>#REF!</v>
      </c>
      <c r="AZ22" s="140" t="e">
        <f t="shared" si="5"/>
        <v>#REF!</v>
      </c>
      <c r="BA22" s="140" t="e">
        <f t="shared" si="5"/>
        <v>#REF!</v>
      </c>
      <c r="BB22" s="140"/>
    </row>
    <row r="23" spans="2:54">
      <c r="B23" s="147" t="s">
        <v>770</v>
      </c>
      <c r="C23" s="139"/>
      <c r="D23" s="140"/>
      <c r="E23" s="140"/>
      <c r="F23" s="140"/>
      <c r="G23" s="140"/>
      <c r="H23" s="141"/>
      <c r="I23" s="140"/>
      <c r="J23" s="140"/>
      <c r="K23" s="140"/>
      <c r="L23" s="140"/>
      <c r="M23" s="140"/>
      <c r="N23" s="140"/>
      <c r="O23" s="140"/>
      <c r="P23" s="197"/>
      <c r="Q23" s="198"/>
      <c r="R23" s="197"/>
      <c r="S23" s="197"/>
      <c r="T23" s="197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3"/>
      <c r="AI23" s="143"/>
      <c r="AJ23" s="143"/>
      <c r="AK23" s="143"/>
      <c r="AL23" s="144"/>
      <c r="AN23" s="145"/>
      <c r="AO23" s="136"/>
      <c r="AP23" s="140">
        <v>0</v>
      </c>
      <c r="AQ23" s="140">
        <v>0</v>
      </c>
      <c r="AR23" s="140">
        <v>0</v>
      </c>
      <c r="AS23" s="140">
        <v>0</v>
      </c>
      <c r="AT23" s="140">
        <f>3500*(11/31)</f>
        <v>1241.9354838709678</v>
      </c>
      <c r="AU23" s="140">
        <v>3500</v>
      </c>
      <c r="AV23" s="115">
        <f t="shared" si="1"/>
        <v>3547.4193548387098</v>
      </c>
      <c r="AW23" s="140">
        <f t="shared" si="8"/>
        <v>3500</v>
      </c>
      <c r="AX23" s="140">
        <f>AW23</f>
        <v>3500</v>
      </c>
      <c r="AY23" s="140">
        <f t="shared" si="6"/>
        <v>3500</v>
      </c>
      <c r="AZ23" s="140">
        <f t="shared" si="5"/>
        <v>3500</v>
      </c>
      <c r="BA23" s="140">
        <f t="shared" si="5"/>
        <v>3500</v>
      </c>
      <c r="BB23" s="140"/>
    </row>
    <row r="24" spans="2:54">
      <c r="B24" s="147" t="s">
        <v>771</v>
      </c>
      <c r="C24" s="139"/>
      <c r="D24" s="140"/>
      <c r="E24" s="140"/>
      <c r="F24" s="140"/>
      <c r="G24" s="140"/>
      <c r="H24" s="141"/>
      <c r="I24" s="140"/>
      <c r="J24" s="140"/>
      <c r="K24" s="140"/>
      <c r="L24" s="140"/>
      <c r="M24" s="140"/>
      <c r="N24" s="140"/>
      <c r="O24" s="140"/>
      <c r="P24" s="197"/>
      <c r="Q24" s="198"/>
      <c r="R24" s="197"/>
      <c r="S24" s="197"/>
      <c r="T24" s="197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3">
        <f>SUM(V24:AG24)*$AO$4</f>
        <v>0</v>
      </c>
      <c r="AI24" s="143">
        <v>0</v>
      </c>
      <c r="AJ24" s="143">
        <v>0</v>
      </c>
      <c r="AK24" s="143">
        <f t="shared" ref="AK24:AK30" si="9">SUM(V24:AG24)</f>
        <v>0</v>
      </c>
      <c r="AL24" s="144">
        <f t="shared" ref="AL24:AL30" si="10">SUM(V24:AH24)</f>
        <v>0</v>
      </c>
      <c r="AN24" s="145">
        <f>AK24*(1+$AO$2)+AH24*1.08</f>
        <v>0</v>
      </c>
      <c r="AO24" s="136"/>
      <c r="AP24" s="140">
        <v>0</v>
      </c>
      <c r="AQ24" s="140">
        <v>0</v>
      </c>
      <c r="AR24" s="140">
        <v>0</v>
      </c>
      <c r="AS24" s="140">
        <v>1250</v>
      </c>
      <c r="AT24" s="140">
        <v>2500</v>
      </c>
      <c r="AU24" s="140">
        <f t="shared" ref="AU24:AU31" si="11">AT24</f>
        <v>2500</v>
      </c>
      <c r="AV24" s="115">
        <f t="shared" si="1"/>
        <v>2562.5</v>
      </c>
      <c r="AW24" s="140">
        <f t="shared" si="8"/>
        <v>2500</v>
      </c>
      <c r="AX24" s="140">
        <f>AW24</f>
        <v>2500</v>
      </c>
      <c r="AY24" s="140">
        <f t="shared" si="6"/>
        <v>2500</v>
      </c>
      <c r="AZ24" s="140">
        <f t="shared" si="5"/>
        <v>2500</v>
      </c>
      <c r="BA24" s="140">
        <f t="shared" si="5"/>
        <v>2500</v>
      </c>
      <c r="BB24" s="140"/>
    </row>
    <row r="25" spans="2:54">
      <c r="B25" s="147" t="s">
        <v>772</v>
      </c>
      <c r="C25" s="139"/>
      <c r="D25" s="140">
        <v>7500</v>
      </c>
      <c r="E25" s="140">
        <v>7500</v>
      </c>
      <c r="F25" s="140">
        <v>7500</v>
      </c>
      <c r="G25" s="140">
        <v>7500</v>
      </c>
      <c r="H25" s="141">
        <v>14000</v>
      </c>
      <c r="I25" s="140">
        <v>9583.25</v>
      </c>
      <c r="J25" s="140">
        <v>7916.67</v>
      </c>
      <c r="K25" s="140">
        <v>7916.67</v>
      </c>
      <c r="L25" s="140">
        <v>7916.67</v>
      </c>
      <c r="M25" s="140">
        <v>7916.67</v>
      </c>
      <c r="N25" s="140">
        <v>7916.67</v>
      </c>
      <c r="O25" s="140">
        <f>7916.67+1086.34</f>
        <v>9003.01</v>
      </c>
      <c r="P25" s="140">
        <v>7916.67</v>
      </c>
      <c r="Q25" s="142">
        <f>SUM(D25:P25)</f>
        <v>110086.27999999998</v>
      </c>
      <c r="R25" s="140">
        <v>8750</v>
      </c>
      <c r="S25" s="140">
        <v>8750</v>
      </c>
      <c r="T25" s="140">
        <v>8750</v>
      </c>
      <c r="U25" s="140">
        <v>8750</v>
      </c>
      <c r="V25" s="148">
        <v>8750</v>
      </c>
      <c r="W25" s="148">
        <v>8750</v>
      </c>
      <c r="X25" s="148">
        <v>8750</v>
      </c>
      <c r="Y25" s="148">
        <v>8750</v>
      </c>
      <c r="Z25" s="148">
        <v>8750</v>
      </c>
      <c r="AA25" s="148">
        <v>8750</v>
      </c>
      <c r="AB25" s="152">
        <f>(AA25)*1.12</f>
        <v>9800.0000000000018</v>
      </c>
      <c r="AC25" s="148">
        <v>8750</v>
      </c>
      <c r="AD25" s="148">
        <v>9333.33</v>
      </c>
      <c r="AE25" s="148">
        <f>AD25</f>
        <v>9333.33</v>
      </c>
      <c r="AF25" s="148">
        <f>AE25</f>
        <v>9333.33</v>
      </c>
      <c r="AG25" s="148">
        <f>AF25</f>
        <v>9333.33</v>
      </c>
      <c r="AH25" s="143">
        <v>12048</v>
      </c>
      <c r="AI25" s="143">
        <f t="shared" ref="AI25:AI30" si="12">AH25-AJ25</f>
        <v>9988.7169199999989</v>
      </c>
      <c r="AJ25" s="143">
        <f t="shared" ref="AJ25:AJ30" si="13">AK25*$AO$4</f>
        <v>2059.2830800000002</v>
      </c>
      <c r="AK25" s="143">
        <f t="shared" si="9"/>
        <v>108383.32</v>
      </c>
      <c r="AL25" s="144">
        <f t="shared" si="10"/>
        <v>120431.32</v>
      </c>
      <c r="AN25" s="145">
        <f>AK25*(1+$AO$2)+AH25*1.08</f>
        <v>182089.81920000003</v>
      </c>
      <c r="AO25" s="136"/>
      <c r="AP25" s="146">
        <f t="shared" ref="AP25:AP30" si="14">AG25</f>
        <v>9333.33</v>
      </c>
      <c r="AQ25" s="140">
        <f t="shared" ref="AQ25:AT30" si="15">AP25</f>
        <v>9333.33</v>
      </c>
      <c r="AR25" s="140">
        <f t="shared" si="15"/>
        <v>9333.33</v>
      </c>
      <c r="AS25" s="140">
        <f t="shared" si="15"/>
        <v>9333.33</v>
      </c>
      <c r="AT25" s="140">
        <f t="shared" si="15"/>
        <v>9333.33</v>
      </c>
      <c r="AU25" s="140">
        <f t="shared" si="11"/>
        <v>9333.33</v>
      </c>
      <c r="AV25" s="115">
        <f t="shared" si="1"/>
        <v>10452.163</v>
      </c>
      <c r="AW25" s="140">
        <f t="shared" si="8"/>
        <v>9333.33</v>
      </c>
      <c r="AX25" s="140" t="e">
        <f>AW25*(1+#REF!)</f>
        <v>#REF!</v>
      </c>
      <c r="AY25" s="140" t="e">
        <f t="shared" si="6"/>
        <v>#REF!</v>
      </c>
      <c r="AZ25" s="140" t="e">
        <f t="shared" si="5"/>
        <v>#REF!</v>
      </c>
      <c r="BA25" s="140" t="e">
        <f t="shared" si="5"/>
        <v>#REF!</v>
      </c>
      <c r="BB25" s="140"/>
    </row>
    <row r="26" spans="2:54">
      <c r="B26" s="147" t="s">
        <v>773</v>
      </c>
      <c r="C26" s="139"/>
      <c r="D26" s="140"/>
      <c r="E26" s="140"/>
      <c r="F26" s="140">
        <v>2916.66</v>
      </c>
      <c r="G26" s="140">
        <v>2916.65</v>
      </c>
      <c r="H26" s="141">
        <v>0</v>
      </c>
      <c r="I26" s="140">
        <v>2916.65</v>
      </c>
      <c r="J26" s="140">
        <v>2916.65</v>
      </c>
      <c r="K26" s="140">
        <v>2916.65</v>
      </c>
      <c r="L26" s="140">
        <v>2916.65</v>
      </c>
      <c r="M26" s="140">
        <v>2916.65</v>
      </c>
      <c r="N26" s="140">
        <v>2916.65</v>
      </c>
      <c r="O26" s="140">
        <f>2916.65+204.17</f>
        <v>3120.82</v>
      </c>
      <c r="P26" s="140">
        <v>2916.65</v>
      </c>
      <c r="Q26" s="142">
        <f>SUM(D26:P26)</f>
        <v>29370.680000000004</v>
      </c>
      <c r="R26" s="140">
        <v>2916.65</v>
      </c>
      <c r="S26" s="140">
        <v>2916.65</v>
      </c>
      <c r="T26" s="140">
        <v>3166.67</v>
      </c>
      <c r="U26" s="140">
        <v>3166.67</v>
      </c>
      <c r="V26" s="148">
        <v>3166.67</v>
      </c>
      <c r="W26" s="148">
        <v>3166.67</v>
      </c>
      <c r="X26" s="148">
        <v>3166.67</v>
      </c>
      <c r="Y26" s="148">
        <v>3166.67</v>
      </c>
      <c r="Z26" s="148">
        <v>3166.67</v>
      </c>
      <c r="AA26" s="148">
        <v>3166.67</v>
      </c>
      <c r="AB26" s="152">
        <f>(AA26)*1.12</f>
        <v>3546.6704000000004</v>
      </c>
      <c r="AC26" s="148">
        <v>3166.67</v>
      </c>
      <c r="AD26" s="148">
        <v>3166.67</v>
      </c>
      <c r="AE26" s="148">
        <v>3166.67</v>
      </c>
      <c r="AF26" s="148">
        <v>3416.6666666666665</v>
      </c>
      <c r="AG26" s="148">
        <f>AF26</f>
        <v>3416.6666666666665</v>
      </c>
      <c r="AH26" s="143">
        <v>1260</v>
      </c>
      <c r="AI26" s="143">
        <f t="shared" si="12"/>
        <v>521.27935906666687</v>
      </c>
      <c r="AJ26" s="143">
        <f t="shared" si="13"/>
        <v>738.72064093333313</v>
      </c>
      <c r="AK26" s="143">
        <f t="shared" si="9"/>
        <v>38880.033733333323</v>
      </c>
      <c r="AL26" s="144">
        <f t="shared" si="10"/>
        <v>40140.033733333323</v>
      </c>
      <c r="AN26" s="145">
        <f>AK26*(1+$AO$2)+AH26*1.08</f>
        <v>62013.652623999988</v>
      </c>
      <c r="AO26" s="136"/>
      <c r="AP26" s="146">
        <f t="shared" si="14"/>
        <v>3416.6666666666665</v>
      </c>
      <c r="AQ26" s="140">
        <f t="shared" si="15"/>
        <v>3416.6666666666665</v>
      </c>
      <c r="AR26" s="140">
        <f t="shared" si="15"/>
        <v>3416.6666666666665</v>
      </c>
      <c r="AS26" s="140">
        <f t="shared" si="15"/>
        <v>3416.6666666666665</v>
      </c>
      <c r="AT26" s="140">
        <f t="shared" si="15"/>
        <v>3416.6666666666665</v>
      </c>
      <c r="AU26" s="140">
        <f t="shared" si="11"/>
        <v>3416.6666666666665</v>
      </c>
      <c r="AV26" s="115">
        <f t="shared" si="1"/>
        <v>3820.4668039999997</v>
      </c>
      <c r="AW26" s="140">
        <f t="shared" si="8"/>
        <v>3416.6666666666665</v>
      </c>
      <c r="AX26" s="140">
        <f>AW26</f>
        <v>3416.6666666666665</v>
      </c>
      <c r="AY26" s="140">
        <f t="shared" si="6"/>
        <v>3416.6666666666665</v>
      </c>
      <c r="AZ26" s="140" t="e">
        <f>AY26*(1+#REF!)</f>
        <v>#REF!</v>
      </c>
      <c r="BA26" s="140" t="e">
        <f>AZ26</f>
        <v>#REF!</v>
      </c>
      <c r="BB26" s="140"/>
    </row>
    <row r="27" spans="2:54">
      <c r="B27" s="147" t="s">
        <v>774</v>
      </c>
      <c r="C27" s="139"/>
      <c r="D27" s="140"/>
      <c r="E27" s="140"/>
      <c r="F27" s="140"/>
      <c r="G27" s="140"/>
      <c r="H27" s="141"/>
      <c r="I27" s="140"/>
      <c r="J27" s="140"/>
      <c r="K27" s="140"/>
      <c r="L27" s="140"/>
      <c r="M27" s="140"/>
      <c r="N27" s="140"/>
      <c r="O27" s="140"/>
      <c r="P27" s="140"/>
      <c r="Q27" s="142"/>
      <c r="R27" s="140"/>
      <c r="S27" s="140"/>
      <c r="T27" s="140"/>
      <c r="U27" s="140"/>
      <c r="V27" s="140"/>
      <c r="W27" s="140"/>
      <c r="X27" s="140"/>
      <c r="Y27" s="140"/>
      <c r="Z27" s="140"/>
      <c r="AA27" s="149"/>
      <c r="AB27" s="152"/>
      <c r="AC27" s="149"/>
      <c r="AD27" s="149"/>
      <c r="AE27" s="148">
        <v>5000</v>
      </c>
      <c r="AF27" s="148">
        <v>5000</v>
      </c>
      <c r="AG27" s="148">
        <v>5000</v>
      </c>
      <c r="AH27" s="143">
        <f>SUM(V27:AG27)*$AO$4</f>
        <v>285</v>
      </c>
      <c r="AI27" s="143">
        <f t="shared" si="12"/>
        <v>0</v>
      </c>
      <c r="AJ27" s="143">
        <f t="shared" si="13"/>
        <v>285</v>
      </c>
      <c r="AK27" s="143">
        <f t="shared" si="9"/>
        <v>15000</v>
      </c>
      <c r="AL27" s="144">
        <f t="shared" si="10"/>
        <v>15285</v>
      </c>
      <c r="AN27" s="145"/>
      <c r="AO27" s="136"/>
      <c r="AP27" s="146">
        <f t="shared" si="14"/>
        <v>5000</v>
      </c>
      <c r="AQ27" s="140">
        <f t="shared" si="15"/>
        <v>5000</v>
      </c>
      <c r="AR27" s="140">
        <f t="shared" si="15"/>
        <v>5000</v>
      </c>
      <c r="AS27" s="140">
        <f t="shared" si="15"/>
        <v>5000</v>
      </c>
      <c r="AT27" s="140">
        <f t="shared" si="15"/>
        <v>5000</v>
      </c>
      <c r="AU27" s="140">
        <f t="shared" si="11"/>
        <v>5000</v>
      </c>
      <c r="AV27" s="115">
        <f t="shared" si="1"/>
        <v>5450</v>
      </c>
      <c r="AW27" s="140">
        <f t="shared" si="8"/>
        <v>5000</v>
      </c>
      <c r="AX27" s="140">
        <f>AW27</f>
        <v>5000</v>
      </c>
      <c r="AY27" s="140" t="e">
        <f>AX27*(1+#REF!)</f>
        <v>#REF!</v>
      </c>
      <c r="AZ27" s="140" t="e">
        <f>AY27</f>
        <v>#REF!</v>
      </c>
      <c r="BA27" s="140" t="e">
        <f>AZ27</f>
        <v>#REF!</v>
      </c>
      <c r="BB27" s="140"/>
    </row>
    <row r="28" spans="2:54">
      <c r="B28" s="147" t="s">
        <v>775</v>
      </c>
      <c r="C28" s="139"/>
      <c r="D28" s="140"/>
      <c r="E28" s="140"/>
      <c r="F28" s="140"/>
      <c r="G28" s="140"/>
      <c r="H28" s="141"/>
      <c r="I28" s="140"/>
      <c r="J28" s="140"/>
      <c r="K28" s="140"/>
      <c r="L28" s="140"/>
      <c r="M28" s="140"/>
      <c r="N28" s="140">
        <v>1923.07</v>
      </c>
      <c r="O28" s="140">
        <v>4166.66</v>
      </c>
      <c r="P28" s="140">
        <v>4166.66</v>
      </c>
      <c r="Q28" s="142">
        <f>SUM(D28:P28)</f>
        <v>10256.39</v>
      </c>
      <c r="R28" s="140">
        <v>4166.66</v>
      </c>
      <c r="S28" s="140">
        <v>4166.66</v>
      </c>
      <c r="T28" s="140">
        <v>4166.66</v>
      </c>
      <c r="U28" s="140">
        <v>4166.66</v>
      </c>
      <c r="V28" s="148">
        <v>4166.66</v>
      </c>
      <c r="W28" s="148">
        <v>4166.66</v>
      </c>
      <c r="X28" s="148">
        <v>4166.66</v>
      </c>
      <c r="Y28" s="148">
        <v>4166.66</v>
      </c>
      <c r="Z28" s="148">
        <v>4166.66</v>
      </c>
      <c r="AA28" s="152">
        <f>Z28</f>
        <v>4166.66</v>
      </c>
      <c r="AB28" s="152">
        <f>(AA28)*1.12</f>
        <v>4666.6592000000001</v>
      </c>
      <c r="AC28" s="152">
        <f>AB28</f>
        <v>4666.6592000000001</v>
      </c>
      <c r="AD28" s="152">
        <v>5000</v>
      </c>
      <c r="AE28" s="152">
        <v>5000</v>
      </c>
      <c r="AF28" s="152">
        <v>5000</v>
      </c>
      <c r="AG28" s="152">
        <v>5000</v>
      </c>
      <c r="AH28" s="143">
        <v>6032.0007999999998</v>
      </c>
      <c r="AI28" s="143">
        <f t="shared" si="12"/>
        <v>4999.6685103999998</v>
      </c>
      <c r="AJ28" s="143">
        <f t="shared" si="13"/>
        <v>1032.3322896</v>
      </c>
      <c r="AK28" s="143">
        <f t="shared" si="9"/>
        <v>54333.278400000003</v>
      </c>
      <c r="AL28" s="144">
        <f t="shared" si="10"/>
        <v>60365.279200000004</v>
      </c>
      <c r="AN28" s="145">
        <f>AK28*(1+$AO$2)+AH28*1.08</f>
        <v>91274.475168000004</v>
      </c>
      <c r="AO28" s="136"/>
      <c r="AP28" s="146">
        <f t="shared" si="14"/>
        <v>5000</v>
      </c>
      <c r="AQ28" s="140">
        <f t="shared" si="15"/>
        <v>5000</v>
      </c>
      <c r="AR28" s="140">
        <f t="shared" si="15"/>
        <v>5000</v>
      </c>
      <c r="AS28" s="140">
        <f t="shared" si="15"/>
        <v>5000</v>
      </c>
      <c r="AT28" s="140">
        <f t="shared" si="15"/>
        <v>5000</v>
      </c>
      <c r="AU28" s="140">
        <f t="shared" si="11"/>
        <v>5000</v>
      </c>
      <c r="AV28" s="115">
        <f t="shared" si="1"/>
        <v>5593.3331840000001</v>
      </c>
      <c r="AW28" s="140">
        <f t="shared" si="8"/>
        <v>5000</v>
      </c>
      <c r="AX28" s="140">
        <f>70000/12</f>
        <v>5833.333333333333</v>
      </c>
      <c r="AY28" s="140">
        <f>AX28</f>
        <v>5833.333333333333</v>
      </c>
      <c r="AZ28" s="140">
        <f>AY28</f>
        <v>5833.333333333333</v>
      </c>
      <c r="BA28" s="140">
        <f>AZ28</f>
        <v>5833.333333333333</v>
      </c>
      <c r="BB28" s="140"/>
    </row>
    <row r="29" spans="2:54">
      <c r="B29" s="147" t="s">
        <v>776</v>
      </c>
      <c r="C29" s="139"/>
      <c r="D29" s="140">
        <v>2416.66</v>
      </c>
      <c r="E29" s="140">
        <v>2416.66</v>
      </c>
      <c r="F29" s="140">
        <v>2416.66</v>
      </c>
      <c r="G29" s="140">
        <v>2583.33</v>
      </c>
      <c r="H29" s="141">
        <v>750</v>
      </c>
      <c r="I29" s="140">
        <v>2583.33</v>
      </c>
      <c r="J29" s="140">
        <v>2583.33</v>
      </c>
      <c r="K29" s="140">
        <v>2583.33</v>
      </c>
      <c r="L29" s="140">
        <v>2583.33</v>
      </c>
      <c r="M29" s="140">
        <v>2583.33</v>
      </c>
      <c r="N29" s="140">
        <v>2583.33</v>
      </c>
      <c r="O29" s="140">
        <f>2583.33+308.89</f>
        <v>2892.22</v>
      </c>
      <c r="P29" s="140">
        <v>2583.33</v>
      </c>
      <c r="Q29" s="142">
        <f>SUM(D29:P29)</f>
        <v>31558.840000000004</v>
      </c>
      <c r="R29" s="140">
        <v>2916.6669999999999</v>
      </c>
      <c r="S29" s="140">
        <v>2916.6669999999999</v>
      </c>
      <c r="T29" s="140">
        <v>2916.6669999999999</v>
      </c>
      <c r="U29" s="140">
        <v>2916.6669999999999</v>
      </c>
      <c r="V29" s="148">
        <v>2916.6669999999999</v>
      </c>
      <c r="W29" s="148">
        <v>2916.6669999999999</v>
      </c>
      <c r="X29" s="148">
        <v>2916.6669999999999</v>
      </c>
      <c r="Y29" s="148">
        <v>2916.6669999999999</v>
      </c>
      <c r="Z29" s="148">
        <v>2916.6669999999999</v>
      </c>
      <c r="AA29" s="152">
        <v>2916.6669999999999</v>
      </c>
      <c r="AB29" s="152">
        <f>(AA29)*1.12</f>
        <v>3266.6670400000003</v>
      </c>
      <c r="AC29" s="152">
        <v>2916.6669999999999</v>
      </c>
      <c r="AD29" s="152">
        <v>2916.6669999999999</v>
      </c>
      <c r="AE29" s="152">
        <v>2916.6669999999999</v>
      </c>
      <c r="AF29" s="152">
        <v>2916.6669999999999</v>
      </c>
      <c r="AG29" s="152">
        <v>3166.67</v>
      </c>
      <c r="AH29" s="143">
        <v>1200.0008</v>
      </c>
      <c r="AI29" s="143">
        <f t="shared" si="12"/>
        <v>523.60066624000001</v>
      </c>
      <c r="AJ29" s="143">
        <f t="shared" si="13"/>
        <v>676.40013376000002</v>
      </c>
      <c r="AK29" s="143">
        <f t="shared" si="9"/>
        <v>35600.007040000004</v>
      </c>
      <c r="AL29" s="144">
        <f t="shared" si="10"/>
        <v>36800.007840000006</v>
      </c>
      <c r="AN29" s="145">
        <f>AK29*(1+$AO$2)+AH29*1.08</f>
        <v>56832.011846400012</v>
      </c>
      <c r="AO29" s="136"/>
      <c r="AP29" s="146">
        <f t="shared" si="14"/>
        <v>3166.67</v>
      </c>
      <c r="AQ29" s="140">
        <f t="shared" si="15"/>
        <v>3166.67</v>
      </c>
      <c r="AR29" s="140">
        <f t="shared" si="15"/>
        <v>3166.67</v>
      </c>
      <c r="AS29" s="140">
        <f t="shared" si="15"/>
        <v>3166.67</v>
      </c>
      <c r="AT29" s="140">
        <f t="shared" si="15"/>
        <v>3166.67</v>
      </c>
      <c r="AU29" s="140">
        <f t="shared" si="11"/>
        <v>3166.67</v>
      </c>
      <c r="AV29" s="115">
        <f t="shared" si="1"/>
        <v>3537.6702504</v>
      </c>
      <c r="AW29" s="140">
        <f t="shared" si="8"/>
        <v>3166.67</v>
      </c>
      <c r="AX29" s="140">
        <f>AW29</f>
        <v>3166.67</v>
      </c>
      <c r="AY29" s="140">
        <f>AX29</f>
        <v>3166.67</v>
      </c>
      <c r="AZ29" s="140">
        <f>AY29</f>
        <v>3166.67</v>
      </c>
      <c r="BA29" s="140" t="e">
        <f>AZ29*(1+#REF!)</f>
        <v>#REF!</v>
      </c>
      <c r="BB29" s="140"/>
    </row>
    <row r="30" spans="2:54">
      <c r="B30" s="147" t="s">
        <v>777</v>
      </c>
      <c r="C30" s="139"/>
      <c r="D30" s="140"/>
      <c r="E30" s="140"/>
      <c r="F30" s="140"/>
      <c r="G30" s="140"/>
      <c r="H30" s="141"/>
      <c r="I30" s="140"/>
      <c r="J30" s="140"/>
      <c r="K30" s="140"/>
      <c r="L30" s="140"/>
      <c r="M30" s="140"/>
      <c r="N30" s="140"/>
      <c r="O30" s="140"/>
      <c r="P30" s="140"/>
      <c r="Q30" s="142"/>
      <c r="R30" s="140">
        <v>1846.15</v>
      </c>
      <c r="S30" s="140">
        <v>3750</v>
      </c>
      <c r="T30" s="140">
        <v>3750</v>
      </c>
      <c r="U30" s="140">
        <v>3750</v>
      </c>
      <c r="V30" s="148">
        <v>3750</v>
      </c>
      <c r="W30" s="148">
        <v>3750</v>
      </c>
      <c r="X30" s="148">
        <v>3750</v>
      </c>
      <c r="Y30" s="148">
        <v>3750</v>
      </c>
      <c r="Z30" s="148">
        <v>3750</v>
      </c>
      <c r="AA30" s="152">
        <v>3750</v>
      </c>
      <c r="AB30" s="152">
        <f>(AA30)*1.12</f>
        <v>4200</v>
      </c>
      <c r="AC30" s="152">
        <v>3750</v>
      </c>
      <c r="AD30" s="152">
        <f>AC30</f>
        <v>3750</v>
      </c>
      <c r="AE30" s="152">
        <v>4000</v>
      </c>
      <c r="AF30" s="152">
        <v>4000</v>
      </c>
      <c r="AG30" s="152">
        <v>4000</v>
      </c>
      <c r="AH30" s="143">
        <f>SUM(V30:AG30)*$AO$4</f>
        <v>877.8</v>
      </c>
      <c r="AI30" s="143">
        <f t="shared" si="12"/>
        <v>0</v>
      </c>
      <c r="AJ30" s="143">
        <f t="shared" si="13"/>
        <v>877.8</v>
      </c>
      <c r="AK30" s="143">
        <f t="shared" si="9"/>
        <v>46200</v>
      </c>
      <c r="AL30" s="144">
        <f t="shared" si="10"/>
        <v>47077.8</v>
      </c>
      <c r="AN30" s="145">
        <f>AK30*(1+$AO$2)+AH30*1.08</f>
        <v>73020.024000000005</v>
      </c>
      <c r="AO30" s="136"/>
      <c r="AP30" s="146">
        <f t="shared" si="14"/>
        <v>4000</v>
      </c>
      <c r="AQ30" s="140">
        <f t="shared" si="15"/>
        <v>4000</v>
      </c>
      <c r="AR30" s="140">
        <f t="shared" si="15"/>
        <v>4000</v>
      </c>
      <c r="AS30" s="140">
        <f t="shared" si="15"/>
        <v>4000</v>
      </c>
      <c r="AT30" s="140">
        <f t="shared" si="15"/>
        <v>4000</v>
      </c>
      <c r="AU30" s="140">
        <f t="shared" si="11"/>
        <v>4000</v>
      </c>
      <c r="AV30" s="115">
        <f t="shared" si="1"/>
        <v>4477</v>
      </c>
      <c r="AW30" s="140">
        <f t="shared" si="8"/>
        <v>4000</v>
      </c>
      <c r="AX30" s="140" t="e">
        <f>AW30*(1+#REF!)</f>
        <v>#REF!</v>
      </c>
      <c r="AY30" s="140" t="e">
        <f>AX30</f>
        <v>#REF!</v>
      </c>
      <c r="AZ30" s="140" t="e">
        <f>AY30</f>
        <v>#REF!</v>
      </c>
      <c r="BA30" s="140" t="e">
        <f>AZ30</f>
        <v>#REF!</v>
      </c>
      <c r="BB30" s="140"/>
    </row>
    <row r="31" spans="2:54">
      <c r="B31" s="147" t="s">
        <v>778</v>
      </c>
      <c r="C31" s="139">
        <v>43707</v>
      </c>
      <c r="D31" s="140"/>
      <c r="E31" s="140"/>
      <c r="F31" s="140"/>
      <c r="G31" s="140"/>
      <c r="H31" s="141"/>
      <c r="I31" s="140"/>
      <c r="J31" s="140"/>
      <c r="K31" s="140"/>
      <c r="L31" s="140"/>
      <c r="M31" s="140"/>
      <c r="N31" s="140"/>
      <c r="O31" s="140"/>
      <c r="P31" s="140"/>
      <c r="Q31" s="142"/>
      <c r="R31" s="140"/>
      <c r="S31" s="140"/>
      <c r="T31" s="140"/>
      <c r="U31" s="140"/>
      <c r="V31" s="148"/>
      <c r="W31" s="148"/>
      <c r="X31" s="148"/>
      <c r="Y31" s="148"/>
      <c r="Z31" s="148"/>
      <c r="AA31" s="152"/>
      <c r="AB31" s="152"/>
      <c r="AC31" s="152"/>
      <c r="AD31" s="152"/>
      <c r="AE31" s="152"/>
      <c r="AF31" s="152"/>
      <c r="AG31" s="152"/>
      <c r="AH31" s="143"/>
      <c r="AI31" s="143"/>
      <c r="AJ31" s="143"/>
      <c r="AK31" s="143"/>
      <c r="AL31" s="144"/>
      <c r="AN31" s="145"/>
      <c r="AO31" s="136"/>
      <c r="AP31" s="146">
        <f>AQ31*(10/31)</f>
        <v>752.68709677419349</v>
      </c>
      <c r="AQ31" s="140">
        <v>2333.33</v>
      </c>
      <c r="AR31" s="140">
        <f>AQ31</f>
        <v>2333.33</v>
      </c>
      <c r="AS31" s="140">
        <f>AR31</f>
        <v>2333.33</v>
      </c>
      <c r="AT31" s="140">
        <f>AS31</f>
        <v>2333.33</v>
      </c>
      <c r="AU31" s="140">
        <f t="shared" si="11"/>
        <v>2333.33</v>
      </c>
      <c r="AV31" s="115">
        <f t="shared" si="1"/>
        <v>2457.5233709677418</v>
      </c>
      <c r="AW31" s="140">
        <v>2333.33</v>
      </c>
      <c r="AX31" s="161">
        <v>2333.33</v>
      </c>
      <c r="AY31" s="161">
        <v>2333.33</v>
      </c>
      <c r="AZ31" s="161">
        <v>2333.33</v>
      </c>
      <c r="BA31" s="161">
        <v>2333.33</v>
      </c>
      <c r="BB31" s="161"/>
    </row>
    <row r="32" spans="2:54">
      <c r="B32" s="147" t="s">
        <v>779</v>
      </c>
      <c r="C32" s="139">
        <v>43616</v>
      </c>
      <c r="D32" s="140"/>
      <c r="E32" s="140"/>
      <c r="F32" s="140"/>
      <c r="G32" s="140"/>
      <c r="H32" s="141"/>
      <c r="I32" s="140"/>
      <c r="J32" s="140"/>
      <c r="K32" s="140"/>
      <c r="L32" s="140"/>
      <c r="M32" s="140"/>
      <c r="N32" s="140"/>
      <c r="O32" s="140"/>
      <c r="P32" s="140"/>
      <c r="Q32" s="142"/>
      <c r="R32" s="140"/>
      <c r="S32" s="140"/>
      <c r="T32" s="140"/>
      <c r="U32" s="140"/>
      <c r="V32" s="140"/>
      <c r="W32" s="140"/>
      <c r="X32" s="140"/>
      <c r="Y32" s="140"/>
      <c r="Z32" s="140"/>
      <c r="AA32" s="149"/>
      <c r="AB32" s="149"/>
      <c r="AC32" s="149"/>
      <c r="AD32" s="149"/>
      <c r="AE32" s="149"/>
      <c r="AF32" s="149"/>
      <c r="AG32" s="149"/>
      <c r="AH32" s="143"/>
      <c r="AI32" s="143"/>
      <c r="AJ32" s="143"/>
      <c r="AK32" s="143"/>
      <c r="AL32" s="144"/>
      <c r="AN32" s="145"/>
      <c r="AO32" s="136"/>
      <c r="AP32" s="140">
        <v>0</v>
      </c>
      <c r="AQ32" s="140">
        <v>850</v>
      </c>
      <c r="AR32" s="140">
        <v>1700</v>
      </c>
      <c r="AS32" s="140">
        <f>850+(3958.33/2)</f>
        <v>2829.165</v>
      </c>
      <c r="AT32" s="140">
        <v>3958.33</v>
      </c>
      <c r="AU32" s="140">
        <v>0</v>
      </c>
      <c r="AV32" s="140">
        <v>0</v>
      </c>
      <c r="AW32" s="140">
        <v>0</v>
      </c>
      <c r="AX32" s="140">
        <v>0</v>
      </c>
      <c r="AY32" s="140">
        <v>0</v>
      </c>
      <c r="AZ32" s="140">
        <v>0</v>
      </c>
      <c r="BA32" s="140">
        <v>0</v>
      </c>
      <c r="BB32" s="140"/>
    </row>
    <row r="33" spans="2:54">
      <c r="B33" s="192"/>
      <c r="C33" s="139"/>
      <c r="D33" s="140"/>
      <c r="E33" s="140"/>
      <c r="F33" s="140"/>
      <c r="G33" s="140"/>
      <c r="H33" s="141"/>
      <c r="I33" s="140"/>
      <c r="J33" s="140"/>
      <c r="K33" s="140"/>
      <c r="L33" s="140"/>
      <c r="M33" s="140"/>
      <c r="N33" s="140"/>
      <c r="O33" s="140"/>
      <c r="P33" s="140"/>
      <c r="Q33" s="142"/>
      <c r="R33" s="140"/>
      <c r="S33" s="140"/>
      <c r="T33" s="140"/>
      <c r="U33" s="140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3"/>
      <c r="AI33" s="143"/>
      <c r="AJ33" s="143"/>
      <c r="AK33" s="143"/>
      <c r="AL33" s="144"/>
      <c r="AN33" s="145"/>
      <c r="AO33" s="136"/>
      <c r="AP33" s="146"/>
      <c r="AQ33" s="140"/>
      <c r="AR33" s="140"/>
      <c r="AS33" s="140"/>
      <c r="AT33" s="140"/>
      <c r="AU33" s="140"/>
      <c r="AV33" s="115"/>
      <c r="AW33" s="140"/>
      <c r="AX33" s="140"/>
      <c r="AY33" s="140"/>
      <c r="AZ33" s="140"/>
      <c r="BA33" s="140"/>
      <c r="BB33" s="140"/>
    </row>
    <row r="34" spans="2:54">
      <c r="B34" s="147"/>
      <c r="C34" s="139"/>
      <c r="D34" s="140"/>
      <c r="E34" s="140"/>
      <c r="F34" s="140"/>
      <c r="G34" s="140"/>
      <c r="H34" s="141"/>
      <c r="I34" s="140"/>
      <c r="J34" s="140"/>
      <c r="K34" s="140"/>
      <c r="L34" s="140"/>
      <c r="M34" s="140"/>
      <c r="N34" s="140"/>
      <c r="O34" s="140"/>
      <c r="P34" s="140"/>
      <c r="Q34" s="142"/>
      <c r="R34" s="140"/>
      <c r="S34" s="140"/>
      <c r="T34" s="140"/>
      <c r="U34" s="140"/>
      <c r="V34" s="153"/>
      <c r="W34" s="153"/>
      <c r="X34" s="148"/>
      <c r="Y34" s="148"/>
      <c r="Z34" s="148"/>
      <c r="AA34" s="152"/>
      <c r="AB34" s="152"/>
      <c r="AC34" s="152"/>
      <c r="AD34" s="152"/>
      <c r="AE34" s="152"/>
      <c r="AF34" s="152"/>
      <c r="AG34" s="152"/>
      <c r="AH34" s="143"/>
      <c r="AI34" s="143"/>
      <c r="AJ34" s="143"/>
      <c r="AK34" s="143"/>
      <c r="AL34" s="144"/>
      <c r="AN34" s="145"/>
      <c r="AO34" s="136"/>
      <c r="AP34" s="146"/>
      <c r="AQ34" s="140"/>
      <c r="AR34" s="140"/>
      <c r="AS34" s="140"/>
      <c r="AT34" s="140"/>
      <c r="AU34" s="140"/>
      <c r="AV34" s="115"/>
      <c r="AW34" s="140"/>
      <c r="AX34" s="140"/>
      <c r="AY34" s="140"/>
      <c r="AZ34" s="140"/>
      <c r="BA34" s="140"/>
      <c r="BB34" s="140"/>
    </row>
    <row r="35" spans="2:54" ht="14.25" customHeight="1">
      <c r="B35" s="147"/>
      <c r="C35" s="139"/>
      <c r="D35" s="140"/>
      <c r="E35" s="140"/>
      <c r="F35" s="140"/>
      <c r="G35" s="140"/>
      <c r="H35" s="141"/>
      <c r="I35" s="140"/>
      <c r="J35" s="140"/>
      <c r="K35" s="140"/>
      <c r="L35" s="140"/>
      <c r="M35" s="140"/>
      <c r="N35" s="140"/>
      <c r="O35" s="140"/>
      <c r="P35" s="140"/>
      <c r="Q35" s="142"/>
      <c r="R35" s="140"/>
      <c r="S35" s="140"/>
      <c r="T35" s="140"/>
      <c r="U35" s="140"/>
      <c r="V35" s="148"/>
      <c r="W35" s="148"/>
      <c r="X35" s="148"/>
      <c r="Y35" s="148"/>
      <c r="Z35" s="148"/>
      <c r="AA35" s="152"/>
      <c r="AB35" s="152"/>
      <c r="AC35" s="152"/>
      <c r="AD35" s="152"/>
      <c r="AE35" s="152"/>
      <c r="AF35" s="152"/>
      <c r="AG35" s="152"/>
      <c r="AH35" s="143"/>
      <c r="AI35" s="143"/>
      <c r="AJ35" s="143"/>
      <c r="AK35" s="143"/>
      <c r="AL35" s="144"/>
      <c r="AN35" s="145"/>
      <c r="AO35" s="136"/>
      <c r="AP35" s="146"/>
      <c r="AQ35" s="140"/>
      <c r="AR35" s="140"/>
      <c r="AS35" s="140"/>
      <c r="AT35" s="140"/>
      <c r="AU35" s="140"/>
      <c r="AV35" s="115"/>
      <c r="AW35" s="140"/>
      <c r="AX35" s="140"/>
      <c r="AY35" s="140"/>
      <c r="AZ35" s="140"/>
      <c r="BA35" s="140"/>
      <c r="BB35" s="140"/>
    </row>
    <row r="36" spans="2:54" ht="14.25" customHeight="1">
      <c r="B36" s="147"/>
      <c r="C36" s="139"/>
      <c r="D36" s="140"/>
      <c r="E36" s="140"/>
      <c r="F36" s="140"/>
      <c r="G36" s="140"/>
      <c r="H36" s="141"/>
      <c r="I36" s="140"/>
      <c r="J36" s="140"/>
      <c r="K36" s="140"/>
      <c r="L36" s="140"/>
      <c r="M36" s="140"/>
      <c r="N36" s="140"/>
      <c r="O36" s="140"/>
      <c r="P36" s="140"/>
      <c r="Q36" s="142"/>
      <c r="R36" s="140"/>
      <c r="S36" s="140"/>
      <c r="T36" s="140"/>
      <c r="U36" s="140"/>
      <c r="V36" s="148"/>
      <c r="W36" s="148"/>
      <c r="X36" s="148"/>
      <c r="Y36" s="148"/>
      <c r="Z36" s="148"/>
      <c r="AA36" s="152"/>
      <c r="AB36" s="152"/>
      <c r="AC36" s="152"/>
      <c r="AD36" s="152"/>
      <c r="AE36" s="152"/>
      <c r="AF36" s="152"/>
      <c r="AG36" s="152"/>
      <c r="AH36" s="143"/>
      <c r="AI36" s="143"/>
      <c r="AJ36" s="143"/>
      <c r="AK36" s="143"/>
      <c r="AL36" s="144"/>
      <c r="AN36" s="145"/>
      <c r="AO36" s="136"/>
      <c r="AP36" s="146"/>
      <c r="AQ36" s="140"/>
      <c r="AR36" s="140"/>
      <c r="AS36" s="140"/>
      <c r="AT36" s="140"/>
      <c r="AU36" s="140"/>
      <c r="AV36" s="115"/>
      <c r="AW36" s="140"/>
      <c r="AX36" s="140"/>
      <c r="AY36" s="140"/>
      <c r="AZ36" s="140"/>
      <c r="BA36" s="140"/>
      <c r="BB36" s="140"/>
    </row>
    <row r="37" spans="2:54">
      <c r="B37" s="147"/>
      <c r="C37" s="139"/>
      <c r="D37" s="140"/>
      <c r="E37" s="140"/>
      <c r="F37" s="140"/>
      <c r="G37" s="140"/>
      <c r="H37" s="141"/>
      <c r="I37" s="140"/>
      <c r="J37" s="140"/>
      <c r="K37" s="140"/>
      <c r="L37" s="140"/>
      <c r="M37" s="140"/>
      <c r="N37" s="140"/>
      <c r="O37" s="140"/>
      <c r="P37" s="140"/>
      <c r="Q37" s="142"/>
      <c r="R37" s="140"/>
      <c r="S37" s="140"/>
      <c r="T37" s="140"/>
      <c r="U37" s="140"/>
      <c r="V37" s="148"/>
      <c r="W37" s="148"/>
      <c r="X37" s="148"/>
      <c r="Y37" s="148"/>
      <c r="Z37" s="148"/>
      <c r="AA37" s="152"/>
      <c r="AB37" s="152"/>
      <c r="AC37" s="152"/>
      <c r="AD37" s="152"/>
      <c r="AE37" s="152"/>
      <c r="AF37" s="152"/>
      <c r="AG37" s="152"/>
      <c r="AH37" s="143"/>
      <c r="AI37" s="143"/>
      <c r="AJ37" s="143"/>
      <c r="AK37" s="143"/>
      <c r="AL37" s="144"/>
      <c r="AN37" s="145"/>
      <c r="AO37" s="136"/>
      <c r="AP37" s="146"/>
      <c r="AQ37" s="140"/>
      <c r="AR37" s="140"/>
      <c r="AS37" s="140"/>
      <c r="AT37" s="140"/>
      <c r="AU37" s="140"/>
      <c r="AV37" s="115"/>
      <c r="AW37" s="140"/>
      <c r="AX37" s="140"/>
      <c r="AY37" s="140"/>
      <c r="AZ37" s="140"/>
      <c r="BA37" s="140"/>
      <c r="BB37" s="140"/>
    </row>
    <row r="38" spans="2:54">
      <c r="B38" s="147"/>
      <c r="C38" s="139"/>
      <c r="D38" s="140"/>
      <c r="E38" s="140"/>
      <c r="F38" s="140"/>
      <c r="G38" s="140"/>
      <c r="H38" s="141"/>
      <c r="I38" s="140"/>
      <c r="J38" s="140"/>
      <c r="K38" s="140"/>
      <c r="L38" s="140"/>
      <c r="M38" s="140"/>
      <c r="N38" s="140"/>
      <c r="O38" s="140"/>
      <c r="P38" s="140"/>
      <c r="Q38" s="142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0"/>
      <c r="AG38" s="140"/>
      <c r="AH38" s="143"/>
      <c r="AI38" s="143"/>
      <c r="AJ38" s="143"/>
      <c r="AK38" s="143"/>
      <c r="AL38" s="144"/>
      <c r="AN38" s="145"/>
      <c r="AO38" s="136"/>
      <c r="AP38" s="140"/>
      <c r="AQ38" s="140"/>
      <c r="AR38" s="140"/>
      <c r="AS38" s="140"/>
      <c r="AT38" s="140"/>
      <c r="AU38" s="140"/>
      <c r="AV38" s="115"/>
      <c r="AW38" s="140"/>
      <c r="AX38" s="140"/>
      <c r="AY38" s="140"/>
      <c r="AZ38" s="140"/>
      <c r="BA38" s="140"/>
      <c r="BB38" s="140"/>
    </row>
    <row r="39" spans="2:54">
      <c r="B39" s="147"/>
      <c r="C39" s="139"/>
      <c r="D39" s="140"/>
      <c r="E39" s="140"/>
      <c r="F39" s="140"/>
      <c r="G39" s="140"/>
      <c r="H39" s="141"/>
      <c r="I39" s="140"/>
      <c r="J39" s="140"/>
      <c r="K39" s="140"/>
      <c r="L39" s="140"/>
      <c r="M39" s="140"/>
      <c r="N39" s="140"/>
      <c r="O39" s="140"/>
      <c r="P39" s="140"/>
      <c r="Q39" s="142"/>
      <c r="R39" s="140"/>
      <c r="S39" s="140"/>
      <c r="T39" s="140"/>
      <c r="U39" s="140"/>
      <c r="V39" s="148"/>
      <c r="W39" s="148"/>
      <c r="X39" s="148"/>
      <c r="Y39" s="148"/>
      <c r="Z39" s="148"/>
      <c r="AA39" s="152"/>
      <c r="AB39" s="152"/>
      <c r="AC39" s="152"/>
      <c r="AD39" s="152"/>
      <c r="AE39" s="152"/>
      <c r="AF39" s="152"/>
      <c r="AG39" s="152"/>
      <c r="AH39" s="143"/>
      <c r="AI39" s="143"/>
      <c r="AJ39" s="143"/>
      <c r="AK39" s="143"/>
      <c r="AL39" s="144"/>
      <c r="AN39" s="145"/>
      <c r="AO39" s="136"/>
      <c r="AP39" s="146"/>
      <c r="AQ39" s="140"/>
      <c r="AR39" s="140"/>
      <c r="AS39" s="140"/>
      <c r="AT39" s="140"/>
      <c r="AU39" s="140"/>
      <c r="AV39" s="115"/>
      <c r="AW39" s="140"/>
      <c r="AX39" s="140"/>
      <c r="AY39" s="140"/>
      <c r="AZ39" s="140"/>
      <c r="BA39" s="140"/>
      <c r="BB39" s="140"/>
    </row>
    <row r="40" spans="2:54">
      <c r="B40" s="147"/>
      <c r="C40" s="139"/>
      <c r="D40" s="140"/>
      <c r="E40" s="140"/>
      <c r="F40" s="140"/>
      <c r="G40" s="140"/>
      <c r="H40" s="141"/>
      <c r="I40" s="140"/>
      <c r="J40" s="140"/>
      <c r="K40" s="140"/>
      <c r="L40" s="140"/>
      <c r="M40" s="140"/>
      <c r="N40" s="140"/>
      <c r="O40" s="140"/>
      <c r="P40" s="140"/>
      <c r="Q40" s="142"/>
      <c r="R40" s="140"/>
      <c r="S40" s="140"/>
      <c r="T40" s="140"/>
      <c r="U40" s="140"/>
      <c r="V40" s="148"/>
      <c r="W40" s="148"/>
      <c r="X40" s="148"/>
      <c r="Y40" s="148"/>
      <c r="Z40" s="148"/>
      <c r="AA40" s="152"/>
      <c r="AB40" s="152"/>
      <c r="AC40" s="152"/>
      <c r="AD40" s="152"/>
      <c r="AE40" s="152"/>
      <c r="AF40" s="152"/>
      <c r="AG40" s="152"/>
      <c r="AH40" s="143"/>
      <c r="AI40" s="143"/>
      <c r="AJ40" s="143"/>
      <c r="AK40" s="143"/>
      <c r="AL40" s="144"/>
      <c r="AN40" s="145"/>
      <c r="AO40" s="136"/>
      <c r="AP40" s="146"/>
      <c r="AQ40" s="140"/>
      <c r="AR40" s="140"/>
      <c r="AS40" s="140"/>
      <c r="AT40" s="140"/>
      <c r="AU40" s="140"/>
      <c r="AV40" s="115"/>
      <c r="AW40" s="140"/>
      <c r="AX40" s="140"/>
      <c r="AY40" s="140"/>
      <c r="AZ40" s="140"/>
      <c r="BA40" s="140"/>
      <c r="BB40" s="140"/>
    </row>
    <row r="41" spans="2:54">
      <c r="B41" s="147"/>
      <c r="C41" s="139"/>
      <c r="D41" s="140"/>
      <c r="E41" s="140"/>
      <c r="F41" s="140"/>
      <c r="G41" s="140"/>
      <c r="H41" s="141"/>
      <c r="I41" s="140"/>
      <c r="J41" s="140"/>
      <c r="K41" s="140"/>
      <c r="L41" s="140"/>
      <c r="M41" s="140"/>
      <c r="N41" s="140"/>
      <c r="O41" s="140"/>
      <c r="P41" s="140"/>
      <c r="Q41" s="142"/>
      <c r="R41" s="140"/>
      <c r="S41" s="140"/>
      <c r="T41" s="140"/>
      <c r="U41" s="140"/>
      <c r="V41" s="148"/>
      <c r="W41" s="148"/>
      <c r="X41" s="148"/>
      <c r="Y41" s="148"/>
      <c r="Z41" s="148"/>
      <c r="AA41" s="152"/>
      <c r="AB41" s="152"/>
      <c r="AC41" s="152"/>
      <c r="AD41" s="152"/>
      <c r="AE41" s="152"/>
      <c r="AF41" s="152"/>
      <c r="AG41" s="152"/>
      <c r="AH41" s="143"/>
      <c r="AI41" s="143"/>
      <c r="AJ41" s="143"/>
      <c r="AK41" s="143"/>
      <c r="AL41" s="144"/>
      <c r="AN41" s="145"/>
      <c r="AO41" s="136"/>
      <c r="AP41" s="146"/>
      <c r="AQ41" s="140"/>
      <c r="AR41" s="140"/>
      <c r="AS41" s="140"/>
      <c r="AT41" s="140"/>
      <c r="AU41" s="140"/>
      <c r="AV41" s="115"/>
      <c r="AW41" s="140"/>
      <c r="AX41" s="140"/>
      <c r="AY41" s="140"/>
      <c r="AZ41" s="140"/>
      <c r="BA41" s="140"/>
      <c r="BB41" s="140"/>
    </row>
    <row r="42" spans="2:54">
      <c r="B42" s="147"/>
      <c r="C42" s="139"/>
      <c r="D42" s="140"/>
      <c r="E42" s="140"/>
      <c r="F42" s="140"/>
      <c r="G42" s="140"/>
      <c r="H42" s="141"/>
      <c r="I42" s="140"/>
      <c r="J42" s="140"/>
      <c r="K42" s="140"/>
      <c r="L42" s="140"/>
      <c r="M42" s="140"/>
      <c r="N42" s="140"/>
      <c r="O42" s="140"/>
      <c r="P42" s="140"/>
      <c r="Q42" s="142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3"/>
      <c r="AI42" s="143"/>
      <c r="AJ42" s="143"/>
      <c r="AK42" s="143"/>
      <c r="AL42" s="144"/>
      <c r="AN42" s="145"/>
      <c r="AO42" s="136"/>
      <c r="AP42" s="140"/>
      <c r="AQ42" s="140"/>
      <c r="AR42" s="140"/>
      <c r="AS42" s="140"/>
      <c r="AT42" s="140"/>
      <c r="AU42" s="140"/>
      <c r="AV42" s="160"/>
      <c r="AW42" s="140"/>
      <c r="AX42" s="140"/>
      <c r="AY42" s="140"/>
      <c r="AZ42" s="140"/>
      <c r="BA42" s="140"/>
      <c r="BB42" s="140"/>
    </row>
    <row r="43" spans="2:54">
      <c r="B43" s="147"/>
      <c r="C43" s="139"/>
      <c r="D43" s="140"/>
      <c r="E43" s="140"/>
      <c r="F43" s="140"/>
      <c r="G43" s="140"/>
      <c r="H43" s="141"/>
      <c r="I43" s="140"/>
      <c r="J43" s="140"/>
      <c r="K43" s="140"/>
      <c r="L43" s="140"/>
      <c r="M43" s="140"/>
      <c r="N43" s="140"/>
      <c r="O43" s="140"/>
      <c r="P43" s="197"/>
      <c r="Q43" s="198"/>
      <c r="R43" s="197"/>
      <c r="S43" s="197"/>
      <c r="T43" s="197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3"/>
      <c r="AI43" s="143"/>
      <c r="AJ43" s="143"/>
      <c r="AK43" s="143"/>
      <c r="AL43" s="144"/>
      <c r="AN43" s="145"/>
      <c r="AO43" s="136"/>
      <c r="AP43" s="146"/>
      <c r="AQ43" s="140"/>
      <c r="AR43" s="140"/>
      <c r="AS43" s="140"/>
      <c r="AT43" s="140"/>
      <c r="AU43" s="140"/>
      <c r="AV43" s="115"/>
      <c r="AW43" s="140"/>
      <c r="AX43" s="140"/>
      <c r="AY43" s="140"/>
      <c r="AZ43" s="140"/>
      <c r="BA43" s="140"/>
      <c r="BB43" s="140"/>
    </row>
    <row r="44" spans="2:54">
      <c r="B44" s="147"/>
      <c r="C44" s="139"/>
      <c r="D44" s="140"/>
      <c r="E44" s="140"/>
      <c r="F44" s="140"/>
      <c r="G44" s="140"/>
      <c r="H44" s="141"/>
      <c r="I44" s="140"/>
      <c r="J44" s="140"/>
      <c r="K44" s="140"/>
      <c r="L44" s="140"/>
      <c r="M44" s="140"/>
      <c r="N44" s="140"/>
      <c r="O44" s="140"/>
      <c r="P44" s="140"/>
      <c r="Q44" s="142"/>
      <c r="R44" s="150"/>
      <c r="S44" s="140"/>
      <c r="T44" s="140"/>
      <c r="U44" s="140"/>
      <c r="V44" s="148"/>
      <c r="W44" s="148"/>
      <c r="X44" s="148"/>
      <c r="Y44" s="148"/>
      <c r="Z44" s="148"/>
      <c r="AA44" s="152"/>
      <c r="AB44" s="152"/>
      <c r="AC44" s="152"/>
      <c r="AD44" s="152"/>
      <c r="AE44" s="152"/>
      <c r="AF44" s="152"/>
      <c r="AG44" s="152"/>
      <c r="AH44" s="143"/>
      <c r="AI44" s="143"/>
      <c r="AJ44" s="143"/>
      <c r="AK44" s="143"/>
      <c r="AL44" s="144"/>
      <c r="AN44" s="145"/>
      <c r="AO44" s="136"/>
      <c r="AP44" s="146"/>
      <c r="AQ44" s="140"/>
      <c r="AR44" s="140"/>
      <c r="AS44" s="140"/>
      <c r="AT44" s="140"/>
      <c r="AU44" s="140"/>
      <c r="AV44" s="115"/>
      <c r="AW44" s="140"/>
      <c r="AX44" s="140"/>
      <c r="AY44" s="136"/>
      <c r="AZ44" s="140"/>
      <c r="BA44" s="140"/>
      <c r="BB44" s="140"/>
    </row>
    <row r="45" spans="2:54">
      <c r="B45" s="147"/>
      <c r="C45" s="139"/>
      <c r="D45" s="140"/>
      <c r="E45" s="140"/>
      <c r="F45" s="140"/>
      <c r="G45" s="140"/>
      <c r="H45" s="141"/>
      <c r="I45" s="140"/>
      <c r="J45" s="140"/>
      <c r="K45" s="140"/>
      <c r="L45" s="140"/>
      <c r="M45" s="140"/>
      <c r="N45" s="140"/>
      <c r="O45" s="140"/>
      <c r="P45" s="140"/>
      <c r="Q45" s="142"/>
      <c r="R45" s="140"/>
      <c r="S45" s="140"/>
      <c r="T45" s="140"/>
      <c r="U45" s="140"/>
      <c r="V45" s="148"/>
      <c r="W45" s="148"/>
      <c r="X45" s="153"/>
      <c r="Y45" s="153"/>
      <c r="Z45" s="153"/>
      <c r="AA45" s="156"/>
      <c r="AB45" s="152"/>
      <c r="AC45" s="156"/>
      <c r="AD45" s="156"/>
      <c r="AE45" s="156"/>
      <c r="AF45" s="152"/>
      <c r="AG45" s="156"/>
      <c r="AH45" s="143"/>
      <c r="AI45" s="143"/>
      <c r="AJ45" s="143"/>
      <c r="AK45" s="143"/>
      <c r="AL45" s="144"/>
      <c r="AN45" s="145"/>
      <c r="AO45" s="136"/>
      <c r="AP45" s="146"/>
      <c r="AQ45" s="140"/>
      <c r="AR45" s="140"/>
      <c r="AS45" s="140"/>
      <c r="AT45" s="140"/>
      <c r="AU45" s="140"/>
      <c r="AV45" s="115"/>
      <c r="AW45" s="140"/>
      <c r="AX45" s="140"/>
      <c r="AY45" s="140"/>
      <c r="AZ45" s="140"/>
      <c r="BA45" s="140"/>
      <c r="BB45" s="140"/>
    </row>
    <row r="46" spans="2:54">
      <c r="B46" s="147"/>
      <c r="C46" s="139"/>
      <c r="D46" s="140"/>
      <c r="E46" s="140"/>
      <c r="F46" s="140"/>
      <c r="G46" s="140"/>
      <c r="H46" s="141"/>
      <c r="I46" s="140"/>
      <c r="J46" s="140"/>
      <c r="K46" s="140"/>
      <c r="L46" s="140"/>
      <c r="M46" s="140"/>
      <c r="N46" s="140"/>
      <c r="O46" s="140"/>
      <c r="P46" s="140"/>
      <c r="Q46" s="142"/>
      <c r="R46" s="150"/>
      <c r="S46" s="140"/>
      <c r="T46" s="140"/>
      <c r="U46" s="140"/>
      <c r="V46" s="148"/>
      <c r="W46" s="148"/>
      <c r="X46" s="148"/>
      <c r="Y46" s="148"/>
      <c r="Z46" s="148"/>
      <c r="AA46" s="152"/>
      <c r="AB46" s="152"/>
      <c r="AC46" s="152"/>
      <c r="AD46" s="152"/>
      <c r="AE46" s="152"/>
      <c r="AF46" s="152"/>
      <c r="AG46" s="152"/>
      <c r="AH46" s="143"/>
      <c r="AI46" s="143"/>
      <c r="AJ46" s="143"/>
      <c r="AK46" s="143"/>
      <c r="AL46" s="144"/>
      <c r="AN46" s="145"/>
      <c r="AO46" s="136"/>
      <c r="AP46" s="146"/>
      <c r="AQ46" s="140"/>
      <c r="AR46" s="140"/>
      <c r="AS46" s="140"/>
      <c r="AT46" s="140"/>
      <c r="AU46" s="140"/>
      <c r="AV46" s="115"/>
      <c r="AW46" s="140"/>
      <c r="AX46" s="140"/>
      <c r="AY46" s="140"/>
      <c r="AZ46" s="140"/>
      <c r="BA46" s="140"/>
      <c r="BB46" s="140"/>
    </row>
    <row r="47" spans="2:54">
      <c r="B47" s="147"/>
      <c r="C47" s="139"/>
      <c r="D47" s="140"/>
      <c r="E47" s="140"/>
      <c r="F47" s="140"/>
      <c r="G47" s="140"/>
      <c r="H47" s="141"/>
      <c r="I47" s="140"/>
      <c r="J47" s="140"/>
      <c r="K47" s="140"/>
      <c r="L47" s="140"/>
      <c r="M47" s="140"/>
      <c r="N47" s="140"/>
      <c r="O47" s="140"/>
      <c r="P47" s="140"/>
      <c r="Q47" s="142"/>
      <c r="R47" s="140"/>
      <c r="S47" s="140"/>
      <c r="T47" s="140"/>
      <c r="U47" s="140"/>
      <c r="V47" s="148"/>
      <c r="W47" s="148"/>
      <c r="X47" s="148"/>
      <c r="Y47" s="148"/>
      <c r="Z47" s="148"/>
      <c r="AA47" s="148"/>
      <c r="AB47" s="152"/>
      <c r="AC47" s="148"/>
      <c r="AD47" s="148"/>
      <c r="AE47" s="148"/>
      <c r="AF47" s="148"/>
      <c r="AG47" s="148"/>
      <c r="AH47" s="143"/>
      <c r="AI47" s="143"/>
      <c r="AJ47" s="143"/>
      <c r="AK47" s="143"/>
      <c r="AL47" s="144"/>
      <c r="AN47" s="145"/>
      <c r="AO47" s="136"/>
      <c r="AP47" s="146"/>
      <c r="AQ47" s="140"/>
      <c r="AR47" s="140"/>
      <c r="AS47" s="140"/>
      <c r="AT47" s="140"/>
      <c r="AU47" s="140"/>
      <c r="AV47" s="115"/>
      <c r="AW47" s="140"/>
      <c r="AX47" s="140"/>
      <c r="AY47" s="140"/>
      <c r="AZ47" s="140"/>
      <c r="BA47" s="140"/>
      <c r="BB47" s="140"/>
    </row>
    <row r="48" spans="2:54">
      <c r="B48" s="147"/>
      <c r="C48" s="139"/>
      <c r="D48" s="140"/>
      <c r="E48" s="140"/>
      <c r="F48" s="140"/>
      <c r="G48" s="140"/>
      <c r="H48" s="141"/>
      <c r="I48" s="140"/>
      <c r="J48" s="140"/>
      <c r="K48" s="140"/>
      <c r="L48" s="140"/>
      <c r="M48" s="140"/>
      <c r="N48" s="140"/>
      <c r="O48" s="140"/>
      <c r="P48" s="140"/>
      <c r="Q48" s="142"/>
      <c r="R48" s="140"/>
      <c r="S48" s="140"/>
      <c r="T48" s="140"/>
      <c r="U48" s="140"/>
      <c r="V48" s="148"/>
      <c r="W48" s="148"/>
      <c r="X48" s="148"/>
      <c r="Y48" s="148"/>
      <c r="Z48" s="148"/>
      <c r="AA48" s="148"/>
      <c r="AB48" s="152"/>
      <c r="AC48" s="148"/>
      <c r="AD48" s="148"/>
      <c r="AE48" s="148"/>
      <c r="AF48" s="148"/>
      <c r="AG48" s="148"/>
      <c r="AH48" s="143"/>
      <c r="AI48" s="143"/>
      <c r="AJ48" s="143"/>
      <c r="AK48" s="143"/>
      <c r="AL48" s="144"/>
      <c r="AN48" s="145"/>
      <c r="AO48" s="136"/>
      <c r="AP48" s="146"/>
      <c r="AQ48" s="140"/>
      <c r="AR48" s="140"/>
      <c r="AS48" s="140"/>
      <c r="AT48" s="140"/>
      <c r="AU48" s="140"/>
      <c r="AV48" s="115"/>
      <c r="AW48" s="140"/>
      <c r="AX48" s="140"/>
      <c r="AY48" s="140"/>
      <c r="AZ48" s="140"/>
      <c r="BA48" s="140"/>
      <c r="BB48" s="140"/>
    </row>
    <row r="49" spans="2:54">
      <c r="B49" s="147"/>
      <c r="C49" s="139"/>
      <c r="D49" s="140"/>
      <c r="E49" s="140"/>
      <c r="F49" s="140"/>
      <c r="G49" s="140"/>
      <c r="H49" s="141"/>
      <c r="I49" s="140"/>
      <c r="J49" s="140"/>
      <c r="K49" s="140"/>
      <c r="L49" s="140"/>
      <c r="M49" s="140"/>
      <c r="N49" s="140"/>
      <c r="O49" s="140"/>
      <c r="P49" s="140"/>
      <c r="Q49" s="142"/>
      <c r="R49" s="140"/>
      <c r="S49" s="140"/>
      <c r="T49" s="140"/>
      <c r="U49" s="140"/>
      <c r="V49" s="148"/>
      <c r="W49" s="148"/>
      <c r="X49" s="148"/>
      <c r="Y49" s="148"/>
      <c r="Z49" s="148"/>
      <c r="AA49" s="148"/>
      <c r="AB49" s="152"/>
      <c r="AC49" s="148"/>
      <c r="AD49" s="148"/>
      <c r="AE49" s="148"/>
      <c r="AF49" s="148"/>
      <c r="AG49" s="148"/>
      <c r="AH49" s="143"/>
      <c r="AI49" s="143"/>
      <c r="AJ49" s="143"/>
      <c r="AK49" s="143"/>
      <c r="AL49" s="144"/>
      <c r="AN49" s="145"/>
      <c r="AO49" s="136"/>
      <c r="AP49" s="146"/>
      <c r="AQ49" s="140"/>
      <c r="AR49" s="140"/>
      <c r="AS49" s="140"/>
      <c r="AT49" s="140"/>
      <c r="AU49" s="140"/>
      <c r="AV49" s="115"/>
      <c r="AW49" s="148"/>
      <c r="AX49" s="148"/>
      <c r="AY49" s="148"/>
      <c r="AZ49" s="148"/>
      <c r="BA49" s="148"/>
      <c r="BB49" s="148"/>
    </row>
    <row r="50" spans="2:54" ht="15" customHeight="1">
      <c r="B50" s="147"/>
      <c r="C50" s="139"/>
      <c r="D50" s="140"/>
      <c r="E50" s="140"/>
      <c r="F50" s="140"/>
      <c r="G50" s="140"/>
      <c r="H50" s="141"/>
      <c r="I50" s="140"/>
      <c r="J50" s="140"/>
      <c r="K50" s="140"/>
      <c r="L50" s="140"/>
      <c r="M50" s="140"/>
      <c r="N50" s="140"/>
      <c r="O50" s="140"/>
      <c r="P50" s="140"/>
      <c r="Q50" s="142"/>
      <c r="R50" s="140"/>
      <c r="S50" s="140"/>
      <c r="T50" s="140"/>
      <c r="U50" s="140"/>
      <c r="V50" s="148"/>
      <c r="W50" s="148"/>
      <c r="X50" s="148"/>
      <c r="Y50" s="148"/>
      <c r="Z50" s="148"/>
      <c r="AA50" s="148"/>
      <c r="AB50" s="157"/>
      <c r="AC50" s="148"/>
      <c r="AD50" s="148"/>
      <c r="AE50" s="148"/>
      <c r="AF50" s="148"/>
      <c r="AG50" s="148"/>
      <c r="AH50" s="143"/>
      <c r="AI50" s="143"/>
      <c r="AJ50" s="143"/>
      <c r="AK50" s="143"/>
      <c r="AL50" s="144"/>
      <c r="AN50" s="145"/>
      <c r="AO50" s="136"/>
      <c r="AP50" s="146"/>
      <c r="AQ50" s="140"/>
      <c r="AR50" s="140"/>
      <c r="AS50" s="140"/>
      <c r="AT50" s="140"/>
      <c r="AU50" s="140"/>
      <c r="AV50" s="115"/>
      <c r="AW50" s="140"/>
      <c r="AX50" s="140"/>
      <c r="AY50" s="140"/>
      <c r="AZ50" s="140"/>
      <c r="BA50" s="140"/>
      <c r="BB50" s="140"/>
    </row>
    <row r="51" spans="2:54" ht="15" customHeight="1">
      <c r="B51" s="147"/>
      <c r="C51" s="139"/>
      <c r="D51" s="140"/>
      <c r="E51" s="140"/>
      <c r="F51" s="140"/>
      <c r="G51" s="140"/>
      <c r="H51" s="141"/>
      <c r="I51" s="140"/>
      <c r="J51" s="140"/>
      <c r="K51" s="140"/>
      <c r="L51" s="140"/>
      <c r="M51" s="140"/>
      <c r="N51" s="140"/>
      <c r="O51" s="140"/>
      <c r="P51" s="140"/>
      <c r="Q51" s="142"/>
      <c r="R51" s="140"/>
      <c r="S51" s="140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3"/>
      <c r="AI51" s="143"/>
      <c r="AJ51" s="143"/>
      <c r="AK51" s="143"/>
      <c r="AL51" s="144"/>
      <c r="AN51" s="145"/>
      <c r="AO51" s="136"/>
      <c r="AP51" s="140"/>
      <c r="AQ51" s="140"/>
      <c r="AR51" s="140"/>
      <c r="AS51" s="140"/>
      <c r="AT51" s="140"/>
      <c r="AU51" s="140"/>
      <c r="AV51" s="115"/>
      <c r="AW51" s="140"/>
      <c r="AX51" s="140"/>
      <c r="AY51" s="140"/>
      <c r="AZ51" s="140"/>
      <c r="BA51" s="140"/>
      <c r="BB51" s="140"/>
    </row>
    <row r="52" spans="2:54" ht="15" customHeight="1">
      <c r="B52" s="147"/>
      <c r="C52" s="139"/>
      <c r="D52" s="140"/>
      <c r="E52" s="140"/>
      <c r="F52" s="140"/>
      <c r="G52" s="140"/>
      <c r="H52" s="141"/>
      <c r="I52" s="140"/>
      <c r="J52" s="140"/>
      <c r="K52" s="140"/>
      <c r="L52" s="140"/>
      <c r="M52" s="140"/>
      <c r="N52" s="140"/>
      <c r="O52" s="140"/>
      <c r="P52" s="140"/>
      <c r="Q52" s="142"/>
      <c r="R52" s="140"/>
      <c r="S52" s="140"/>
      <c r="T52" s="140"/>
      <c r="U52" s="140"/>
      <c r="V52" s="148"/>
      <c r="W52" s="148"/>
      <c r="X52" s="148"/>
      <c r="Y52" s="148"/>
      <c r="Z52" s="148"/>
      <c r="AA52" s="148"/>
      <c r="AB52" s="152"/>
      <c r="AC52" s="148"/>
      <c r="AD52" s="148"/>
      <c r="AE52" s="148"/>
      <c r="AF52" s="148"/>
      <c r="AG52" s="148"/>
      <c r="AH52" s="143"/>
      <c r="AI52" s="143"/>
      <c r="AJ52" s="143"/>
      <c r="AK52" s="143"/>
      <c r="AL52" s="144"/>
      <c r="AN52" s="145"/>
      <c r="AO52" s="136"/>
      <c r="AP52" s="146"/>
      <c r="AQ52" s="140"/>
      <c r="AR52" s="140"/>
      <c r="AS52" s="140"/>
      <c r="AT52" s="140"/>
      <c r="AU52" s="140"/>
      <c r="AV52" s="115"/>
      <c r="AW52" s="140"/>
      <c r="AX52" s="140"/>
      <c r="AY52" s="140"/>
      <c r="AZ52" s="140"/>
      <c r="BA52" s="140"/>
      <c r="BB52" s="140"/>
    </row>
    <row r="53" spans="2:54">
      <c r="B53" s="147"/>
      <c r="C53" s="139"/>
      <c r="D53" s="140"/>
      <c r="E53" s="140"/>
      <c r="F53" s="140"/>
      <c r="G53" s="140"/>
      <c r="H53" s="141"/>
      <c r="I53" s="140"/>
      <c r="J53" s="140"/>
      <c r="K53" s="140"/>
      <c r="L53" s="140"/>
      <c r="M53" s="140"/>
      <c r="N53" s="140"/>
      <c r="O53" s="140"/>
      <c r="P53" s="140"/>
      <c r="Q53" s="142"/>
      <c r="R53" s="140"/>
      <c r="S53" s="140"/>
      <c r="T53" s="140"/>
      <c r="U53" s="140"/>
      <c r="V53" s="148"/>
      <c r="W53" s="148"/>
      <c r="X53" s="148"/>
      <c r="Y53" s="148"/>
      <c r="Z53" s="148"/>
      <c r="AA53" s="148"/>
      <c r="AB53" s="152"/>
      <c r="AC53" s="148"/>
      <c r="AD53" s="148"/>
      <c r="AE53" s="148"/>
      <c r="AF53" s="148"/>
      <c r="AG53" s="148"/>
      <c r="AH53" s="143"/>
      <c r="AI53" s="143"/>
      <c r="AJ53" s="143"/>
      <c r="AK53" s="143"/>
      <c r="AL53" s="144"/>
      <c r="AN53" s="145"/>
      <c r="AO53" s="136"/>
      <c r="AP53" s="146"/>
      <c r="AQ53" s="140"/>
      <c r="AR53" s="140"/>
      <c r="AS53" s="140"/>
      <c r="AT53" s="140"/>
      <c r="AU53" s="140"/>
      <c r="AV53" s="115"/>
      <c r="AW53" s="140"/>
      <c r="AX53" s="140"/>
      <c r="AY53" s="140"/>
      <c r="AZ53" s="140"/>
      <c r="BA53" s="140"/>
      <c r="BB53" s="140"/>
    </row>
    <row r="54" spans="2:54">
      <c r="B54" s="147"/>
      <c r="C54" s="195"/>
      <c r="D54" s="140"/>
      <c r="E54" s="140"/>
      <c r="F54" s="140"/>
      <c r="G54" s="140"/>
      <c r="H54" s="141"/>
      <c r="I54" s="140"/>
      <c r="J54" s="140"/>
      <c r="K54" s="140"/>
      <c r="L54" s="140"/>
      <c r="M54" s="140"/>
      <c r="N54" s="140"/>
      <c r="O54" s="140"/>
      <c r="P54" s="140"/>
      <c r="Q54" s="142"/>
      <c r="R54" s="140"/>
      <c r="S54" s="140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3"/>
      <c r="AI54" s="143"/>
      <c r="AJ54" s="143"/>
      <c r="AK54" s="143"/>
      <c r="AL54" s="144"/>
      <c r="AN54" s="145"/>
      <c r="AO54" s="136"/>
      <c r="AP54" s="140"/>
      <c r="AQ54" s="140"/>
      <c r="AR54" s="140"/>
      <c r="AS54" s="140"/>
      <c r="AT54" s="140"/>
      <c r="AU54" s="140"/>
      <c r="AV54" s="115"/>
      <c r="AW54" s="140"/>
      <c r="AX54" s="140"/>
      <c r="AY54" s="140"/>
      <c r="AZ54" s="140"/>
      <c r="BA54" s="140"/>
      <c r="BB54" s="140"/>
    </row>
    <row r="55" spans="2:54">
      <c r="B55" s="147"/>
      <c r="C55" s="139"/>
      <c r="D55" s="140"/>
      <c r="E55" s="140"/>
      <c r="F55" s="140"/>
      <c r="G55" s="140"/>
      <c r="H55" s="141"/>
      <c r="I55" s="140"/>
      <c r="J55" s="140"/>
      <c r="K55" s="140"/>
      <c r="L55" s="140"/>
      <c r="M55" s="140"/>
      <c r="N55" s="140"/>
      <c r="O55" s="140"/>
      <c r="P55" s="140"/>
      <c r="Q55" s="142"/>
      <c r="R55" s="140"/>
      <c r="S55" s="140"/>
      <c r="T55" s="140"/>
      <c r="U55" s="140"/>
      <c r="V55" s="148"/>
      <c r="W55" s="148"/>
      <c r="X55" s="148"/>
      <c r="Y55" s="148"/>
      <c r="Z55" s="148"/>
      <c r="AA55" s="148"/>
      <c r="AB55" s="148"/>
      <c r="AC55" s="148"/>
      <c r="AD55" s="148"/>
      <c r="AE55" s="148"/>
      <c r="AF55" s="148"/>
      <c r="AG55" s="148"/>
      <c r="AH55" s="143"/>
      <c r="AI55" s="143"/>
      <c r="AJ55" s="143"/>
      <c r="AK55" s="143"/>
      <c r="AL55" s="144"/>
      <c r="AN55" s="145"/>
      <c r="AO55" s="136"/>
      <c r="AP55" s="146"/>
      <c r="AQ55" s="140"/>
      <c r="AR55" s="140"/>
      <c r="AS55" s="140"/>
      <c r="AT55" s="140"/>
      <c r="AU55" s="140"/>
      <c r="AV55" s="115"/>
      <c r="AW55" s="140"/>
      <c r="AX55" s="140"/>
      <c r="AY55" s="140"/>
      <c r="AZ55" s="140"/>
      <c r="BA55" s="140"/>
      <c r="BB55" s="140"/>
    </row>
    <row r="56" spans="2:54">
      <c r="B56" s="147"/>
      <c r="C56" s="139"/>
      <c r="D56" s="140"/>
      <c r="E56" s="140"/>
      <c r="F56" s="140"/>
      <c r="G56" s="140"/>
      <c r="H56" s="141"/>
      <c r="I56" s="140"/>
      <c r="J56" s="140"/>
      <c r="K56" s="140"/>
      <c r="L56" s="140"/>
      <c r="M56" s="140"/>
      <c r="N56" s="140"/>
      <c r="O56" s="140"/>
      <c r="P56" s="140"/>
      <c r="Q56" s="142"/>
      <c r="R56" s="140"/>
      <c r="S56" s="140"/>
      <c r="T56" s="140"/>
      <c r="U56" s="140"/>
      <c r="V56" s="148"/>
      <c r="W56" s="148"/>
      <c r="X56" s="148"/>
      <c r="Y56" s="148"/>
      <c r="Z56" s="148"/>
      <c r="AA56" s="148"/>
      <c r="AB56" s="152"/>
      <c r="AC56" s="148"/>
      <c r="AD56" s="148"/>
      <c r="AE56" s="148"/>
      <c r="AF56" s="148"/>
      <c r="AG56" s="148"/>
      <c r="AH56" s="143"/>
      <c r="AI56" s="143"/>
      <c r="AJ56" s="143"/>
      <c r="AK56" s="143"/>
      <c r="AL56" s="144"/>
      <c r="AN56" s="145"/>
      <c r="AO56" s="136"/>
      <c r="AP56" s="146"/>
      <c r="AQ56" s="140"/>
      <c r="AR56" s="140"/>
      <c r="AS56" s="140"/>
      <c r="AT56" s="140"/>
      <c r="AU56" s="140"/>
      <c r="AV56" s="115"/>
      <c r="AW56" s="140"/>
      <c r="AX56" s="140"/>
      <c r="AY56" s="140"/>
      <c r="AZ56" s="140"/>
      <c r="BA56" s="140"/>
      <c r="BB56" s="140"/>
    </row>
    <row r="57" spans="2:54">
      <c r="B57" s="147"/>
      <c r="C57" s="139"/>
      <c r="D57" s="140"/>
      <c r="E57" s="140"/>
      <c r="F57" s="140"/>
      <c r="G57" s="140"/>
      <c r="H57" s="141"/>
      <c r="I57" s="140"/>
      <c r="J57" s="140"/>
      <c r="K57" s="140"/>
      <c r="L57" s="140"/>
      <c r="M57" s="140"/>
      <c r="N57" s="140"/>
      <c r="O57" s="140"/>
      <c r="P57" s="140"/>
      <c r="Q57" s="142"/>
      <c r="R57" s="140"/>
      <c r="S57" s="140"/>
      <c r="T57" s="140"/>
      <c r="U57" s="140"/>
      <c r="V57" s="148"/>
      <c r="W57" s="148"/>
      <c r="X57" s="148"/>
      <c r="Y57" s="148"/>
      <c r="Z57" s="148"/>
      <c r="AA57" s="148"/>
      <c r="AB57" s="152"/>
      <c r="AC57" s="148"/>
      <c r="AD57" s="148"/>
      <c r="AE57" s="148"/>
      <c r="AF57" s="148"/>
      <c r="AG57" s="148"/>
      <c r="AH57" s="143"/>
      <c r="AI57" s="143"/>
      <c r="AJ57" s="143"/>
      <c r="AK57" s="143"/>
      <c r="AL57" s="144"/>
      <c r="AN57" s="145"/>
      <c r="AO57" s="136"/>
      <c r="AP57" s="146"/>
      <c r="AQ57" s="140"/>
      <c r="AR57" s="140"/>
      <c r="AS57" s="140"/>
      <c r="AT57" s="140"/>
      <c r="AU57" s="140"/>
      <c r="AV57" s="115"/>
      <c r="AW57" s="140"/>
      <c r="AX57" s="140"/>
      <c r="AY57" s="140"/>
      <c r="AZ57" s="140"/>
      <c r="BA57" s="140"/>
      <c r="BB57" s="140"/>
    </row>
    <row r="58" spans="2:54">
      <c r="B58" s="147"/>
      <c r="C58" s="139"/>
      <c r="D58" s="140"/>
      <c r="E58" s="140"/>
      <c r="F58" s="140"/>
      <c r="G58" s="140"/>
      <c r="H58" s="141"/>
      <c r="I58" s="140"/>
      <c r="J58" s="140"/>
      <c r="K58" s="140"/>
      <c r="L58" s="140"/>
      <c r="M58" s="140"/>
      <c r="N58" s="140"/>
      <c r="O58" s="140"/>
      <c r="P58" s="140"/>
      <c r="Q58" s="142"/>
      <c r="R58" s="140"/>
      <c r="S58" s="140"/>
      <c r="T58" s="140"/>
      <c r="U58" s="140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3"/>
      <c r="AI58" s="143"/>
      <c r="AJ58" s="143"/>
      <c r="AK58" s="143"/>
      <c r="AL58" s="144"/>
      <c r="AN58" s="145"/>
      <c r="AO58" s="136"/>
      <c r="AP58" s="146"/>
      <c r="AQ58" s="140"/>
      <c r="AR58" s="140"/>
      <c r="AS58" s="140"/>
      <c r="AT58" s="140"/>
      <c r="AU58" s="140"/>
      <c r="AV58" s="115"/>
      <c r="AW58" s="140"/>
      <c r="AX58" s="140"/>
      <c r="AY58" s="140"/>
      <c r="AZ58" s="140"/>
      <c r="BA58" s="140"/>
      <c r="BB58" s="140"/>
    </row>
    <row r="59" spans="2:54">
      <c r="B59" s="147"/>
      <c r="C59" s="139"/>
      <c r="D59" s="140"/>
      <c r="E59" s="140"/>
      <c r="F59" s="140"/>
      <c r="G59" s="140"/>
      <c r="H59" s="141"/>
      <c r="I59" s="140"/>
      <c r="J59" s="140"/>
      <c r="K59" s="140"/>
      <c r="L59" s="140"/>
      <c r="M59" s="140"/>
      <c r="N59" s="140"/>
      <c r="O59" s="140"/>
      <c r="P59" s="140"/>
      <c r="Q59" s="142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0"/>
      <c r="AF59" s="140"/>
      <c r="AG59" s="140"/>
      <c r="AH59" s="143"/>
      <c r="AI59" s="143"/>
      <c r="AJ59" s="143"/>
      <c r="AK59" s="143"/>
      <c r="AL59" s="144"/>
      <c r="AN59" s="145"/>
      <c r="AO59" s="136"/>
      <c r="AP59" s="146"/>
      <c r="AQ59" s="140"/>
      <c r="AR59" s="140"/>
      <c r="AS59" s="140"/>
      <c r="AT59" s="140"/>
      <c r="AU59" s="140"/>
      <c r="AV59" s="115"/>
      <c r="AW59" s="140"/>
      <c r="AX59" s="140"/>
      <c r="AY59" s="140"/>
      <c r="AZ59" s="140"/>
      <c r="BA59" s="140"/>
      <c r="BB59" s="140"/>
    </row>
    <row r="60" spans="2:54">
      <c r="B60" s="192"/>
      <c r="C60" s="139"/>
      <c r="D60" s="140"/>
      <c r="E60" s="140"/>
      <c r="F60" s="140"/>
      <c r="G60" s="140"/>
      <c r="H60" s="141"/>
      <c r="I60" s="140"/>
      <c r="J60" s="140"/>
      <c r="K60" s="140"/>
      <c r="L60" s="140"/>
      <c r="M60" s="140"/>
      <c r="N60" s="140"/>
      <c r="O60" s="140"/>
      <c r="P60" s="140"/>
      <c r="Q60" s="142"/>
      <c r="R60" s="140"/>
      <c r="S60" s="140"/>
      <c r="T60" s="140"/>
      <c r="U60" s="140"/>
      <c r="V60" s="148"/>
      <c r="W60" s="148"/>
      <c r="X60" s="148"/>
      <c r="Y60" s="148"/>
      <c r="Z60" s="148"/>
      <c r="AA60" s="148"/>
      <c r="AB60" s="152"/>
      <c r="AC60" s="148"/>
      <c r="AD60" s="148"/>
      <c r="AE60" s="148"/>
      <c r="AF60" s="148"/>
      <c r="AG60" s="148"/>
      <c r="AH60" s="159"/>
      <c r="AI60" s="143"/>
      <c r="AJ60" s="143"/>
      <c r="AK60" s="143"/>
      <c r="AL60" s="144"/>
      <c r="AN60" s="145"/>
      <c r="AO60" s="136"/>
      <c r="AP60" s="146"/>
      <c r="AQ60" s="140"/>
      <c r="AR60" s="140"/>
      <c r="AS60" s="140"/>
      <c r="AT60" s="140"/>
      <c r="AU60" s="140"/>
      <c r="AV60" s="115"/>
      <c r="AW60" s="140"/>
      <c r="AX60" s="140"/>
      <c r="AY60" s="140"/>
      <c r="AZ60" s="140"/>
      <c r="BA60" s="140"/>
      <c r="BB60" s="140"/>
    </row>
    <row r="61" spans="2:54">
      <c r="B61" s="147"/>
      <c r="C61" s="139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62"/>
      <c r="Q61" s="162"/>
      <c r="R61" s="162"/>
      <c r="S61" s="162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3"/>
      <c r="AI61" s="143"/>
      <c r="AJ61" s="143"/>
      <c r="AK61" s="143"/>
      <c r="AL61" s="144"/>
      <c r="AN61" s="145"/>
      <c r="AO61" s="136"/>
      <c r="AP61" s="140"/>
      <c r="AQ61" s="193"/>
      <c r="AR61" s="193"/>
      <c r="AS61" s="193"/>
      <c r="AT61" s="193"/>
      <c r="AU61" s="193"/>
      <c r="AV61" s="194"/>
      <c r="AW61" s="193"/>
      <c r="AX61" s="193"/>
      <c r="AY61" s="193"/>
      <c r="AZ61" s="193"/>
      <c r="BA61" s="193"/>
      <c r="BB61" s="193"/>
    </row>
    <row r="62" spans="2:54">
      <c r="B62" s="147"/>
      <c r="C62" s="139"/>
      <c r="D62" s="140"/>
      <c r="E62" s="140"/>
      <c r="F62" s="140"/>
      <c r="G62" s="140"/>
      <c r="H62" s="141"/>
      <c r="I62" s="140"/>
      <c r="J62" s="140"/>
      <c r="K62" s="140"/>
      <c r="L62" s="140"/>
      <c r="M62" s="140"/>
      <c r="N62" s="140"/>
      <c r="O62" s="140"/>
      <c r="P62" s="140"/>
      <c r="Q62" s="142"/>
      <c r="R62" s="140"/>
      <c r="S62" s="140"/>
      <c r="T62" s="140"/>
      <c r="U62" s="140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3"/>
      <c r="AI62" s="143"/>
      <c r="AJ62" s="143"/>
      <c r="AK62" s="143"/>
      <c r="AL62" s="144"/>
      <c r="AN62" s="145"/>
      <c r="AO62" s="136"/>
      <c r="AP62" s="146"/>
      <c r="AQ62" s="140"/>
      <c r="AR62" s="140"/>
      <c r="AS62" s="140"/>
      <c r="AT62" s="140"/>
      <c r="AU62" s="140"/>
      <c r="AV62" s="115"/>
      <c r="AW62" s="140"/>
      <c r="AX62" s="140"/>
      <c r="AY62" s="140"/>
      <c r="AZ62" s="140"/>
      <c r="BA62" s="140"/>
      <c r="BB62" s="140"/>
    </row>
    <row r="63" spans="2:54">
      <c r="B63" s="147"/>
      <c r="C63" s="139"/>
      <c r="D63" s="140"/>
      <c r="E63" s="140"/>
      <c r="F63" s="140"/>
      <c r="G63" s="140"/>
      <c r="H63" s="141"/>
      <c r="I63" s="140"/>
      <c r="J63" s="140"/>
      <c r="K63" s="140"/>
      <c r="L63" s="140"/>
      <c r="M63" s="140"/>
      <c r="N63" s="140"/>
      <c r="O63" s="140"/>
      <c r="P63" s="140"/>
      <c r="Q63" s="142"/>
      <c r="R63" s="140"/>
      <c r="S63" s="140"/>
      <c r="T63" s="140"/>
      <c r="U63" s="140"/>
      <c r="V63" s="148"/>
      <c r="W63" s="148"/>
      <c r="X63" s="148"/>
      <c r="Y63" s="148"/>
      <c r="Z63" s="148"/>
      <c r="AA63" s="148"/>
      <c r="AB63" s="152"/>
      <c r="AC63" s="148"/>
      <c r="AD63" s="148"/>
      <c r="AE63" s="148"/>
      <c r="AF63" s="148"/>
      <c r="AG63" s="148"/>
      <c r="AH63" s="143"/>
      <c r="AI63" s="143"/>
      <c r="AJ63" s="143"/>
      <c r="AK63" s="143"/>
      <c r="AL63" s="144"/>
      <c r="AN63" s="145"/>
      <c r="AO63" s="136"/>
      <c r="AP63" s="146"/>
      <c r="AQ63" s="140"/>
      <c r="AR63" s="140"/>
      <c r="AS63" s="140"/>
      <c r="AT63" s="140"/>
      <c r="AU63" s="140"/>
      <c r="AV63" s="115"/>
      <c r="AW63" s="140"/>
      <c r="AX63" s="140"/>
      <c r="AY63" s="140"/>
      <c r="AZ63" s="140"/>
      <c r="BA63" s="140"/>
      <c r="BB63" s="140"/>
    </row>
    <row r="64" spans="2:54">
      <c r="B64" s="147"/>
      <c r="C64" s="139"/>
      <c r="D64" s="140"/>
      <c r="E64" s="140"/>
      <c r="F64" s="140"/>
      <c r="G64" s="140"/>
      <c r="H64" s="141"/>
      <c r="I64" s="140"/>
      <c r="J64" s="140"/>
      <c r="K64" s="140"/>
      <c r="L64" s="140"/>
      <c r="M64" s="140"/>
      <c r="N64" s="140"/>
      <c r="O64" s="140"/>
      <c r="P64" s="140"/>
      <c r="Q64" s="142"/>
      <c r="R64" s="140"/>
      <c r="S64" s="140"/>
      <c r="T64" s="140"/>
      <c r="U64" s="140"/>
      <c r="V64" s="148"/>
      <c r="W64" s="148"/>
      <c r="X64" s="148"/>
      <c r="Y64" s="148"/>
      <c r="Z64" s="148"/>
      <c r="AA64" s="148"/>
      <c r="AB64" s="152"/>
      <c r="AC64" s="148"/>
      <c r="AD64" s="148"/>
      <c r="AE64" s="148"/>
      <c r="AF64" s="148"/>
      <c r="AG64" s="148"/>
      <c r="AH64" s="143"/>
      <c r="AI64" s="143"/>
      <c r="AJ64" s="143"/>
      <c r="AK64" s="143"/>
      <c r="AL64" s="144"/>
      <c r="AN64" s="145"/>
      <c r="AO64" s="136"/>
      <c r="AP64" s="146"/>
      <c r="AQ64" s="140"/>
      <c r="AR64" s="140"/>
      <c r="AS64" s="140"/>
      <c r="AT64" s="140"/>
      <c r="AU64" s="140"/>
      <c r="AV64" s="115"/>
      <c r="AW64" s="140"/>
      <c r="AX64" s="140"/>
      <c r="AY64" s="140"/>
      <c r="AZ64" s="140"/>
      <c r="BA64" s="140"/>
      <c r="BB64" s="140"/>
    </row>
    <row r="65" spans="2:54">
      <c r="B65" s="147"/>
      <c r="C65" s="139"/>
      <c r="D65" s="140"/>
      <c r="E65" s="140"/>
      <c r="F65" s="140"/>
      <c r="G65" s="140"/>
      <c r="H65" s="141"/>
      <c r="I65" s="140"/>
      <c r="J65" s="140"/>
      <c r="K65" s="140"/>
      <c r="L65" s="140"/>
      <c r="M65" s="140"/>
      <c r="N65" s="140"/>
      <c r="O65" s="140"/>
      <c r="P65" s="140"/>
      <c r="Q65" s="142"/>
      <c r="R65" s="140"/>
      <c r="S65" s="140"/>
      <c r="T65" s="140"/>
      <c r="U65" s="140"/>
      <c r="V65" s="148"/>
      <c r="W65" s="148"/>
      <c r="X65" s="148"/>
      <c r="Y65" s="148"/>
      <c r="Z65" s="148"/>
      <c r="AA65" s="148"/>
      <c r="AB65" s="148"/>
      <c r="AC65" s="148"/>
      <c r="AD65" s="148"/>
      <c r="AE65" s="148"/>
      <c r="AF65" s="148"/>
      <c r="AG65" s="148"/>
      <c r="AH65" s="143"/>
      <c r="AI65" s="143"/>
      <c r="AJ65" s="143"/>
      <c r="AK65" s="143"/>
      <c r="AL65" s="144"/>
      <c r="AN65" s="145"/>
      <c r="AO65" s="136"/>
      <c r="AP65" s="146"/>
      <c r="AQ65" s="140"/>
      <c r="AR65" s="140"/>
      <c r="AS65" s="140"/>
      <c r="AT65" s="140"/>
      <c r="AU65" s="140"/>
      <c r="AV65" s="115"/>
      <c r="AW65" s="140"/>
      <c r="AX65" s="140"/>
      <c r="AY65" s="140"/>
      <c r="AZ65" s="140"/>
      <c r="BA65" s="140"/>
      <c r="BB65" s="140"/>
    </row>
    <row r="66" spans="2:54">
      <c r="B66" s="147"/>
      <c r="C66" s="139"/>
      <c r="D66" s="140"/>
      <c r="E66" s="140"/>
      <c r="F66" s="140"/>
      <c r="G66" s="140"/>
      <c r="H66" s="141"/>
      <c r="I66" s="140"/>
      <c r="J66" s="140"/>
      <c r="K66" s="140"/>
      <c r="L66" s="140"/>
      <c r="M66" s="140"/>
      <c r="N66" s="140"/>
      <c r="O66" s="140"/>
      <c r="P66" s="140"/>
      <c r="Q66" s="142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3"/>
      <c r="AI66" s="143"/>
      <c r="AJ66" s="143"/>
      <c r="AK66" s="143"/>
      <c r="AL66" s="144"/>
      <c r="AN66" s="145"/>
      <c r="AO66" s="136"/>
      <c r="AP66" s="146"/>
      <c r="AQ66" s="140"/>
      <c r="AR66" s="140"/>
      <c r="AS66" s="140"/>
      <c r="AT66" s="140"/>
      <c r="AU66" s="140"/>
      <c r="AV66" s="115"/>
      <c r="AW66" s="140"/>
      <c r="AX66" s="140"/>
      <c r="AY66" s="140"/>
      <c r="AZ66" s="140"/>
      <c r="BA66" s="140"/>
      <c r="BB66" s="140"/>
    </row>
    <row r="67" spans="2:54">
      <c r="B67" s="147"/>
      <c r="C67" s="139"/>
      <c r="D67" s="140"/>
      <c r="E67" s="140"/>
      <c r="F67" s="140"/>
      <c r="G67" s="140"/>
      <c r="H67" s="140"/>
      <c r="I67" s="140"/>
      <c r="J67" s="140"/>
      <c r="K67" s="140"/>
      <c r="L67" s="162"/>
      <c r="M67" s="162"/>
      <c r="N67" s="162"/>
      <c r="O67" s="162"/>
      <c r="P67" s="197"/>
      <c r="Q67" s="23"/>
      <c r="R67" s="199"/>
      <c r="S67" s="136"/>
      <c r="T67" s="197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3"/>
      <c r="AI67" s="143"/>
      <c r="AJ67" s="143"/>
      <c r="AK67" s="143"/>
      <c r="AL67" s="144"/>
      <c r="AM67"/>
      <c r="AN67" s="145"/>
      <c r="AP67" s="140"/>
      <c r="AQ67" s="140"/>
      <c r="AR67" s="140"/>
      <c r="AS67" s="140"/>
      <c r="AT67" s="140"/>
      <c r="AU67" s="140"/>
      <c r="AV67" s="160"/>
      <c r="AW67" s="140"/>
      <c r="AX67" s="140"/>
      <c r="AY67" s="140"/>
      <c r="AZ67" s="140"/>
      <c r="BA67" s="140"/>
    </row>
    <row r="68" spans="2:54">
      <c r="B68" s="147"/>
      <c r="C68" s="139"/>
      <c r="D68" s="140"/>
      <c r="E68" s="140"/>
      <c r="F68" s="140"/>
      <c r="G68" s="140"/>
      <c r="H68" s="141"/>
      <c r="I68" s="140"/>
      <c r="J68" s="140"/>
      <c r="K68" s="140"/>
      <c r="L68" s="140"/>
      <c r="M68" s="140"/>
      <c r="N68" s="140"/>
      <c r="O68" s="140"/>
      <c r="P68" s="140"/>
      <c r="Q68" s="142"/>
      <c r="R68" s="140"/>
      <c r="S68" s="140"/>
      <c r="T68" s="140"/>
      <c r="U68" s="140"/>
      <c r="V68" s="148"/>
      <c r="W68" s="148"/>
      <c r="X68" s="148"/>
      <c r="Y68" s="148"/>
      <c r="Z68" s="148"/>
      <c r="AA68" s="148"/>
      <c r="AB68" s="157"/>
      <c r="AC68" s="148"/>
      <c r="AD68" s="148"/>
      <c r="AE68" s="148"/>
      <c r="AF68" s="148"/>
      <c r="AG68" s="148"/>
      <c r="AH68" s="143"/>
      <c r="AI68" s="143"/>
      <c r="AJ68" s="143"/>
      <c r="AK68" s="143"/>
      <c r="AL68" s="144"/>
      <c r="AN68" s="145"/>
      <c r="AO68" s="136"/>
      <c r="AP68" s="146"/>
      <c r="AQ68" s="140"/>
      <c r="AR68" s="140"/>
      <c r="AS68" s="140"/>
      <c r="AT68" s="140"/>
      <c r="AU68" s="140"/>
      <c r="AV68" s="115"/>
      <c r="AW68" s="140"/>
      <c r="AX68" s="140"/>
      <c r="AY68" s="140"/>
      <c r="AZ68" s="140"/>
      <c r="BA68" s="140"/>
      <c r="BB68" s="140"/>
    </row>
    <row r="69" spans="2:54">
      <c r="B69" s="147"/>
      <c r="C69" s="139"/>
      <c r="D69" s="140"/>
      <c r="E69" s="140"/>
      <c r="F69" s="140"/>
      <c r="G69" s="140"/>
      <c r="H69" s="141"/>
      <c r="I69" s="140"/>
      <c r="J69" s="140"/>
      <c r="K69" s="140"/>
      <c r="L69" s="140"/>
      <c r="M69" s="140"/>
      <c r="N69" s="140"/>
      <c r="O69" s="140"/>
      <c r="P69" s="140"/>
      <c r="Q69" s="142"/>
      <c r="R69" s="140"/>
      <c r="S69" s="140"/>
      <c r="T69" s="140"/>
      <c r="U69" s="140"/>
      <c r="V69" s="148"/>
      <c r="W69" s="148"/>
      <c r="X69" s="148"/>
      <c r="Y69" s="148"/>
      <c r="Z69" s="148"/>
      <c r="AA69" s="148"/>
      <c r="AB69" s="152"/>
      <c r="AC69" s="148"/>
      <c r="AD69" s="148"/>
      <c r="AE69" s="148"/>
      <c r="AF69" s="148"/>
      <c r="AG69" s="148"/>
      <c r="AH69" s="143"/>
      <c r="AI69" s="143"/>
      <c r="AJ69" s="143"/>
      <c r="AK69" s="143"/>
      <c r="AL69" s="144"/>
      <c r="AN69" s="145"/>
      <c r="AO69" s="136"/>
      <c r="AP69" s="146"/>
      <c r="AQ69" s="140"/>
      <c r="AR69" s="140"/>
      <c r="AS69" s="140"/>
      <c r="AT69" s="140"/>
      <c r="AU69" s="140"/>
      <c r="AV69" s="115"/>
      <c r="AW69" s="140"/>
      <c r="AX69" s="140"/>
      <c r="AY69" s="140"/>
      <c r="AZ69" s="140"/>
      <c r="BA69" s="140"/>
      <c r="BB69" s="140"/>
    </row>
    <row r="70" spans="2:54">
      <c r="B70" s="147"/>
      <c r="C70" s="139"/>
      <c r="D70" s="140"/>
      <c r="E70" s="140"/>
      <c r="F70" s="140"/>
      <c r="G70" s="140"/>
      <c r="H70" s="141"/>
      <c r="I70" s="140"/>
      <c r="J70" s="140"/>
      <c r="K70" s="140"/>
      <c r="L70" s="140"/>
      <c r="M70" s="140"/>
      <c r="N70" s="140"/>
      <c r="O70" s="140"/>
      <c r="P70" s="140"/>
      <c r="Q70" s="142"/>
      <c r="R70" s="140"/>
      <c r="S70" s="140"/>
      <c r="T70" s="140"/>
      <c r="U70" s="140"/>
      <c r="V70" s="148"/>
      <c r="W70" s="148"/>
      <c r="X70" s="148"/>
      <c r="Y70" s="148"/>
      <c r="Z70" s="148"/>
      <c r="AA70" s="148"/>
      <c r="AB70" s="152"/>
      <c r="AC70" s="148"/>
      <c r="AD70" s="148"/>
      <c r="AE70" s="148"/>
      <c r="AF70" s="148"/>
      <c r="AG70" s="148"/>
      <c r="AH70" s="143"/>
      <c r="AI70" s="143"/>
      <c r="AJ70" s="143"/>
      <c r="AK70" s="143"/>
      <c r="AL70" s="144"/>
      <c r="AN70" s="145"/>
      <c r="AO70" s="136"/>
      <c r="AP70" s="146"/>
      <c r="AQ70" s="140"/>
      <c r="AR70" s="140"/>
      <c r="AS70" s="140"/>
      <c r="AT70" s="140"/>
      <c r="AU70" s="140"/>
      <c r="AV70" s="115"/>
      <c r="AW70" s="140"/>
      <c r="AX70" s="140"/>
      <c r="AY70" s="140"/>
      <c r="AZ70" s="140"/>
      <c r="BA70" s="140"/>
      <c r="BB70" s="140"/>
    </row>
    <row r="71" spans="2:54">
      <c r="B71" s="147"/>
      <c r="C71" s="139"/>
      <c r="D71" s="140"/>
      <c r="E71" s="140"/>
      <c r="F71" s="140"/>
      <c r="G71" s="140"/>
      <c r="H71" s="141"/>
      <c r="I71" s="140"/>
      <c r="J71" s="140"/>
      <c r="K71" s="140"/>
      <c r="L71" s="140"/>
      <c r="M71" s="140"/>
      <c r="N71" s="140"/>
      <c r="O71" s="140"/>
      <c r="P71" s="140"/>
      <c r="Q71" s="142"/>
      <c r="R71" s="140"/>
      <c r="S71" s="140"/>
      <c r="T71" s="140"/>
      <c r="U71" s="140"/>
      <c r="V71" s="148"/>
      <c r="W71" s="148"/>
      <c r="X71" s="148"/>
      <c r="Y71" s="148"/>
      <c r="Z71" s="148"/>
      <c r="AA71" s="148"/>
      <c r="AB71" s="152"/>
      <c r="AC71" s="148"/>
      <c r="AD71" s="148"/>
      <c r="AE71" s="148"/>
      <c r="AF71" s="148"/>
      <c r="AG71" s="148"/>
      <c r="AH71" s="143"/>
      <c r="AI71" s="143"/>
      <c r="AJ71" s="143"/>
      <c r="AK71" s="143"/>
      <c r="AL71" s="144"/>
      <c r="AN71" s="145"/>
      <c r="AO71" s="136"/>
      <c r="AP71" s="146"/>
      <c r="AQ71" s="140"/>
      <c r="AR71" s="140"/>
      <c r="AS71" s="140"/>
      <c r="AT71" s="140"/>
      <c r="AU71" s="140"/>
      <c r="AV71" s="115"/>
      <c r="AW71" s="140"/>
      <c r="AX71" s="140"/>
      <c r="AY71" s="140"/>
      <c r="AZ71" s="140"/>
      <c r="BA71" s="140"/>
      <c r="BB71" s="140"/>
    </row>
    <row r="72" spans="2:54">
      <c r="B72" s="147"/>
      <c r="C72" s="139"/>
      <c r="D72" s="140"/>
      <c r="E72" s="140"/>
      <c r="F72" s="140"/>
      <c r="G72" s="140"/>
      <c r="H72" s="141"/>
      <c r="I72" s="140"/>
      <c r="J72" s="140"/>
      <c r="K72" s="140"/>
      <c r="L72" s="140"/>
      <c r="M72" s="140"/>
      <c r="N72" s="140"/>
      <c r="O72" s="140"/>
      <c r="P72" s="140"/>
      <c r="Q72" s="142"/>
      <c r="R72" s="140"/>
      <c r="S72" s="140"/>
      <c r="T72" s="140"/>
      <c r="U72" s="140"/>
      <c r="V72" s="148"/>
      <c r="W72" s="148"/>
      <c r="X72" s="148"/>
      <c r="Y72" s="148"/>
      <c r="Z72" s="148"/>
      <c r="AA72" s="148"/>
      <c r="AB72" s="152"/>
      <c r="AC72" s="148"/>
      <c r="AD72" s="148"/>
      <c r="AE72" s="148"/>
      <c r="AF72" s="148"/>
      <c r="AG72" s="148"/>
      <c r="AH72" s="143"/>
      <c r="AI72" s="143"/>
      <c r="AJ72" s="143"/>
      <c r="AK72" s="143"/>
      <c r="AL72" s="144"/>
      <c r="AN72" s="145"/>
      <c r="AO72" s="136"/>
      <c r="AP72" s="146"/>
      <c r="AQ72" s="140"/>
      <c r="AR72" s="140"/>
      <c r="AS72" s="136"/>
      <c r="AT72" s="140"/>
      <c r="AU72" s="140"/>
      <c r="AV72" s="115"/>
      <c r="AW72" s="140"/>
      <c r="AX72" s="140"/>
      <c r="AY72" s="140"/>
      <c r="AZ72" s="140"/>
      <c r="BA72" s="140"/>
      <c r="BB72" s="140"/>
    </row>
    <row r="73" spans="2:54">
      <c r="B73" s="147"/>
      <c r="C73" s="139"/>
      <c r="D73" s="140"/>
      <c r="E73" s="140"/>
      <c r="F73" s="140"/>
      <c r="G73" s="140"/>
      <c r="H73" s="141"/>
      <c r="I73" s="140"/>
      <c r="J73" s="140"/>
      <c r="K73" s="140"/>
      <c r="L73" s="140"/>
      <c r="M73" s="140"/>
      <c r="N73" s="140"/>
      <c r="O73" s="140"/>
      <c r="P73" s="140"/>
      <c r="Q73" s="142"/>
      <c r="R73" s="140"/>
      <c r="S73" s="140"/>
      <c r="T73" s="140"/>
      <c r="U73" s="140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3"/>
      <c r="AI73" s="143"/>
      <c r="AJ73" s="143"/>
      <c r="AK73" s="143"/>
      <c r="AL73" s="144"/>
      <c r="AN73" s="145"/>
      <c r="AO73" s="136"/>
      <c r="AP73" s="146"/>
      <c r="AQ73" s="140"/>
      <c r="AR73" s="140"/>
      <c r="AS73" s="140"/>
      <c r="AT73" s="140"/>
      <c r="AU73" s="140"/>
      <c r="AV73" s="115"/>
      <c r="AW73" s="140"/>
      <c r="AX73" s="140"/>
      <c r="AY73" s="140"/>
      <c r="AZ73" s="140"/>
      <c r="BA73" s="140"/>
      <c r="BB73" s="140"/>
    </row>
    <row r="74" spans="2:54">
      <c r="B74" s="147"/>
      <c r="C74" s="139"/>
      <c r="D74" s="140"/>
      <c r="E74" s="140"/>
      <c r="F74" s="140"/>
      <c r="G74" s="140"/>
      <c r="H74" s="141"/>
      <c r="I74" s="140"/>
      <c r="J74" s="140"/>
      <c r="K74" s="140"/>
      <c r="L74" s="140"/>
      <c r="M74" s="140"/>
      <c r="N74" s="140"/>
      <c r="O74" s="140"/>
      <c r="P74" s="140"/>
      <c r="Q74" s="142"/>
      <c r="R74" s="140"/>
      <c r="S74" s="140"/>
      <c r="T74" s="140"/>
      <c r="U74" s="140"/>
      <c r="V74" s="148"/>
      <c r="W74" s="148"/>
      <c r="X74" s="148"/>
      <c r="Y74" s="148"/>
      <c r="Z74" s="148"/>
      <c r="AA74" s="148"/>
      <c r="AB74" s="152"/>
      <c r="AC74" s="148"/>
      <c r="AD74" s="148"/>
      <c r="AE74" s="148"/>
      <c r="AF74" s="148"/>
      <c r="AG74" s="148"/>
      <c r="AH74" s="143"/>
      <c r="AI74" s="143"/>
      <c r="AJ74" s="143"/>
      <c r="AK74" s="143"/>
      <c r="AL74" s="144"/>
      <c r="AN74" s="145"/>
      <c r="AO74" s="136"/>
      <c r="AP74" s="146"/>
      <c r="AQ74" s="140"/>
      <c r="AR74" s="140"/>
      <c r="AS74" s="140"/>
      <c r="AT74" s="140"/>
      <c r="AU74" s="140"/>
      <c r="AV74" s="115"/>
      <c r="AW74" s="140"/>
      <c r="AX74" s="140"/>
      <c r="AY74" s="140"/>
      <c r="AZ74" s="140"/>
      <c r="BA74" s="140"/>
      <c r="BB74" s="140"/>
    </row>
    <row r="75" spans="2:54">
      <c r="B75" s="147"/>
      <c r="C75" s="139"/>
      <c r="D75" s="140"/>
      <c r="E75" s="140"/>
      <c r="F75" s="140"/>
      <c r="G75" s="140"/>
      <c r="H75" s="141"/>
      <c r="I75" s="140"/>
      <c r="J75" s="140"/>
      <c r="K75" s="140"/>
      <c r="L75" s="140"/>
      <c r="M75" s="140"/>
      <c r="N75" s="140"/>
      <c r="O75" s="140"/>
      <c r="P75" s="140"/>
      <c r="Q75" s="142"/>
      <c r="R75" s="140"/>
      <c r="S75" s="140"/>
      <c r="T75" s="140"/>
      <c r="U75" s="140"/>
      <c r="V75" s="148"/>
      <c r="W75" s="148"/>
      <c r="X75" s="148"/>
      <c r="Y75" s="148"/>
      <c r="Z75" s="148"/>
      <c r="AA75" s="148"/>
      <c r="AB75" s="152"/>
      <c r="AC75" s="148"/>
      <c r="AD75" s="148"/>
      <c r="AE75" s="148"/>
      <c r="AF75" s="148"/>
      <c r="AG75" s="148"/>
      <c r="AH75" s="143"/>
      <c r="AI75" s="143"/>
      <c r="AJ75" s="143"/>
      <c r="AK75" s="143"/>
      <c r="AL75" s="144"/>
      <c r="AN75" s="145"/>
      <c r="AO75" s="136"/>
      <c r="AP75" s="146"/>
      <c r="AQ75" s="140"/>
      <c r="AR75" s="140"/>
      <c r="AS75" s="140"/>
      <c r="AT75" s="140"/>
      <c r="AU75" s="140"/>
      <c r="AV75" s="115"/>
      <c r="AW75" s="140"/>
      <c r="AX75" s="140"/>
      <c r="AY75" s="140"/>
      <c r="AZ75" s="140"/>
      <c r="BA75" s="140"/>
      <c r="BB75" s="140"/>
    </row>
    <row r="76" spans="2:54">
      <c r="B76" s="147"/>
      <c r="C76" s="139"/>
      <c r="D76" s="140"/>
      <c r="E76" s="140"/>
      <c r="F76" s="140"/>
      <c r="G76" s="140"/>
      <c r="H76" s="141"/>
      <c r="I76" s="140"/>
      <c r="J76" s="140"/>
      <c r="K76" s="140"/>
      <c r="L76" s="140"/>
      <c r="M76" s="140"/>
      <c r="N76" s="140"/>
      <c r="O76" s="140"/>
      <c r="P76" s="140"/>
      <c r="Q76" s="142"/>
      <c r="R76" s="140"/>
      <c r="S76" s="140"/>
      <c r="T76" s="140"/>
      <c r="U76" s="140"/>
      <c r="V76" s="148"/>
      <c r="W76" s="148"/>
      <c r="X76" s="148"/>
      <c r="Y76" s="148"/>
      <c r="Z76" s="148"/>
      <c r="AA76" s="148"/>
      <c r="AB76" s="152"/>
      <c r="AC76" s="148"/>
      <c r="AD76" s="148"/>
      <c r="AE76" s="148"/>
      <c r="AF76" s="148"/>
      <c r="AG76" s="148"/>
      <c r="AH76" s="143"/>
      <c r="AI76" s="143"/>
      <c r="AJ76" s="143"/>
      <c r="AK76" s="143"/>
      <c r="AL76" s="144"/>
      <c r="AN76" s="145"/>
      <c r="AO76" s="136"/>
      <c r="AP76" s="146"/>
      <c r="AQ76" s="140"/>
      <c r="AR76" s="140"/>
      <c r="AS76" s="140"/>
      <c r="AT76" s="140"/>
      <c r="AU76" s="140"/>
      <c r="AV76" s="115"/>
      <c r="AW76" s="140"/>
      <c r="AX76" s="140"/>
      <c r="AY76" s="140"/>
      <c r="AZ76" s="140"/>
      <c r="BA76" s="140"/>
      <c r="BB76" s="140"/>
    </row>
    <row r="77" spans="2:54">
      <c r="B77" s="147"/>
      <c r="C77" s="139"/>
      <c r="D77" s="140"/>
      <c r="E77" s="140"/>
      <c r="F77" s="140"/>
      <c r="G77" s="140"/>
      <c r="H77" s="141"/>
      <c r="I77" s="140"/>
      <c r="J77" s="140"/>
      <c r="K77" s="140"/>
      <c r="L77" s="140"/>
      <c r="M77" s="140"/>
      <c r="N77" s="140"/>
      <c r="O77" s="140"/>
      <c r="P77" s="140"/>
      <c r="Q77" s="142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3"/>
      <c r="AI77" s="143"/>
      <c r="AJ77" s="143"/>
      <c r="AK77" s="143"/>
      <c r="AL77" s="144"/>
      <c r="AN77" s="145"/>
      <c r="AO77" s="136"/>
      <c r="AP77" s="146"/>
      <c r="AQ77" s="140"/>
      <c r="AR77" s="140"/>
      <c r="AS77" s="140"/>
      <c r="AT77" s="140"/>
      <c r="AU77" s="140"/>
      <c r="AV77" s="140"/>
      <c r="AW77" s="140"/>
      <c r="AX77" s="140"/>
      <c r="AY77" s="140"/>
      <c r="AZ77" s="140"/>
      <c r="BA77" s="140"/>
      <c r="BB77" s="140"/>
    </row>
    <row r="78" spans="2:54">
      <c r="B78" s="147"/>
      <c r="C78" s="139"/>
      <c r="D78" s="140"/>
      <c r="E78" s="140"/>
      <c r="F78" s="140"/>
      <c r="G78" s="140"/>
      <c r="H78" s="141"/>
      <c r="I78" s="140"/>
      <c r="J78" s="140"/>
      <c r="K78" s="140"/>
      <c r="L78" s="140"/>
      <c r="M78" s="140"/>
      <c r="N78" s="140"/>
      <c r="O78" s="140"/>
      <c r="P78" s="140"/>
      <c r="Q78" s="142"/>
      <c r="R78" s="140"/>
      <c r="S78" s="140"/>
      <c r="T78" s="140"/>
      <c r="U78" s="140"/>
      <c r="V78" s="148"/>
      <c r="W78" s="148"/>
      <c r="X78" s="148"/>
      <c r="Y78" s="148"/>
      <c r="Z78" s="148"/>
      <c r="AA78" s="148"/>
      <c r="AB78" s="152"/>
      <c r="AC78" s="148"/>
      <c r="AD78" s="148"/>
      <c r="AE78" s="148"/>
      <c r="AF78" s="148"/>
      <c r="AG78" s="148"/>
      <c r="AH78" s="143"/>
      <c r="AI78" s="143"/>
      <c r="AJ78" s="143"/>
      <c r="AK78" s="143"/>
      <c r="AL78" s="144"/>
      <c r="AN78" s="145"/>
      <c r="AO78" s="136"/>
      <c r="AP78" s="146"/>
      <c r="AQ78" s="140"/>
      <c r="AR78" s="140"/>
      <c r="AS78" s="140"/>
      <c r="AT78" s="140"/>
      <c r="AU78" s="140"/>
      <c r="AV78" s="115"/>
      <c r="AW78" s="140"/>
      <c r="AX78" s="140"/>
      <c r="AY78" s="140"/>
      <c r="AZ78" s="140"/>
      <c r="BA78" s="140"/>
      <c r="BB78" s="140"/>
    </row>
    <row r="79" spans="2:54">
      <c r="B79" s="147"/>
      <c r="C79" s="139"/>
      <c r="D79" s="140"/>
      <c r="E79" s="140"/>
      <c r="F79" s="140"/>
      <c r="G79" s="140"/>
      <c r="H79" s="141"/>
      <c r="I79" s="140"/>
      <c r="J79" s="140"/>
      <c r="K79" s="140"/>
      <c r="L79" s="140"/>
      <c r="M79" s="140"/>
      <c r="N79" s="140"/>
      <c r="O79" s="140"/>
      <c r="P79" s="140"/>
      <c r="Q79" s="142"/>
      <c r="R79" s="140"/>
      <c r="S79" s="140"/>
      <c r="T79" s="140"/>
      <c r="U79" s="140"/>
      <c r="V79" s="148"/>
      <c r="W79" s="148"/>
      <c r="X79" s="148"/>
      <c r="Y79" s="148"/>
      <c r="Z79" s="148"/>
      <c r="AA79" s="148"/>
      <c r="AB79" s="152"/>
      <c r="AC79" s="148"/>
      <c r="AD79" s="148"/>
      <c r="AE79" s="148"/>
      <c r="AF79" s="148"/>
      <c r="AG79" s="148"/>
      <c r="AH79" s="143"/>
      <c r="AI79" s="143"/>
      <c r="AJ79" s="143"/>
      <c r="AK79" s="143"/>
      <c r="AL79" s="144"/>
      <c r="AN79" s="145"/>
      <c r="AO79" s="136"/>
      <c r="AP79" s="146"/>
      <c r="AQ79" s="140"/>
      <c r="AR79" s="140"/>
      <c r="AS79" s="140"/>
      <c r="AT79" s="140"/>
      <c r="AU79" s="140"/>
      <c r="AV79" s="115"/>
      <c r="AW79" s="140"/>
      <c r="AX79" s="140"/>
      <c r="AY79" s="140"/>
      <c r="AZ79" s="140"/>
      <c r="BA79" s="140"/>
      <c r="BB79" s="140"/>
    </row>
    <row r="80" spans="2:54">
      <c r="B80" s="147"/>
      <c r="C80" s="139"/>
      <c r="D80" s="140"/>
      <c r="E80" s="140"/>
      <c r="F80" s="140"/>
      <c r="G80" s="140"/>
      <c r="H80" s="141"/>
      <c r="I80" s="140"/>
      <c r="J80" s="140"/>
      <c r="K80" s="140"/>
      <c r="L80" s="140"/>
      <c r="M80" s="140"/>
      <c r="N80" s="140"/>
      <c r="O80" s="161"/>
      <c r="P80" s="140"/>
      <c r="Q80" s="142"/>
      <c r="R80" s="140"/>
      <c r="S80" s="140"/>
      <c r="T80" s="140"/>
      <c r="U80" s="140"/>
      <c r="V80" s="148"/>
      <c r="W80" s="148"/>
      <c r="X80" s="148"/>
      <c r="Y80" s="148"/>
      <c r="Z80" s="148"/>
      <c r="AA80" s="148"/>
      <c r="AB80" s="152"/>
      <c r="AC80" s="148"/>
      <c r="AD80" s="148"/>
      <c r="AE80" s="148"/>
      <c r="AF80" s="148"/>
      <c r="AG80" s="148"/>
      <c r="AH80" s="143"/>
      <c r="AI80" s="143"/>
      <c r="AJ80" s="143"/>
      <c r="AK80" s="143"/>
      <c r="AL80" s="144"/>
      <c r="AN80" s="145"/>
      <c r="AO80" s="136"/>
      <c r="AP80" s="146"/>
      <c r="AQ80" s="140"/>
      <c r="AR80" s="140"/>
      <c r="AS80" s="140"/>
      <c r="AT80" s="140"/>
      <c r="AU80" s="140"/>
      <c r="AV80" s="115"/>
      <c r="AW80" s="140"/>
      <c r="AX80" s="140"/>
      <c r="AY80" s="140"/>
      <c r="AZ80" s="140"/>
      <c r="BA80" s="140"/>
      <c r="BB80" s="140"/>
    </row>
    <row r="81" spans="2:54">
      <c r="B81" s="147"/>
      <c r="C81" s="139"/>
      <c r="D81" s="140"/>
      <c r="E81" s="140"/>
      <c r="F81" s="140"/>
      <c r="G81" s="140"/>
      <c r="H81" s="141"/>
      <c r="I81" s="140"/>
      <c r="J81" s="140"/>
      <c r="K81" s="140"/>
      <c r="L81" s="140"/>
      <c r="M81" s="140"/>
      <c r="N81" s="140"/>
      <c r="O81" s="140"/>
      <c r="P81" s="140"/>
      <c r="Q81" s="142"/>
      <c r="R81" s="140"/>
      <c r="S81" s="140"/>
      <c r="T81" s="140"/>
      <c r="U81" s="140"/>
      <c r="V81" s="148"/>
      <c r="W81" s="148"/>
      <c r="X81" s="148"/>
      <c r="Y81" s="148"/>
      <c r="Z81" s="148"/>
      <c r="AA81" s="148"/>
      <c r="AB81" s="152"/>
      <c r="AC81" s="148"/>
      <c r="AD81" s="148"/>
      <c r="AE81" s="148"/>
      <c r="AF81" s="148"/>
      <c r="AG81" s="148"/>
      <c r="AH81" s="143"/>
      <c r="AI81" s="143"/>
      <c r="AJ81" s="143"/>
      <c r="AK81" s="143"/>
      <c r="AL81" s="144"/>
      <c r="AN81" s="145"/>
      <c r="AO81" s="136"/>
      <c r="AP81" s="146"/>
      <c r="AQ81" s="140"/>
      <c r="AR81" s="140"/>
      <c r="AS81" s="140"/>
      <c r="AT81" s="140"/>
      <c r="AU81" s="140"/>
      <c r="AV81" s="115"/>
      <c r="AW81" s="140"/>
      <c r="AX81" s="140"/>
      <c r="AY81" s="140"/>
      <c r="AZ81" s="140"/>
      <c r="BA81" s="140"/>
      <c r="BB81" s="140"/>
    </row>
    <row r="82" spans="2:54">
      <c r="B82" s="147"/>
      <c r="C82" s="139"/>
      <c r="D82" s="140"/>
      <c r="E82" s="140"/>
      <c r="F82" s="150"/>
      <c r="G82" s="150"/>
      <c r="H82" s="150"/>
      <c r="I82" s="150"/>
      <c r="J82" s="140"/>
      <c r="K82" s="150"/>
      <c r="L82" s="150"/>
      <c r="M82" s="150"/>
      <c r="N82" s="140"/>
      <c r="O82" s="150"/>
      <c r="P82" s="162"/>
      <c r="Q82" s="162"/>
      <c r="R82" s="162"/>
      <c r="S82" s="162"/>
      <c r="T82" s="140"/>
      <c r="U82" s="140"/>
      <c r="V82" s="140"/>
      <c r="W82" s="140"/>
      <c r="X82" s="140"/>
      <c r="Y82" s="140"/>
      <c r="Z82" s="140"/>
      <c r="AA82" s="140"/>
      <c r="AB82" s="140"/>
      <c r="AC82" s="140"/>
      <c r="AD82" s="140"/>
      <c r="AE82" s="140"/>
      <c r="AF82" s="140"/>
      <c r="AG82" s="140"/>
      <c r="AH82" s="143"/>
      <c r="AI82" s="143"/>
      <c r="AJ82" s="143"/>
      <c r="AK82" s="143"/>
      <c r="AL82" s="144"/>
      <c r="AN82" s="145"/>
      <c r="AO82" s="136"/>
      <c r="AP82" s="140"/>
      <c r="AQ82" s="140"/>
      <c r="AR82" s="140"/>
      <c r="AS82" s="140"/>
      <c r="AT82" s="140"/>
      <c r="AU82" s="140"/>
      <c r="AV82" s="115"/>
      <c r="AW82" s="140"/>
      <c r="AX82" s="140"/>
      <c r="AY82" s="140"/>
      <c r="AZ82" s="140"/>
      <c r="BA82" s="140"/>
      <c r="BB82" s="140"/>
    </row>
    <row r="83" spans="2:54">
      <c r="B83" s="147"/>
      <c r="C83" s="139"/>
      <c r="D83" s="140"/>
      <c r="E83" s="140"/>
      <c r="F83" s="140"/>
      <c r="G83" s="140"/>
      <c r="H83" s="141"/>
      <c r="I83" s="140"/>
      <c r="J83" s="140"/>
      <c r="K83" s="140"/>
      <c r="L83" s="140"/>
      <c r="M83" s="140"/>
      <c r="N83" s="140"/>
      <c r="O83" s="140"/>
      <c r="P83" s="140"/>
      <c r="Q83" s="142"/>
      <c r="R83" s="140"/>
      <c r="S83" s="140"/>
      <c r="T83" s="140"/>
      <c r="U83" s="140"/>
      <c r="V83" s="148"/>
      <c r="W83" s="148"/>
      <c r="X83" s="148"/>
      <c r="Y83" s="148"/>
      <c r="Z83" s="148"/>
      <c r="AA83" s="148"/>
      <c r="AB83" s="152"/>
      <c r="AC83" s="148"/>
      <c r="AD83" s="148"/>
      <c r="AE83" s="148"/>
      <c r="AF83" s="148"/>
      <c r="AG83" s="148"/>
      <c r="AH83" s="143"/>
      <c r="AI83" s="143"/>
      <c r="AJ83" s="143"/>
      <c r="AK83" s="143"/>
      <c r="AL83" s="144"/>
      <c r="AN83" s="145"/>
      <c r="AO83" s="136"/>
      <c r="AP83" s="146"/>
      <c r="AQ83" s="140"/>
      <c r="AR83" s="140"/>
      <c r="AS83" s="140"/>
      <c r="AT83" s="140"/>
      <c r="AU83" s="140"/>
      <c r="AV83" s="115"/>
      <c r="AW83" s="140"/>
      <c r="AX83" s="140"/>
      <c r="AY83" s="140"/>
      <c r="AZ83" s="140"/>
      <c r="BA83" s="140"/>
      <c r="BB83" s="140"/>
    </row>
    <row r="84" spans="2:54">
      <c r="B84" s="147"/>
      <c r="C84" s="139"/>
      <c r="D84" s="140"/>
      <c r="E84" s="140"/>
      <c r="F84" s="140"/>
      <c r="G84" s="140"/>
      <c r="H84" s="141"/>
      <c r="I84" s="140"/>
      <c r="J84" s="140"/>
      <c r="K84" s="140"/>
      <c r="L84" s="140"/>
      <c r="M84" s="140"/>
      <c r="N84" s="140"/>
      <c r="O84" s="140"/>
      <c r="P84" s="140"/>
      <c r="Q84" s="142"/>
      <c r="R84" s="140"/>
      <c r="S84" s="140"/>
      <c r="T84" s="140"/>
      <c r="U84" s="140"/>
      <c r="V84" s="140"/>
      <c r="W84" s="140"/>
      <c r="X84" s="140"/>
      <c r="Y84" s="140"/>
      <c r="Z84" s="140"/>
      <c r="AA84" s="140"/>
      <c r="AB84" s="140"/>
      <c r="AC84" s="140"/>
      <c r="AD84" s="140"/>
      <c r="AE84" s="140"/>
      <c r="AF84" s="140"/>
      <c r="AG84" s="140"/>
      <c r="AH84" s="143"/>
      <c r="AI84" s="143"/>
      <c r="AJ84" s="143"/>
      <c r="AK84" s="143"/>
      <c r="AL84" s="144"/>
      <c r="AN84" s="145"/>
      <c r="AO84" s="136"/>
      <c r="AP84" s="146"/>
      <c r="AQ84" s="140"/>
      <c r="AR84" s="140"/>
      <c r="AS84" s="140"/>
      <c r="AT84" s="140"/>
      <c r="AU84" s="140"/>
      <c r="AV84" s="115"/>
      <c r="AW84" s="140"/>
      <c r="AX84" s="140"/>
      <c r="AY84" s="140"/>
      <c r="AZ84" s="140"/>
      <c r="BA84" s="140"/>
      <c r="BB84" s="140"/>
    </row>
    <row r="85" spans="2:54">
      <c r="B85" s="147"/>
      <c r="C85" s="139"/>
      <c r="D85" s="140"/>
      <c r="E85" s="140"/>
      <c r="F85" s="140"/>
      <c r="G85" s="140"/>
      <c r="H85" s="141"/>
      <c r="I85" s="140"/>
      <c r="J85" s="140"/>
      <c r="K85" s="140"/>
      <c r="L85" s="140"/>
      <c r="M85" s="140"/>
      <c r="N85" s="140"/>
      <c r="O85" s="140"/>
      <c r="P85" s="140"/>
      <c r="Q85" s="142"/>
      <c r="R85" s="140"/>
      <c r="S85" s="140"/>
      <c r="T85" s="140"/>
      <c r="U85" s="140"/>
      <c r="V85" s="148"/>
      <c r="W85" s="148"/>
      <c r="X85" s="148"/>
      <c r="Y85" s="148"/>
      <c r="Z85" s="148"/>
      <c r="AA85" s="148"/>
      <c r="AB85" s="152"/>
      <c r="AC85" s="148"/>
      <c r="AD85" s="148"/>
      <c r="AE85" s="148"/>
      <c r="AF85" s="148"/>
      <c r="AG85" s="148"/>
      <c r="AH85" s="143"/>
      <c r="AI85" s="143"/>
      <c r="AJ85" s="143"/>
      <c r="AK85" s="143"/>
      <c r="AL85" s="144"/>
      <c r="AN85" s="145"/>
      <c r="AO85" s="136"/>
      <c r="AP85" s="146"/>
      <c r="AQ85" s="140"/>
      <c r="AR85" s="140"/>
      <c r="AS85" s="140"/>
      <c r="AT85" s="140"/>
      <c r="AU85" s="140"/>
      <c r="AV85" s="115"/>
      <c r="AW85" s="140"/>
      <c r="AX85" s="140"/>
      <c r="AY85" s="140"/>
      <c r="AZ85" s="140"/>
      <c r="BA85" s="140"/>
      <c r="BB85" s="140"/>
    </row>
    <row r="86" spans="2:54">
      <c r="B86" s="147"/>
      <c r="C86" s="139"/>
      <c r="D86" s="140"/>
      <c r="E86" s="140"/>
      <c r="F86" s="140"/>
      <c r="G86" s="140"/>
      <c r="H86" s="141"/>
      <c r="I86" s="140"/>
      <c r="J86" s="140"/>
      <c r="K86" s="140"/>
      <c r="L86" s="140"/>
      <c r="M86" s="140"/>
      <c r="N86" s="140"/>
      <c r="O86" s="140"/>
      <c r="P86" s="140"/>
      <c r="Q86" s="142"/>
      <c r="R86" s="140"/>
      <c r="S86" s="140"/>
      <c r="T86" s="140"/>
      <c r="U86" s="140"/>
      <c r="V86" s="148"/>
      <c r="W86" s="148"/>
      <c r="X86" s="148"/>
      <c r="Y86" s="148"/>
      <c r="Z86" s="148"/>
      <c r="AA86" s="148"/>
      <c r="AB86" s="152"/>
      <c r="AC86" s="148"/>
      <c r="AD86" s="148"/>
      <c r="AE86" s="148"/>
      <c r="AF86" s="148"/>
      <c r="AG86" s="148"/>
      <c r="AH86" s="143"/>
      <c r="AI86" s="143"/>
      <c r="AJ86" s="143"/>
      <c r="AK86" s="143"/>
      <c r="AL86" s="144"/>
      <c r="AN86" s="145"/>
      <c r="AO86" s="136"/>
      <c r="AP86" s="146"/>
      <c r="AQ86" s="140"/>
      <c r="AR86" s="140"/>
      <c r="AS86" s="140"/>
      <c r="AT86" s="140"/>
      <c r="AU86" s="140"/>
      <c r="AV86" s="115"/>
      <c r="AW86" s="140"/>
      <c r="AX86" s="140"/>
      <c r="AY86" s="140"/>
      <c r="AZ86" s="140"/>
      <c r="BA86" s="140"/>
      <c r="BB86" s="140"/>
    </row>
    <row r="87" spans="2:54">
      <c r="B87" s="147"/>
      <c r="C87" s="139"/>
      <c r="D87" s="140"/>
      <c r="E87" s="140"/>
      <c r="F87" s="140"/>
      <c r="G87" s="140"/>
      <c r="H87" s="141"/>
      <c r="I87" s="140"/>
      <c r="J87" s="140"/>
      <c r="K87" s="140"/>
      <c r="L87" s="140"/>
      <c r="M87" s="140"/>
      <c r="N87" s="140"/>
      <c r="O87" s="140"/>
      <c r="P87" s="140"/>
      <c r="Q87" s="142"/>
      <c r="R87" s="140"/>
      <c r="S87" s="140"/>
      <c r="T87" s="140"/>
      <c r="U87" s="140"/>
      <c r="V87" s="148"/>
      <c r="W87" s="148"/>
      <c r="X87" s="148"/>
      <c r="Y87" s="148"/>
      <c r="Z87" s="148"/>
      <c r="AA87" s="148"/>
      <c r="AB87" s="152"/>
      <c r="AC87" s="148"/>
      <c r="AD87" s="148"/>
      <c r="AE87" s="148"/>
      <c r="AF87" s="148"/>
      <c r="AG87" s="148"/>
      <c r="AH87" s="143"/>
      <c r="AI87" s="143"/>
      <c r="AJ87" s="143"/>
      <c r="AK87" s="143"/>
      <c r="AL87" s="144"/>
      <c r="AN87" s="145"/>
      <c r="AO87" s="136"/>
      <c r="AP87" s="146"/>
      <c r="AQ87" s="140"/>
      <c r="AR87" s="140"/>
      <c r="AS87" s="140"/>
      <c r="AT87" s="140"/>
      <c r="AU87" s="140"/>
      <c r="AV87" s="115"/>
      <c r="AW87" s="140"/>
      <c r="AX87" s="140"/>
      <c r="AY87" s="140"/>
      <c r="AZ87" s="140"/>
      <c r="BA87" s="140"/>
      <c r="BB87" s="140"/>
    </row>
    <row r="88" spans="2:54">
      <c r="B88" s="147"/>
      <c r="C88" s="139"/>
      <c r="D88" s="140"/>
      <c r="E88" s="140"/>
      <c r="F88" s="140"/>
      <c r="G88" s="140"/>
      <c r="H88" s="141"/>
      <c r="I88" s="140"/>
      <c r="J88" s="140"/>
      <c r="K88" s="140"/>
      <c r="L88" s="140"/>
      <c r="M88" s="140"/>
      <c r="N88" s="140"/>
      <c r="O88" s="140"/>
      <c r="P88" s="140"/>
      <c r="Q88" s="142"/>
      <c r="R88" s="140"/>
      <c r="S88" s="140"/>
      <c r="T88" s="140"/>
      <c r="U88" s="140"/>
      <c r="V88" s="140"/>
      <c r="W88" s="140"/>
      <c r="X88" s="140"/>
      <c r="Y88" s="140"/>
      <c r="Z88" s="140"/>
      <c r="AA88" s="140"/>
      <c r="AB88" s="140"/>
      <c r="AC88" s="140"/>
      <c r="AD88" s="140"/>
      <c r="AE88" s="140"/>
      <c r="AF88" s="140"/>
      <c r="AG88" s="140"/>
      <c r="AH88" s="143"/>
      <c r="AI88" s="143"/>
      <c r="AJ88" s="143"/>
      <c r="AK88" s="143"/>
      <c r="AL88" s="144"/>
      <c r="AN88" s="145"/>
      <c r="AO88" s="136"/>
      <c r="AP88" s="146"/>
      <c r="AQ88" s="140"/>
      <c r="AR88" s="140"/>
      <c r="AS88" s="140"/>
      <c r="AT88" s="140"/>
      <c r="AU88" s="140"/>
      <c r="AV88" s="115"/>
      <c r="AW88" s="140"/>
      <c r="AX88" s="140"/>
      <c r="AY88" s="140"/>
      <c r="AZ88" s="140"/>
      <c r="BA88" s="140"/>
      <c r="BB88" s="140"/>
    </row>
    <row r="89" spans="2:54">
      <c r="B89" s="147"/>
      <c r="C89" s="139"/>
      <c r="D89" s="140"/>
      <c r="E89" s="140"/>
      <c r="F89" s="140"/>
      <c r="G89" s="140"/>
      <c r="H89" s="141"/>
      <c r="I89" s="140"/>
      <c r="J89" s="140"/>
      <c r="K89" s="140"/>
      <c r="L89" s="140"/>
      <c r="M89" s="140"/>
      <c r="N89" s="140"/>
      <c r="O89" s="140"/>
      <c r="P89" s="140"/>
      <c r="Q89" s="142"/>
      <c r="R89" s="140"/>
      <c r="S89" s="140"/>
      <c r="T89" s="140"/>
      <c r="U89" s="140"/>
      <c r="V89" s="148"/>
      <c r="W89" s="148"/>
      <c r="X89" s="148"/>
      <c r="Y89" s="148"/>
      <c r="Z89" s="148"/>
      <c r="AA89" s="148"/>
      <c r="AB89" s="152"/>
      <c r="AC89" s="148"/>
      <c r="AD89" s="148"/>
      <c r="AE89" s="148"/>
      <c r="AF89" s="148"/>
      <c r="AG89" s="148"/>
      <c r="AH89" s="143"/>
      <c r="AI89" s="143"/>
      <c r="AJ89" s="143"/>
      <c r="AK89" s="143"/>
      <c r="AL89" s="144"/>
      <c r="AN89" s="145"/>
      <c r="AO89" s="136"/>
      <c r="AP89" s="146"/>
      <c r="AQ89" s="140"/>
      <c r="AR89" s="140"/>
      <c r="AS89" s="140"/>
      <c r="AT89" s="140"/>
      <c r="AU89" s="140"/>
      <c r="AV89" s="115"/>
      <c r="AW89" s="140"/>
      <c r="AX89" s="140"/>
      <c r="AY89" s="140"/>
      <c r="AZ89" s="140"/>
      <c r="BA89" s="140"/>
      <c r="BB89" s="140"/>
    </row>
    <row r="90" spans="2:54">
      <c r="B90" s="147"/>
      <c r="C90" s="139"/>
      <c r="D90" s="140"/>
      <c r="E90" s="140"/>
      <c r="F90" s="140"/>
      <c r="G90" s="140"/>
      <c r="H90" s="141"/>
      <c r="I90" s="140"/>
      <c r="J90" s="140"/>
      <c r="K90" s="140"/>
      <c r="L90" s="140"/>
      <c r="M90" s="140"/>
      <c r="N90" s="140"/>
      <c r="O90" s="140"/>
      <c r="P90" s="140"/>
      <c r="Q90" s="142"/>
      <c r="R90" s="140"/>
      <c r="S90" s="140"/>
      <c r="T90" s="140"/>
      <c r="U90" s="140"/>
      <c r="V90" s="148"/>
      <c r="W90" s="148"/>
      <c r="X90" s="148"/>
      <c r="Y90" s="148"/>
      <c r="Z90" s="148"/>
      <c r="AA90" s="148"/>
      <c r="AB90" s="152"/>
      <c r="AC90" s="148"/>
      <c r="AD90" s="148"/>
      <c r="AE90" s="148"/>
      <c r="AF90" s="148"/>
      <c r="AG90" s="148"/>
      <c r="AH90" s="143"/>
      <c r="AI90" s="143"/>
      <c r="AJ90" s="143"/>
      <c r="AK90" s="143"/>
      <c r="AL90" s="144"/>
      <c r="AN90" s="145"/>
      <c r="AO90" s="136"/>
      <c r="AP90" s="146"/>
      <c r="AQ90" s="140"/>
      <c r="AR90" s="140"/>
      <c r="AS90" s="140"/>
      <c r="AT90" s="140"/>
      <c r="AU90" s="140"/>
      <c r="AV90" s="115"/>
      <c r="AW90" s="140"/>
      <c r="AX90" s="140"/>
      <c r="AY90" s="140"/>
      <c r="AZ90" s="140"/>
      <c r="BA90" s="140"/>
      <c r="BB90" s="140"/>
    </row>
    <row r="91" spans="2:54">
      <c r="B91" s="147"/>
      <c r="C91" s="139"/>
      <c r="D91" s="140"/>
      <c r="E91" s="140"/>
      <c r="F91" s="140"/>
      <c r="G91" s="140"/>
      <c r="H91" s="141"/>
      <c r="I91" s="140"/>
      <c r="J91" s="140"/>
      <c r="K91" s="140"/>
      <c r="L91" s="197"/>
      <c r="M91" s="197"/>
      <c r="N91" s="197"/>
      <c r="O91" s="197"/>
      <c r="P91" s="197"/>
      <c r="Q91" s="142"/>
      <c r="R91" s="197"/>
      <c r="S91" s="140"/>
      <c r="T91" s="197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40"/>
      <c r="AG91" s="140"/>
      <c r="AH91" s="143"/>
      <c r="AI91" s="143"/>
      <c r="AJ91" s="143"/>
      <c r="AK91" s="143"/>
      <c r="AL91" s="144"/>
      <c r="AN91" s="145"/>
      <c r="AO91" s="136"/>
      <c r="AP91" s="146"/>
      <c r="AQ91" s="140"/>
      <c r="AR91" s="140"/>
      <c r="AS91" s="140"/>
      <c r="AT91" s="140"/>
      <c r="AU91" s="140"/>
      <c r="AV91" s="115"/>
      <c r="AW91" s="140"/>
      <c r="AX91" s="140"/>
      <c r="AY91" s="140"/>
      <c r="AZ91" s="140"/>
      <c r="BA91" s="140"/>
      <c r="BB91" s="140"/>
    </row>
    <row r="92" spans="2:54">
      <c r="B92" s="147"/>
      <c r="C92" s="139"/>
      <c r="D92" s="140"/>
      <c r="E92" s="140"/>
      <c r="F92" s="140"/>
      <c r="G92" s="140"/>
      <c r="H92" s="141"/>
      <c r="I92" s="140"/>
      <c r="J92" s="140"/>
      <c r="K92" s="140"/>
      <c r="L92" s="140"/>
      <c r="M92" s="140"/>
      <c r="N92" s="140"/>
      <c r="O92" s="140"/>
      <c r="P92" s="140"/>
      <c r="Q92" s="142"/>
      <c r="R92" s="140"/>
      <c r="S92" s="140"/>
      <c r="T92" s="140"/>
      <c r="U92" s="140"/>
      <c r="V92" s="148"/>
      <c r="W92" s="148"/>
      <c r="X92" s="148"/>
      <c r="Y92" s="148"/>
      <c r="Z92" s="148"/>
      <c r="AA92" s="148"/>
      <c r="AB92" s="152"/>
      <c r="AC92" s="148"/>
      <c r="AD92" s="148"/>
      <c r="AE92" s="148"/>
      <c r="AF92" s="148"/>
      <c r="AG92" s="148"/>
      <c r="AH92" s="143"/>
      <c r="AI92" s="143"/>
      <c r="AJ92" s="143"/>
      <c r="AK92" s="143"/>
      <c r="AL92" s="144"/>
      <c r="AN92" s="145"/>
      <c r="AO92" s="136"/>
      <c r="AP92" s="202"/>
      <c r="AQ92" s="193"/>
      <c r="AR92" s="193"/>
      <c r="AS92" s="193"/>
      <c r="AT92" s="193"/>
      <c r="AU92" s="193"/>
      <c r="AV92" s="200"/>
      <c r="AW92" s="193"/>
      <c r="AX92" s="193"/>
      <c r="AY92" s="193"/>
      <c r="AZ92" s="193"/>
      <c r="BA92" s="193"/>
      <c r="BB92" s="193"/>
    </row>
    <row r="93" spans="2:54">
      <c r="B93" s="147"/>
      <c r="C93" s="139"/>
      <c r="D93" s="140"/>
      <c r="E93" s="140"/>
      <c r="F93" s="140"/>
      <c r="G93" s="140"/>
      <c r="H93" s="141"/>
      <c r="I93" s="140"/>
      <c r="J93" s="140"/>
      <c r="K93" s="140"/>
      <c r="L93" s="140"/>
      <c r="M93" s="140"/>
      <c r="N93" s="140"/>
      <c r="O93" s="140"/>
      <c r="P93" s="140"/>
      <c r="Q93" s="142"/>
      <c r="R93" s="140"/>
      <c r="S93" s="140"/>
      <c r="T93" s="140"/>
      <c r="U93" s="140"/>
      <c r="V93" s="148"/>
      <c r="W93" s="148"/>
      <c r="X93" s="148"/>
      <c r="Y93" s="148"/>
      <c r="Z93" s="148"/>
      <c r="AA93" s="148"/>
      <c r="AB93" s="152"/>
      <c r="AC93" s="148"/>
      <c r="AD93" s="148"/>
      <c r="AE93" s="148"/>
      <c r="AF93" s="148"/>
      <c r="AG93" s="148"/>
      <c r="AH93" s="143"/>
      <c r="AI93" s="143"/>
      <c r="AJ93" s="143"/>
      <c r="AK93" s="143"/>
      <c r="AL93" s="144"/>
      <c r="AN93" s="145"/>
      <c r="AO93" s="136"/>
      <c r="AP93" s="146"/>
      <c r="AQ93" s="140"/>
      <c r="AR93" s="140"/>
      <c r="AS93" s="140"/>
      <c r="AT93" s="140"/>
      <c r="AU93" s="140"/>
      <c r="AV93" s="115"/>
      <c r="AW93" s="140"/>
      <c r="AX93" s="140"/>
      <c r="AY93" s="140"/>
      <c r="AZ93" s="140"/>
      <c r="BA93" s="140"/>
      <c r="BB93" s="140"/>
    </row>
    <row r="94" spans="2:54">
      <c r="B94" s="147"/>
      <c r="C94" s="139"/>
      <c r="D94" s="140"/>
      <c r="E94" s="140"/>
      <c r="F94" s="140"/>
      <c r="G94" s="140"/>
      <c r="H94" s="141"/>
      <c r="I94" s="140"/>
      <c r="J94" s="140"/>
      <c r="K94" s="140"/>
      <c r="L94" s="140"/>
      <c r="M94" s="140"/>
      <c r="N94" s="140"/>
      <c r="O94" s="140"/>
      <c r="P94" s="140"/>
      <c r="Q94" s="142"/>
      <c r="R94" s="150"/>
      <c r="S94" s="140"/>
      <c r="T94" s="140"/>
      <c r="U94" s="140"/>
      <c r="V94" s="148"/>
      <c r="W94" s="148"/>
      <c r="X94" s="148"/>
      <c r="Y94" s="148"/>
      <c r="Z94" s="148"/>
      <c r="AA94" s="148"/>
      <c r="AB94" s="152"/>
      <c r="AC94" s="148"/>
      <c r="AD94" s="148"/>
      <c r="AE94" s="148"/>
      <c r="AF94" s="148"/>
      <c r="AG94" s="148"/>
      <c r="AH94" s="143"/>
      <c r="AI94" s="143"/>
      <c r="AJ94" s="143"/>
      <c r="AK94" s="143"/>
      <c r="AL94" s="144"/>
      <c r="AN94" s="145"/>
      <c r="AO94" s="136"/>
      <c r="AP94" s="146"/>
      <c r="AQ94" s="140"/>
      <c r="AR94" s="140"/>
      <c r="AS94" s="140"/>
      <c r="AT94" s="140"/>
      <c r="AU94" s="140"/>
      <c r="AV94" s="115"/>
      <c r="AW94" s="140"/>
      <c r="AX94" s="140"/>
      <c r="AY94" s="140"/>
      <c r="AZ94" s="140"/>
      <c r="BA94" s="140"/>
      <c r="BB94" s="140"/>
    </row>
    <row r="95" spans="2:54">
      <c r="B95" s="147"/>
      <c r="C95" s="139"/>
      <c r="D95" s="140"/>
      <c r="E95" s="140"/>
      <c r="F95" s="140"/>
      <c r="G95" s="140"/>
      <c r="H95" s="141"/>
      <c r="I95" s="140"/>
      <c r="J95" s="140"/>
      <c r="K95" s="140"/>
      <c r="L95" s="140"/>
      <c r="M95" s="140"/>
      <c r="N95" s="140"/>
      <c r="O95" s="140"/>
      <c r="P95" s="140"/>
      <c r="Q95" s="142"/>
      <c r="R95" s="150"/>
      <c r="S95" s="150"/>
      <c r="T95" s="150"/>
      <c r="U95" s="140"/>
      <c r="V95" s="148"/>
      <c r="W95" s="148"/>
      <c r="X95" s="148"/>
      <c r="Y95" s="148"/>
      <c r="Z95" s="148"/>
      <c r="AA95" s="148"/>
      <c r="AB95" s="152"/>
      <c r="AC95" s="148"/>
      <c r="AD95" s="148"/>
      <c r="AE95" s="148"/>
      <c r="AF95" s="148"/>
      <c r="AG95" s="148"/>
      <c r="AH95" s="143"/>
      <c r="AI95" s="143"/>
      <c r="AJ95" s="143"/>
      <c r="AK95" s="143"/>
      <c r="AL95" s="144"/>
      <c r="AN95" s="145"/>
      <c r="AO95" s="136"/>
      <c r="AP95" s="146"/>
      <c r="AQ95" s="140"/>
      <c r="AR95" s="140"/>
      <c r="AS95" s="140"/>
      <c r="AT95" s="140"/>
      <c r="AU95" s="140"/>
      <c r="AV95" s="115"/>
      <c r="AW95" s="140"/>
      <c r="AX95" s="140"/>
      <c r="AY95" s="140"/>
      <c r="AZ95" s="140"/>
      <c r="BA95" s="140"/>
      <c r="BB95" s="140"/>
    </row>
    <row r="96" spans="2:54">
      <c r="B96" s="147"/>
      <c r="C96" s="139"/>
      <c r="D96" s="140"/>
      <c r="E96" s="140"/>
      <c r="F96" s="140"/>
      <c r="G96" s="140"/>
      <c r="H96" s="141"/>
      <c r="I96" s="140"/>
      <c r="J96" s="140"/>
      <c r="K96" s="140"/>
      <c r="L96" s="140"/>
      <c r="M96" s="140"/>
      <c r="N96" s="140"/>
      <c r="O96" s="140"/>
      <c r="P96" s="140"/>
      <c r="Q96" s="142"/>
      <c r="R96" s="140"/>
      <c r="S96" s="140"/>
      <c r="T96" s="140"/>
      <c r="U96" s="140"/>
      <c r="V96" s="148"/>
      <c r="W96" s="148"/>
      <c r="X96" s="148"/>
      <c r="Y96" s="148"/>
      <c r="Z96" s="148"/>
      <c r="AA96" s="148"/>
      <c r="AB96" s="152"/>
      <c r="AC96" s="148"/>
      <c r="AD96" s="148"/>
      <c r="AE96" s="148"/>
      <c r="AF96" s="148"/>
      <c r="AG96" s="148"/>
      <c r="AH96" s="143"/>
      <c r="AI96" s="143"/>
      <c r="AJ96" s="143"/>
      <c r="AK96" s="143"/>
      <c r="AL96" s="144"/>
      <c r="AN96" s="145"/>
      <c r="AO96" s="136"/>
      <c r="AP96" s="146"/>
      <c r="AQ96" s="140"/>
      <c r="AR96" s="140"/>
      <c r="AS96" s="140"/>
      <c r="AT96" s="140"/>
      <c r="AU96" s="140"/>
      <c r="AV96" s="115"/>
      <c r="AW96" s="140"/>
      <c r="AX96" s="140"/>
      <c r="AY96" s="140"/>
      <c r="AZ96" s="140"/>
      <c r="BA96" s="140"/>
      <c r="BB96" s="140"/>
    </row>
    <row r="97" spans="2:54">
      <c r="B97" s="147"/>
      <c r="C97" s="139"/>
      <c r="D97" s="140"/>
      <c r="E97" s="140"/>
      <c r="F97" s="140"/>
      <c r="G97" s="140"/>
      <c r="H97" s="141"/>
      <c r="I97" s="140"/>
      <c r="J97" s="140"/>
      <c r="K97" s="140"/>
      <c r="L97" s="140"/>
      <c r="M97" s="140"/>
      <c r="N97" s="140"/>
      <c r="O97" s="140"/>
      <c r="P97" s="197"/>
      <c r="Q97" s="198"/>
      <c r="R97" s="197"/>
      <c r="S97" s="197"/>
      <c r="T97" s="197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40"/>
      <c r="AG97" s="140"/>
      <c r="AH97" s="143"/>
      <c r="AI97" s="143"/>
      <c r="AJ97" s="143"/>
      <c r="AK97" s="143"/>
      <c r="AL97" s="144"/>
      <c r="AN97" s="145"/>
      <c r="AO97" s="136"/>
      <c r="AP97" s="146"/>
      <c r="AQ97" s="140"/>
      <c r="AR97" s="140"/>
      <c r="AS97" s="140"/>
      <c r="AT97" s="140"/>
      <c r="AU97" s="140"/>
      <c r="AV97" s="115"/>
      <c r="AW97" s="140"/>
      <c r="AX97" s="140"/>
      <c r="AY97" s="140"/>
      <c r="AZ97" s="140"/>
      <c r="BA97" s="140"/>
      <c r="BB97" s="140"/>
    </row>
    <row r="98" spans="2:54">
      <c r="B98" s="147"/>
      <c r="C98" s="139"/>
      <c r="D98" s="140"/>
      <c r="E98" s="140"/>
      <c r="F98" s="140"/>
      <c r="G98" s="140"/>
      <c r="H98" s="141"/>
      <c r="I98" s="140"/>
      <c r="J98" s="140"/>
      <c r="K98" s="140"/>
      <c r="L98" s="140"/>
      <c r="M98" s="140"/>
      <c r="N98" s="140"/>
      <c r="O98" s="140"/>
      <c r="P98" s="140"/>
      <c r="Q98" s="142"/>
      <c r="R98" s="140"/>
      <c r="S98" s="140"/>
      <c r="T98" s="140"/>
      <c r="U98" s="140"/>
      <c r="V98" s="148"/>
      <c r="W98" s="148"/>
      <c r="X98" s="148"/>
      <c r="Y98" s="148"/>
      <c r="Z98" s="148"/>
      <c r="AA98" s="148"/>
      <c r="AB98" s="152"/>
      <c r="AC98" s="148"/>
      <c r="AD98" s="148"/>
      <c r="AE98" s="148"/>
      <c r="AF98" s="148"/>
      <c r="AG98" s="148"/>
      <c r="AH98" s="143"/>
      <c r="AI98" s="143"/>
      <c r="AJ98" s="143"/>
      <c r="AK98" s="143"/>
      <c r="AL98" s="144"/>
      <c r="AN98" s="145"/>
      <c r="AO98" s="136"/>
      <c r="AP98" s="146"/>
      <c r="AQ98" s="140"/>
      <c r="AR98" s="140"/>
      <c r="AS98" s="140"/>
      <c r="AT98" s="140"/>
      <c r="AU98" s="140"/>
      <c r="AV98" s="115"/>
      <c r="AW98" s="140"/>
      <c r="AX98" s="140"/>
      <c r="AY98" s="140"/>
      <c r="AZ98" s="140"/>
      <c r="BA98" s="140"/>
      <c r="BB98" s="140"/>
    </row>
    <row r="99" spans="2:54">
      <c r="B99" s="147"/>
      <c r="C99" s="139"/>
      <c r="D99" s="140"/>
      <c r="E99" s="140"/>
      <c r="F99" s="140"/>
      <c r="G99" s="140"/>
      <c r="H99" s="141"/>
      <c r="I99" s="140"/>
      <c r="J99" s="140"/>
      <c r="K99" s="140"/>
      <c r="L99" s="140"/>
      <c r="M99" s="140"/>
      <c r="N99" s="140"/>
      <c r="O99" s="140"/>
      <c r="P99" s="140"/>
      <c r="Q99" s="142"/>
      <c r="R99" s="140"/>
      <c r="S99" s="140"/>
      <c r="T99" s="140"/>
      <c r="U99" s="140"/>
      <c r="V99" s="148"/>
      <c r="W99" s="148"/>
      <c r="X99" s="148"/>
      <c r="Y99" s="148"/>
      <c r="Z99" s="148"/>
      <c r="AA99" s="148"/>
      <c r="AB99" s="152"/>
      <c r="AC99" s="148"/>
      <c r="AD99" s="148"/>
      <c r="AE99" s="148"/>
      <c r="AF99" s="148"/>
      <c r="AG99" s="148"/>
      <c r="AH99" s="143"/>
      <c r="AI99" s="143"/>
      <c r="AJ99" s="143"/>
      <c r="AK99" s="143"/>
      <c r="AL99" s="144"/>
      <c r="AN99" s="145"/>
      <c r="AO99" s="136"/>
      <c r="AP99" s="146"/>
      <c r="AQ99" s="140"/>
      <c r="AR99" s="140"/>
      <c r="AS99" s="140"/>
      <c r="AT99" s="140"/>
      <c r="AU99" s="140"/>
      <c r="AV99" s="115"/>
      <c r="AW99" s="140"/>
      <c r="AX99" s="140"/>
      <c r="AY99" s="140"/>
      <c r="AZ99" s="140"/>
      <c r="BA99" s="140"/>
      <c r="BB99" s="140"/>
    </row>
    <row r="100" spans="2:54">
      <c r="B100" s="147"/>
      <c r="C100" s="139"/>
      <c r="D100" s="140"/>
      <c r="E100" s="140"/>
      <c r="F100" s="140"/>
      <c r="G100" s="140"/>
      <c r="H100" s="141"/>
      <c r="I100" s="140"/>
      <c r="J100" s="140"/>
      <c r="K100" s="140"/>
      <c r="L100" s="140"/>
      <c r="M100" s="140"/>
      <c r="N100" s="140"/>
      <c r="O100" s="140"/>
      <c r="P100" s="197"/>
      <c r="Q100" s="198"/>
      <c r="R100" s="197"/>
      <c r="S100" s="197"/>
      <c r="T100" s="197"/>
      <c r="U100" s="140"/>
      <c r="V100" s="148"/>
      <c r="W100" s="148"/>
      <c r="X100" s="148"/>
      <c r="Y100" s="148"/>
      <c r="Z100" s="148"/>
      <c r="AA100" s="148"/>
      <c r="AB100" s="152"/>
      <c r="AC100" s="148"/>
      <c r="AD100" s="148"/>
      <c r="AE100" s="148"/>
      <c r="AF100" s="148"/>
      <c r="AG100" s="148"/>
      <c r="AH100" s="143"/>
      <c r="AI100" s="143"/>
      <c r="AJ100" s="143"/>
      <c r="AK100" s="143"/>
      <c r="AL100" s="144"/>
      <c r="AN100" s="145"/>
      <c r="AO100" s="136"/>
      <c r="AP100" s="146"/>
      <c r="AQ100" s="140"/>
      <c r="AR100" s="140"/>
      <c r="AS100" s="140"/>
      <c r="AT100" s="140"/>
      <c r="AU100" s="140"/>
      <c r="AV100" s="115"/>
      <c r="AW100" s="140"/>
      <c r="AX100" s="140"/>
      <c r="AY100" s="140"/>
      <c r="AZ100" s="140"/>
      <c r="BA100" s="140"/>
      <c r="BB100" s="140"/>
    </row>
    <row r="101" spans="2:54">
      <c r="B101" s="147"/>
      <c r="C101" s="139"/>
      <c r="D101" s="140"/>
      <c r="E101" s="140"/>
      <c r="F101" s="140"/>
      <c r="G101" s="140"/>
      <c r="H101" s="141"/>
      <c r="I101" s="140"/>
      <c r="J101" s="140"/>
      <c r="K101" s="140"/>
      <c r="L101" s="140"/>
      <c r="M101" s="140"/>
      <c r="N101" s="140"/>
      <c r="O101" s="140"/>
      <c r="P101" s="197"/>
      <c r="Q101" s="198"/>
      <c r="R101" s="197"/>
      <c r="S101" s="197"/>
      <c r="T101" s="197"/>
      <c r="U101" s="140"/>
      <c r="V101" s="148"/>
      <c r="W101" s="148"/>
      <c r="X101" s="148"/>
      <c r="Y101" s="148"/>
      <c r="Z101" s="148"/>
      <c r="AA101" s="148"/>
      <c r="AB101" s="152"/>
      <c r="AC101" s="148"/>
      <c r="AD101" s="148"/>
      <c r="AE101" s="148"/>
      <c r="AF101" s="148"/>
      <c r="AG101" s="148"/>
      <c r="AH101" s="143"/>
      <c r="AI101" s="143"/>
      <c r="AJ101" s="143"/>
      <c r="AK101" s="143"/>
      <c r="AL101" s="144"/>
      <c r="AN101" s="145"/>
      <c r="AO101" s="136"/>
      <c r="AP101" s="146"/>
      <c r="AQ101" s="140"/>
      <c r="AR101" s="140"/>
      <c r="AS101" s="140"/>
      <c r="AT101" s="140"/>
      <c r="AU101" s="140"/>
      <c r="AV101" s="115"/>
      <c r="AW101" s="140"/>
      <c r="AX101" s="140"/>
      <c r="AY101" s="140"/>
      <c r="AZ101" s="140"/>
      <c r="BA101" s="140"/>
      <c r="BB101" s="140"/>
    </row>
    <row r="102" spans="2:54">
      <c r="B102" s="147"/>
      <c r="C102" s="139"/>
      <c r="D102" s="140"/>
      <c r="E102" s="140"/>
      <c r="F102" s="140"/>
      <c r="G102" s="140"/>
      <c r="H102" s="141"/>
      <c r="I102" s="140"/>
      <c r="J102" s="140"/>
      <c r="K102" s="140"/>
      <c r="L102" s="140"/>
      <c r="M102" s="140"/>
      <c r="N102" s="140"/>
      <c r="O102" s="140"/>
      <c r="P102" s="197"/>
      <c r="Q102" s="198"/>
      <c r="R102" s="197"/>
      <c r="S102" s="197"/>
      <c r="T102" s="197"/>
      <c r="U102" s="140"/>
      <c r="V102" s="140"/>
      <c r="W102" s="140"/>
      <c r="X102" s="140"/>
      <c r="Y102" s="140"/>
      <c r="Z102" s="140"/>
      <c r="AA102" s="140"/>
      <c r="AB102" s="140"/>
      <c r="AC102" s="140"/>
      <c r="AD102" s="140"/>
      <c r="AE102" s="140"/>
      <c r="AF102" s="140"/>
      <c r="AG102" s="140"/>
      <c r="AH102" s="143"/>
      <c r="AI102" s="143"/>
      <c r="AJ102" s="143"/>
      <c r="AK102" s="143"/>
      <c r="AL102" s="144"/>
      <c r="AN102" s="145"/>
      <c r="AO102" s="136"/>
      <c r="AP102" s="140"/>
      <c r="AQ102" s="140"/>
      <c r="AR102" s="140"/>
      <c r="AS102" s="140"/>
      <c r="AT102" s="140"/>
      <c r="AU102" s="140"/>
      <c r="AV102" s="115"/>
      <c r="AW102" s="140"/>
      <c r="AX102" s="140"/>
      <c r="AY102" s="140"/>
      <c r="AZ102" s="140"/>
      <c r="BA102" s="140"/>
      <c r="BB102" s="140"/>
    </row>
    <row r="103" spans="2:54">
      <c r="B103" s="147"/>
      <c r="C103" s="139"/>
      <c r="D103" s="140"/>
      <c r="E103" s="140"/>
      <c r="F103" s="140"/>
      <c r="G103" s="140"/>
      <c r="H103" s="141"/>
      <c r="I103" s="140"/>
      <c r="J103" s="140"/>
      <c r="K103" s="140"/>
      <c r="L103" s="140"/>
      <c r="M103" s="140"/>
      <c r="N103" s="140"/>
      <c r="O103" s="140"/>
      <c r="P103" s="197"/>
      <c r="Q103" s="198"/>
      <c r="R103" s="197"/>
      <c r="S103" s="197"/>
      <c r="T103" s="197"/>
      <c r="U103" s="140"/>
      <c r="V103" s="148"/>
      <c r="W103" s="148"/>
      <c r="X103" s="148"/>
      <c r="Y103" s="148"/>
      <c r="Z103" s="148"/>
      <c r="AA103" s="148"/>
      <c r="AB103" s="148"/>
      <c r="AC103" s="148"/>
      <c r="AD103" s="148"/>
      <c r="AE103" s="148"/>
      <c r="AF103" s="148"/>
      <c r="AG103" s="148"/>
      <c r="AH103" s="143"/>
      <c r="AI103" s="143"/>
      <c r="AJ103" s="143"/>
      <c r="AK103" s="143"/>
      <c r="AL103" s="144"/>
      <c r="AN103" s="145"/>
      <c r="AO103" s="136"/>
      <c r="AP103" s="146"/>
      <c r="AQ103" s="140"/>
      <c r="AR103" s="140"/>
      <c r="AS103" s="140"/>
      <c r="AT103" s="140"/>
      <c r="AU103" s="140"/>
      <c r="AV103" s="160"/>
      <c r="AW103" s="140"/>
      <c r="AX103" s="140"/>
      <c r="AY103" s="140"/>
      <c r="AZ103" s="140"/>
      <c r="BA103" s="140"/>
      <c r="BB103" s="140"/>
    </row>
    <row r="104" spans="2:54">
      <c r="B104" s="147"/>
      <c r="C104" s="139"/>
      <c r="D104" s="140"/>
      <c r="E104" s="140"/>
      <c r="F104" s="140"/>
      <c r="G104" s="140"/>
      <c r="H104" s="141"/>
      <c r="I104" s="140"/>
      <c r="J104" s="140"/>
      <c r="K104" s="140"/>
      <c r="L104" s="140"/>
      <c r="M104" s="140"/>
      <c r="N104" s="140"/>
      <c r="O104" s="140"/>
      <c r="P104" s="197"/>
      <c r="Q104" s="198"/>
      <c r="R104" s="197"/>
      <c r="S104" s="197"/>
      <c r="T104" s="197"/>
      <c r="U104" s="140"/>
      <c r="V104" s="148"/>
      <c r="W104" s="148"/>
      <c r="X104" s="148"/>
      <c r="Y104" s="148"/>
      <c r="Z104" s="148"/>
      <c r="AA104" s="148"/>
      <c r="AB104" s="148"/>
      <c r="AC104" s="148"/>
      <c r="AD104" s="148"/>
      <c r="AE104" s="148"/>
      <c r="AF104" s="148"/>
      <c r="AG104" s="148"/>
      <c r="AH104" s="143"/>
      <c r="AI104" s="143"/>
      <c r="AJ104" s="143"/>
      <c r="AK104" s="143"/>
      <c r="AL104" s="144"/>
      <c r="AN104" s="145"/>
      <c r="AO104" s="136"/>
      <c r="AP104" s="146"/>
      <c r="AQ104" s="140"/>
      <c r="AR104" s="140"/>
      <c r="AS104" s="140"/>
      <c r="AT104" s="140"/>
      <c r="AU104" s="140"/>
      <c r="AV104" s="160"/>
      <c r="AW104" s="140"/>
      <c r="AX104" s="140"/>
      <c r="AY104" s="140"/>
      <c r="AZ104" s="140"/>
      <c r="BA104" s="140"/>
      <c r="BB104" s="140"/>
    </row>
    <row r="105" spans="2:54">
      <c r="B105" s="147"/>
      <c r="C105" s="139"/>
      <c r="D105" s="140"/>
      <c r="E105" s="140"/>
      <c r="F105" s="140"/>
      <c r="G105" s="140"/>
      <c r="H105" s="141"/>
      <c r="I105" s="140"/>
      <c r="J105" s="140"/>
      <c r="K105" s="140"/>
      <c r="L105" s="197"/>
      <c r="M105" s="197"/>
      <c r="N105" s="197"/>
      <c r="O105" s="197"/>
      <c r="P105" s="197"/>
      <c r="Q105" s="198"/>
      <c r="R105" s="197"/>
      <c r="S105" s="197"/>
      <c r="T105" s="197"/>
      <c r="U105" s="140"/>
      <c r="V105" s="148"/>
      <c r="W105" s="148"/>
      <c r="X105" s="148"/>
      <c r="Y105" s="148"/>
      <c r="Z105" s="148"/>
      <c r="AA105" s="148"/>
      <c r="AB105" s="152"/>
      <c r="AC105" s="148"/>
      <c r="AD105" s="148"/>
      <c r="AE105" s="148"/>
      <c r="AF105" s="148"/>
      <c r="AG105" s="148"/>
      <c r="AH105" s="143"/>
      <c r="AI105" s="143"/>
      <c r="AJ105" s="143"/>
      <c r="AK105" s="143"/>
      <c r="AL105" s="144"/>
      <c r="AN105" s="145"/>
      <c r="AO105" s="136"/>
      <c r="AP105" s="146"/>
      <c r="AQ105" s="140"/>
      <c r="AR105" s="140"/>
      <c r="AS105" s="140"/>
      <c r="AT105" s="140"/>
      <c r="AU105" s="140"/>
      <c r="AV105" s="115"/>
      <c r="AW105" s="140"/>
      <c r="AX105" s="140"/>
      <c r="AY105" s="140"/>
      <c r="AZ105" s="140"/>
      <c r="BA105" s="140"/>
      <c r="BB105" s="140"/>
    </row>
    <row r="106" spans="2:54">
      <c r="B106" s="147"/>
      <c r="C106" s="139"/>
      <c r="D106" s="140"/>
      <c r="E106" s="140"/>
      <c r="F106" s="140"/>
      <c r="G106" s="140"/>
      <c r="H106" s="141"/>
      <c r="I106" s="140"/>
      <c r="J106" s="140"/>
      <c r="K106" s="140"/>
      <c r="L106" s="197"/>
      <c r="M106" s="197"/>
      <c r="N106" s="197"/>
      <c r="O106" s="197"/>
      <c r="P106" s="197"/>
      <c r="Q106" s="142"/>
      <c r="R106" s="197"/>
      <c r="S106" s="140"/>
      <c r="T106" s="197"/>
      <c r="U106" s="140"/>
      <c r="V106" s="140"/>
      <c r="W106" s="140"/>
      <c r="X106" s="140"/>
      <c r="Y106" s="140"/>
      <c r="Z106" s="140"/>
      <c r="AA106" s="140"/>
      <c r="AB106" s="140"/>
      <c r="AC106" s="140"/>
      <c r="AD106" s="140"/>
      <c r="AE106" s="140"/>
      <c r="AF106" s="140"/>
      <c r="AG106" s="140"/>
      <c r="AH106" s="143"/>
      <c r="AI106" s="143"/>
      <c r="AJ106" s="143"/>
      <c r="AK106" s="143"/>
      <c r="AL106" s="144"/>
      <c r="AN106" s="145"/>
      <c r="AO106" s="136"/>
      <c r="AP106" s="146"/>
      <c r="AQ106" s="140"/>
      <c r="AR106" s="140"/>
      <c r="AS106" s="140"/>
      <c r="AT106" s="140"/>
      <c r="AU106" s="140"/>
      <c r="AV106" s="115"/>
      <c r="AW106" s="140"/>
      <c r="AX106" s="140"/>
      <c r="AY106" s="140"/>
      <c r="AZ106" s="140"/>
      <c r="BA106" s="140"/>
      <c r="BB106" s="140"/>
    </row>
    <row r="107" spans="2:54">
      <c r="B107" s="147"/>
      <c r="C107" s="139"/>
      <c r="D107" s="140"/>
      <c r="E107" s="140"/>
      <c r="F107" s="140"/>
      <c r="G107" s="140"/>
      <c r="H107" s="141"/>
      <c r="I107" s="140"/>
      <c r="J107" s="140"/>
      <c r="K107" s="140"/>
      <c r="L107" s="197"/>
      <c r="M107" s="197"/>
      <c r="N107" s="197"/>
      <c r="O107" s="197"/>
      <c r="P107" s="197"/>
      <c r="Q107" s="198"/>
      <c r="R107" s="197"/>
      <c r="S107" s="197"/>
      <c r="T107" s="197"/>
      <c r="U107" s="140"/>
      <c r="V107" s="140"/>
      <c r="W107" s="140"/>
      <c r="X107" s="140"/>
      <c r="Y107" s="140"/>
      <c r="Z107" s="140"/>
      <c r="AA107" s="140"/>
      <c r="AB107" s="140"/>
      <c r="AC107" s="140"/>
      <c r="AD107" s="140"/>
      <c r="AE107" s="140"/>
      <c r="AF107" s="140"/>
      <c r="AG107" s="140"/>
      <c r="AH107" s="143"/>
      <c r="AI107" s="143"/>
      <c r="AJ107" s="143"/>
      <c r="AK107" s="143"/>
      <c r="AL107" s="144"/>
      <c r="AN107" s="145"/>
      <c r="AO107" s="136"/>
      <c r="AP107" s="146"/>
      <c r="AQ107" s="140"/>
      <c r="AR107" s="140"/>
      <c r="AS107" s="140"/>
      <c r="AT107" s="140"/>
      <c r="AU107" s="140"/>
      <c r="AV107" s="160"/>
      <c r="AW107" s="140"/>
      <c r="AX107" s="140"/>
      <c r="AY107" s="140"/>
      <c r="AZ107" s="140"/>
      <c r="BA107" s="140"/>
      <c r="BB107" s="140"/>
    </row>
    <row r="108" spans="2:54">
      <c r="B108" s="147"/>
      <c r="C108" s="139"/>
      <c r="D108" s="140"/>
      <c r="E108" s="140"/>
      <c r="F108" s="140"/>
      <c r="G108" s="140"/>
      <c r="H108" s="141"/>
      <c r="I108" s="140"/>
      <c r="J108" s="140"/>
      <c r="K108" s="140"/>
      <c r="L108" s="140"/>
      <c r="M108" s="140"/>
      <c r="N108" s="140"/>
      <c r="O108" s="140"/>
      <c r="P108" s="197"/>
      <c r="Q108" s="198"/>
      <c r="R108" s="197"/>
      <c r="S108" s="197"/>
      <c r="T108" s="197"/>
      <c r="U108" s="140"/>
      <c r="V108" s="140"/>
      <c r="W108" s="140"/>
      <c r="X108" s="140"/>
      <c r="Y108" s="140"/>
      <c r="Z108" s="140"/>
      <c r="AA108" s="140"/>
      <c r="AB108" s="140"/>
      <c r="AC108" s="140"/>
      <c r="AD108" s="140"/>
      <c r="AE108" s="140"/>
      <c r="AF108" s="140"/>
      <c r="AG108" s="140"/>
      <c r="AH108" s="143"/>
      <c r="AI108" s="143"/>
      <c r="AJ108" s="143"/>
      <c r="AK108" s="143"/>
      <c r="AL108" s="144"/>
      <c r="AN108" s="145"/>
      <c r="AO108" s="136"/>
      <c r="AP108" s="146"/>
      <c r="AQ108" s="140"/>
      <c r="AR108" s="140"/>
      <c r="AS108" s="140"/>
      <c r="AT108" s="140"/>
      <c r="AU108" s="140"/>
      <c r="AV108" s="160"/>
      <c r="AW108" s="140"/>
      <c r="AX108" s="140"/>
      <c r="AY108" s="140"/>
      <c r="AZ108" s="140"/>
      <c r="BA108" s="140"/>
      <c r="BB108" s="140"/>
    </row>
    <row r="109" spans="2:54">
      <c r="B109" s="147"/>
      <c r="C109" s="139"/>
      <c r="D109" s="140"/>
      <c r="E109" s="140"/>
      <c r="F109" s="140"/>
      <c r="G109" s="140"/>
      <c r="H109" s="141"/>
      <c r="I109" s="140"/>
      <c r="J109" s="140"/>
      <c r="K109" s="140"/>
      <c r="L109" s="140"/>
      <c r="M109" s="140"/>
      <c r="N109" s="140"/>
      <c r="O109" s="140"/>
      <c r="P109" s="197"/>
      <c r="Q109" s="198"/>
      <c r="R109" s="197"/>
      <c r="S109" s="197"/>
      <c r="T109" s="197"/>
      <c r="U109" s="140"/>
      <c r="V109" s="140"/>
      <c r="W109" s="140"/>
      <c r="X109" s="140"/>
      <c r="Y109" s="140"/>
      <c r="Z109" s="140"/>
      <c r="AA109" s="140"/>
      <c r="AB109" s="140"/>
      <c r="AC109" s="140"/>
      <c r="AD109" s="140"/>
      <c r="AE109" s="140"/>
      <c r="AF109" s="140"/>
      <c r="AG109" s="140"/>
      <c r="AH109" s="143"/>
      <c r="AI109" s="143"/>
      <c r="AJ109" s="143"/>
      <c r="AK109" s="143"/>
      <c r="AL109" s="144"/>
      <c r="AN109" s="145"/>
      <c r="AO109" s="136"/>
      <c r="AP109" s="146"/>
      <c r="AQ109" s="140"/>
      <c r="AR109" s="140"/>
      <c r="AS109" s="140"/>
      <c r="AT109" s="140"/>
      <c r="AU109" s="140"/>
      <c r="AV109" s="115"/>
      <c r="AW109" s="140"/>
      <c r="AX109" s="140"/>
      <c r="AY109" s="140"/>
      <c r="AZ109" s="140"/>
      <c r="BA109" s="140"/>
      <c r="BB109" s="140"/>
    </row>
    <row r="110" spans="2:54">
      <c r="B110" s="147"/>
      <c r="C110" s="139"/>
      <c r="D110" s="140"/>
      <c r="E110" s="140"/>
      <c r="F110" s="140"/>
      <c r="G110" s="140"/>
      <c r="H110" s="141"/>
      <c r="I110" s="140"/>
      <c r="J110" s="140"/>
      <c r="K110" s="140"/>
      <c r="L110" s="197"/>
      <c r="M110" s="197"/>
      <c r="N110" s="197"/>
      <c r="O110" s="197"/>
      <c r="P110" s="197"/>
      <c r="Q110" s="142"/>
      <c r="R110" s="197"/>
      <c r="S110" s="140"/>
      <c r="T110" s="197"/>
      <c r="U110" s="140"/>
      <c r="V110" s="140"/>
      <c r="W110" s="140"/>
      <c r="X110" s="140"/>
      <c r="Y110" s="140"/>
      <c r="Z110" s="140"/>
      <c r="AA110" s="140"/>
      <c r="AB110" s="140"/>
      <c r="AC110" s="140"/>
      <c r="AD110" s="140"/>
      <c r="AE110" s="140"/>
      <c r="AF110" s="140"/>
      <c r="AG110" s="140"/>
      <c r="AH110" s="143"/>
      <c r="AI110" s="143"/>
      <c r="AJ110" s="143"/>
      <c r="AK110" s="143"/>
      <c r="AL110" s="144"/>
      <c r="AN110" s="145"/>
      <c r="AO110" s="136"/>
      <c r="AP110" s="146"/>
      <c r="AQ110" s="140"/>
      <c r="AR110" s="140"/>
      <c r="AS110" s="140"/>
      <c r="AT110" s="140"/>
      <c r="AU110" s="140"/>
      <c r="AV110" s="160"/>
      <c r="AW110" s="160"/>
      <c r="AX110" s="140"/>
      <c r="AY110" s="140"/>
      <c r="AZ110" s="140"/>
      <c r="BA110" s="140"/>
      <c r="BB110" s="140"/>
    </row>
    <row r="111" spans="2:54">
      <c r="B111" s="147"/>
      <c r="C111" s="139"/>
      <c r="D111" s="140"/>
      <c r="E111" s="140"/>
      <c r="F111" s="140"/>
      <c r="G111" s="140"/>
      <c r="H111" s="141"/>
      <c r="I111" s="140"/>
      <c r="J111" s="140"/>
      <c r="K111" s="140"/>
      <c r="L111" s="140"/>
      <c r="M111" s="140"/>
      <c r="N111" s="140"/>
      <c r="O111" s="140"/>
      <c r="P111" s="197"/>
      <c r="Q111" s="198"/>
      <c r="R111" s="197"/>
      <c r="S111" s="197"/>
      <c r="T111" s="197"/>
      <c r="U111" s="140"/>
      <c r="V111" s="140"/>
      <c r="W111" s="140"/>
      <c r="X111" s="140"/>
      <c r="Y111" s="140"/>
      <c r="Z111" s="140"/>
      <c r="AA111" s="140"/>
      <c r="AB111" s="140"/>
      <c r="AC111" s="140"/>
      <c r="AD111" s="140"/>
      <c r="AE111" s="140"/>
      <c r="AF111" s="140"/>
      <c r="AG111" s="140"/>
      <c r="AH111" s="143"/>
      <c r="AI111" s="143"/>
      <c r="AJ111" s="143"/>
      <c r="AK111" s="143"/>
      <c r="AL111" s="144"/>
      <c r="AN111" s="145"/>
      <c r="AO111" s="136"/>
      <c r="AP111" s="146"/>
      <c r="AQ111" s="140"/>
      <c r="AR111" s="140"/>
      <c r="AS111" s="140"/>
      <c r="AT111" s="140"/>
      <c r="AU111" s="140"/>
      <c r="AV111" s="160"/>
      <c r="AW111" s="140"/>
      <c r="AX111" s="161"/>
      <c r="AY111" s="161"/>
      <c r="AZ111" s="161"/>
      <c r="BA111" s="161"/>
      <c r="BB111" s="161"/>
    </row>
    <row r="112" spans="2:54">
      <c r="B112" s="147"/>
      <c r="C112" s="139"/>
      <c r="D112" s="140"/>
      <c r="E112" s="140"/>
      <c r="F112" s="140"/>
      <c r="G112" s="140"/>
      <c r="H112" s="141"/>
      <c r="I112" s="140"/>
      <c r="J112" s="140"/>
      <c r="K112" s="140"/>
      <c r="L112" s="140"/>
      <c r="M112" s="140"/>
      <c r="N112" s="140"/>
      <c r="O112" s="140"/>
      <c r="P112" s="197"/>
      <c r="Q112" s="198"/>
      <c r="R112" s="197"/>
      <c r="S112" s="197"/>
      <c r="T112" s="197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3"/>
      <c r="AI112" s="143"/>
      <c r="AJ112" s="143"/>
      <c r="AK112" s="143"/>
      <c r="AL112" s="144"/>
      <c r="AN112" s="145"/>
      <c r="AO112" s="136"/>
      <c r="AP112" s="146"/>
      <c r="AQ112" s="140"/>
      <c r="AR112" s="140"/>
      <c r="AS112" s="140"/>
      <c r="AT112" s="140"/>
      <c r="AU112" s="140"/>
      <c r="AV112" s="160"/>
      <c r="AW112" s="140"/>
      <c r="AX112" s="140"/>
      <c r="AY112" s="140"/>
      <c r="AZ112" s="140"/>
      <c r="BA112" s="140"/>
      <c r="BB112" s="140"/>
    </row>
    <row r="113" spans="2:54">
      <c r="B113" s="147"/>
      <c r="C113" s="139"/>
      <c r="D113" s="140"/>
      <c r="E113" s="140"/>
      <c r="F113" s="140"/>
      <c r="G113" s="140"/>
      <c r="H113" s="141"/>
      <c r="I113" s="140"/>
      <c r="J113" s="140"/>
      <c r="K113" s="140"/>
      <c r="L113" s="140"/>
      <c r="M113" s="140"/>
      <c r="N113" s="140"/>
      <c r="O113" s="140"/>
      <c r="P113" s="197"/>
      <c r="Q113" s="142"/>
      <c r="R113" s="197"/>
      <c r="S113" s="140"/>
      <c r="T113" s="197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0"/>
      <c r="AE113" s="140"/>
      <c r="AF113" s="140"/>
      <c r="AG113" s="140"/>
      <c r="AH113" s="143"/>
      <c r="AI113" s="143"/>
      <c r="AJ113" s="143"/>
      <c r="AK113" s="143"/>
      <c r="AL113" s="144"/>
      <c r="AN113" s="145"/>
      <c r="AO113" s="136"/>
      <c r="AP113" s="146"/>
      <c r="AQ113" s="140"/>
      <c r="AR113" s="140"/>
      <c r="AS113" s="140"/>
      <c r="AT113" s="140"/>
      <c r="AU113" s="115"/>
      <c r="AW113" s="140"/>
      <c r="AX113" s="140"/>
      <c r="AY113" s="140"/>
      <c r="AZ113" s="140"/>
      <c r="BA113" s="140"/>
      <c r="BB113" s="140"/>
    </row>
    <row r="114" spans="2:54">
      <c r="B114" s="147"/>
      <c r="C114" s="139"/>
      <c r="D114" s="140"/>
      <c r="E114" s="140"/>
      <c r="F114" s="140"/>
      <c r="G114" s="140"/>
      <c r="H114" s="141"/>
      <c r="I114" s="140"/>
      <c r="J114" s="140"/>
      <c r="K114" s="140"/>
      <c r="L114" s="140"/>
      <c r="M114" s="140"/>
      <c r="N114" s="140"/>
      <c r="O114" s="140"/>
      <c r="P114" s="140"/>
      <c r="Q114" s="142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0"/>
      <c r="AE114" s="140"/>
      <c r="AF114" s="140"/>
      <c r="AG114" s="140"/>
      <c r="AH114" s="143"/>
      <c r="AI114" s="143"/>
      <c r="AJ114" s="143"/>
      <c r="AK114" s="143"/>
      <c r="AL114" s="144"/>
      <c r="AN114" s="145"/>
      <c r="AO114" s="136"/>
      <c r="AP114" s="146"/>
      <c r="AQ114" s="140"/>
      <c r="AR114" s="140"/>
      <c r="AS114" s="140"/>
      <c r="AT114" s="140"/>
      <c r="AU114" s="140"/>
      <c r="AV114" s="160"/>
      <c r="AW114" s="160"/>
      <c r="AX114" s="140"/>
      <c r="AY114" s="140"/>
      <c r="AZ114" s="140"/>
      <c r="BA114" s="140"/>
      <c r="BB114" s="140"/>
    </row>
    <row r="115" spans="2:54">
      <c r="B115" s="147"/>
      <c r="C115" s="139"/>
      <c r="D115" s="140"/>
      <c r="E115" s="140"/>
      <c r="F115" s="140"/>
      <c r="G115" s="140"/>
      <c r="H115" s="141"/>
      <c r="I115" s="140"/>
      <c r="J115" s="140"/>
      <c r="K115" s="140"/>
      <c r="L115" s="140"/>
      <c r="M115" s="140"/>
      <c r="N115" s="140"/>
      <c r="O115" s="140"/>
      <c r="P115" s="140"/>
      <c r="Q115" s="142"/>
      <c r="R115" s="140"/>
      <c r="S115" s="140"/>
      <c r="T115" s="140"/>
      <c r="U115" s="140"/>
      <c r="V115" s="148"/>
      <c r="W115" s="148"/>
      <c r="X115" s="148"/>
      <c r="Y115" s="148"/>
      <c r="Z115" s="148"/>
      <c r="AA115" s="148"/>
      <c r="AB115" s="152"/>
      <c r="AC115" s="148"/>
      <c r="AD115" s="148"/>
      <c r="AE115" s="148"/>
      <c r="AF115" s="148"/>
      <c r="AG115" s="148"/>
      <c r="AH115" s="143"/>
      <c r="AI115" s="143"/>
      <c r="AJ115" s="143"/>
      <c r="AK115" s="143"/>
      <c r="AL115" s="144"/>
      <c r="AN115" s="145"/>
      <c r="AO115" s="136"/>
      <c r="AP115" s="146"/>
      <c r="AQ115" s="140"/>
      <c r="AR115" s="140"/>
      <c r="AS115" s="140"/>
      <c r="AT115" s="140"/>
      <c r="AU115" s="140"/>
      <c r="AV115" s="149"/>
      <c r="AW115" s="140"/>
      <c r="AX115" s="140"/>
      <c r="AY115" s="140"/>
      <c r="AZ115" s="140"/>
      <c r="BA115" s="140"/>
      <c r="BB115" s="140"/>
    </row>
    <row r="116" spans="2:54">
      <c r="B116" s="147"/>
      <c r="C116" s="139"/>
      <c r="D116" s="140"/>
      <c r="E116" s="140"/>
      <c r="F116" s="140"/>
      <c r="G116" s="140"/>
      <c r="H116" s="141"/>
      <c r="I116" s="140"/>
      <c r="J116" s="140"/>
      <c r="K116" s="140"/>
      <c r="L116" s="140"/>
      <c r="M116" s="140"/>
      <c r="N116" s="140"/>
      <c r="O116" s="140"/>
      <c r="P116" s="140"/>
      <c r="Q116" s="142"/>
      <c r="R116" s="140"/>
      <c r="S116" s="140"/>
      <c r="T116" s="150"/>
      <c r="U116" s="150"/>
      <c r="V116" s="150"/>
      <c r="W116" s="150"/>
      <c r="X116" s="150"/>
      <c r="Y116" s="150"/>
      <c r="Z116" s="150"/>
      <c r="AA116" s="150"/>
      <c r="AB116" s="152"/>
      <c r="AC116" s="150"/>
      <c r="AD116" s="150"/>
      <c r="AE116" s="150"/>
      <c r="AF116" s="150"/>
      <c r="AG116" s="150"/>
      <c r="AH116" s="143"/>
      <c r="AI116" s="143"/>
      <c r="AJ116" s="143"/>
      <c r="AK116" s="143"/>
      <c r="AL116" s="151"/>
      <c r="AN116" s="145"/>
      <c r="AO116" s="136"/>
      <c r="AP116" s="146"/>
      <c r="AQ116" s="140"/>
      <c r="AR116" s="140"/>
      <c r="AS116" s="140"/>
      <c r="AT116" s="140"/>
      <c r="AU116" s="140"/>
      <c r="AV116" s="115"/>
      <c r="AW116" s="140"/>
      <c r="AX116" s="140"/>
      <c r="AY116" s="140"/>
      <c r="AZ116" s="140"/>
      <c r="BA116" s="140"/>
      <c r="BB116" s="140"/>
    </row>
    <row r="117" spans="2:54">
      <c r="B117" s="147"/>
      <c r="C117" s="139"/>
      <c r="D117" s="140"/>
      <c r="E117" s="140"/>
      <c r="F117" s="140"/>
      <c r="G117" s="140"/>
      <c r="H117" s="141"/>
      <c r="I117" s="140"/>
      <c r="J117" s="140"/>
      <c r="K117" s="140"/>
      <c r="L117" s="140"/>
      <c r="M117" s="140"/>
      <c r="N117" s="140"/>
      <c r="O117" s="140"/>
      <c r="P117" s="140"/>
      <c r="Q117" s="142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52"/>
      <c r="AC117" s="140"/>
      <c r="AD117" s="140"/>
      <c r="AE117" s="140"/>
      <c r="AF117" s="140"/>
      <c r="AG117" s="140"/>
      <c r="AH117" s="143"/>
      <c r="AI117" s="143"/>
      <c r="AJ117" s="143"/>
      <c r="AK117" s="143"/>
      <c r="AL117" s="144"/>
      <c r="AN117" s="145"/>
      <c r="AO117" s="136"/>
      <c r="AP117" s="146"/>
      <c r="AQ117" s="140"/>
      <c r="AR117" s="140"/>
      <c r="AS117" s="140"/>
      <c r="AT117" s="140"/>
      <c r="AU117" s="140"/>
      <c r="AV117" s="115"/>
      <c r="AW117" s="140"/>
      <c r="AX117" s="140"/>
      <c r="AY117" s="140"/>
      <c r="AZ117" s="140"/>
      <c r="BA117" s="140"/>
      <c r="BB117" s="140"/>
    </row>
    <row r="118" spans="2:54">
      <c r="B118" s="147"/>
      <c r="C118" s="139"/>
      <c r="D118" s="140"/>
      <c r="E118" s="140"/>
      <c r="F118" s="140"/>
      <c r="G118" s="140"/>
      <c r="H118" s="141"/>
      <c r="I118" s="140"/>
      <c r="J118" s="140"/>
      <c r="K118" s="140"/>
      <c r="L118" s="140"/>
      <c r="M118" s="140"/>
      <c r="N118" s="140"/>
      <c r="O118" s="140"/>
      <c r="P118" s="140"/>
      <c r="Q118" s="142"/>
      <c r="R118" s="140"/>
      <c r="S118" s="140"/>
      <c r="T118" s="140"/>
      <c r="U118" s="140"/>
      <c r="V118" s="140"/>
      <c r="W118" s="140"/>
      <c r="X118" s="140"/>
      <c r="Y118" s="140"/>
      <c r="Z118" s="140"/>
      <c r="AA118" s="140"/>
      <c r="AB118" s="152"/>
      <c r="AC118" s="140"/>
      <c r="AD118" s="140"/>
      <c r="AE118" s="140"/>
      <c r="AF118" s="140"/>
      <c r="AG118" s="140"/>
      <c r="AH118" s="143"/>
      <c r="AI118" s="143"/>
      <c r="AJ118" s="143"/>
      <c r="AK118" s="143"/>
      <c r="AL118" s="144"/>
      <c r="AN118" s="145"/>
      <c r="AO118" s="136"/>
      <c r="AP118" s="146"/>
      <c r="AQ118" s="140"/>
      <c r="AR118" s="140"/>
      <c r="AS118" s="140"/>
      <c r="AT118" s="140"/>
      <c r="AU118" s="140"/>
      <c r="AV118" s="115"/>
      <c r="AW118" s="140"/>
      <c r="AX118" s="140"/>
      <c r="AY118" s="140"/>
      <c r="AZ118" s="140"/>
      <c r="BA118" s="140"/>
      <c r="BB118" s="140"/>
    </row>
    <row r="119" spans="2:54">
      <c r="B119" s="147"/>
      <c r="C119" s="139"/>
      <c r="D119" s="140"/>
      <c r="E119" s="140"/>
      <c r="F119" s="140"/>
      <c r="G119" s="140"/>
      <c r="H119" s="141"/>
      <c r="I119" s="140"/>
      <c r="J119" s="140"/>
      <c r="K119" s="140"/>
      <c r="L119" s="140"/>
      <c r="M119" s="140"/>
      <c r="N119" s="140"/>
      <c r="O119" s="140"/>
      <c r="P119" s="140"/>
      <c r="Q119" s="142"/>
      <c r="R119" s="140"/>
      <c r="S119" s="140"/>
      <c r="T119" s="150"/>
      <c r="U119" s="150"/>
      <c r="V119" s="150"/>
      <c r="W119" s="150"/>
      <c r="X119" s="150"/>
      <c r="Y119" s="150"/>
      <c r="Z119" s="150"/>
      <c r="AA119" s="150"/>
      <c r="AB119" s="152"/>
      <c r="AC119" s="150"/>
      <c r="AD119" s="150"/>
      <c r="AE119" s="150"/>
      <c r="AF119" s="150"/>
      <c r="AG119" s="150"/>
      <c r="AH119" s="143"/>
      <c r="AI119" s="143"/>
      <c r="AJ119" s="143"/>
      <c r="AK119" s="143"/>
      <c r="AL119" s="151"/>
      <c r="AN119" s="145"/>
      <c r="AO119" s="136"/>
      <c r="AP119" s="146"/>
      <c r="AQ119" s="140"/>
      <c r="AR119" s="140"/>
      <c r="AS119" s="140"/>
      <c r="AT119" s="140"/>
      <c r="AU119" s="140"/>
      <c r="AV119" s="115"/>
      <c r="AW119" s="140"/>
      <c r="AX119" s="140"/>
      <c r="AY119" s="140"/>
      <c r="AZ119" s="140"/>
      <c r="BA119" s="140"/>
      <c r="BB119" s="140"/>
    </row>
    <row r="120" spans="2:54">
      <c r="B120" s="147"/>
      <c r="C120" s="139"/>
      <c r="D120" s="140"/>
      <c r="E120" s="140"/>
      <c r="F120" s="140"/>
      <c r="G120" s="140"/>
      <c r="H120" s="141"/>
      <c r="I120" s="140"/>
      <c r="J120" s="140"/>
      <c r="K120" s="140"/>
      <c r="L120" s="140"/>
      <c r="M120" s="140"/>
      <c r="N120" s="140"/>
      <c r="O120" s="140"/>
      <c r="P120" s="140"/>
      <c r="Q120" s="142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52"/>
      <c r="AC120" s="140"/>
      <c r="AD120" s="140"/>
      <c r="AE120" s="140"/>
      <c r="AF120" s="140"/>
      <c r="AG120" s="140"/>
      <c r="AH120" s="143"/>
      <c r="AI120" s="143"/>
      <c r="AJ120" s="143"/>
      <c r="AK120" s="143"/>
      <c r="AL120" s="144"/>
      <c r="AN120" s="145"/>
      <c r="AO120" s="136"/>
      <c r="AP120" s="146"/>
      <c r="AQ120" s="140"/>
      <c r="AR120" s="140"/>
      <c r="AS120" s="140"/>
      <c r="AT120" s="140"/>
      <c r="AU120" s="140"/>
      <c r="AV120" s="149"/>
      <c r="AW120" s="140"/>
      <c r="AX120" s="140"/>
      <c r="AY120" s="140"/>
      <c r="AZ120" s="140"/>
      <c r="BA120" s="140"/>
      <c r="BB120" s="140"/>
    </row>
    <row r="121" spans="2:54">
      <c r="B121" s="147"/>
      <c r="C121" s="139"/>
      <c r="D121" s="140"/>
      <c r="E121" s="140"/>
      <c r="F121" s="140"/>
      <c r="G121" s="140"/>
      <c r="H121" s="141"/>
      <c r="I121" s="140"/>
      <c r="J121" s="140"/>
      <c r="K121" s="140"/>
      <c r="L121" s="140"/>
      <c r="M121" s="140"/>
      <c r="N121" s="140"/>
      <c r="O121" s="140"/>
      <c r="P121" s="140"/>
      <c r="Q121" s="142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9"/>
      <c r="AB121" s="149"/>
      <c r="AC121" s="149"/>
      <c r="AD121" s="149"/>
      <c r="AE121" s="149"/>
      <c r="AF121" s="149"/>
      <c r="AG121" s="149"/>
      <c r="AH121" s="143"/>
      <c r="AI121" s="143"/>
      <c r="AJ121" s="143"/>
      <c r="AK121" s="143"/>
      <c r="AL121" s="144"/>
      <c r="AN121" s="145"/>
      <c r="AO121" s="136"/>
      <c r="AP121" s="146"/>
      <c r="AQ121" s="140"/>
      <c r="AR121" s="140"/>
      <c r="AS121" s="140"/>
      <c r="AT121" s="140"/>
      <c r="AU121" s="140"/>
      <c r="AV121" s="115"/>
      <c r="AW121" s="140"/>
      <c r="AX121" s="140"/>
      <c r="AY121" s="140"/>
      <c r="AZ121" s="140"/>
      <c r="BA121" s="140"/>
      <c r="BB121" s="140"/>
    </row>
    <row r="122" spans="2:54">
      <c r="B122" s="147"/>
      <c r="C122" s="139"/>
      <c r="D122" s="140"/>
      <c r="E122" s="140"/>
      <c r="F122" s="140"/>
      <c r="G122" s="140"/>
      <c r="H122" s="141"/>
      <c r="I122" s="140"/>
      <c r="J122" s="140"/>
      <c r="K122" s="140"/>
      <c r="L122" s="140"/>
      <c r="M122" s="140"/>
      <c r="N122" s="140"/>
      <c r="O122" s="140"/>
      <c r="P122" s="140"/>
      <c r="Q122" s="142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9"/>
      <c r="AB122" s="149"/>
      <c r="AC122" s="149"/>
      <c r="AD122" s="149"/>
      <c r="AE122" s="149"/>
      <c r="AF122" s="149"/>
      <c r="AG122" s="149"/>
      <c r="AH122" s="143"/>
      <c r="AI122" s="143"/>
      <c r="AJ122" s="143"/>
      <c r="AK122" s="143"/>
      <c r="AL122" s="144"/>
      <c r="AN122" s="145"/>
      <c r="AO122" s="136"/>
      <c r="AP122" s="146"/>
      <c r="AQ122" s="140"/>
      <c r="AR122" s="140"/>
      <c r="AS122" s="140"/>
      <c r="AT122" s="140"/>
      <c r="AU122" s="140"/>
      <c r="AV122" s="115"/>
      <c r="AW122" s="140"/>
      <c r="AX122" s="140"/>
      <c r="AY122" s="140"/>
      <c r="AZ122" s="140"/>
      <c r="BA122" s="140"/>
      <c r="BB122" s="140"/>
    </row>
    <row r="123" spans="2:54">
      <c r="B123" s="147"/>
      <c r="C123" s="139"/>
      <c r="D123" s="140"/>
      <c r="E123" s="140"/>
      <c r="F123" s="140"/>
      <c r="G123" s="140"/>
      <c r="H123" s="141"/>
      <c r="I123" s="140"/>
      <c r="J123" s="140"/>
      <c r="K123" s="140"/>
      <c r="L123" s="140"/>
      <c r="M123" s="140"/>
      <c r="N123" s="140"/>
      <c r="O123" s="140"/>
      <c r="P123" s="140"/>
      <c r="Q123" s="142"/>
      <c r="R123" s="140"/>
      <c r="S123" s="140"/>
      <c r="T123" s="140"/>
      <c r="U123" s="140"/>
      <c r="V123" s="150"/>
      <c r="W123" s="140"/>
      <c r="X123" s="140"/>
      <c r="Y123" s="140"/>
      <c r="Z123" s="140"/>
      <c r="AA123" s="149"/>
      <c r="AB123" s="149"/>
      <c r="AC123" s="154"/>
      <c r="AD123" s="154"/>
      <c r="AE123" s="154"/>
      <c r="AF123" s="154"/>
      <c r="AG123" s="154"/>
      <c r="AH123" s="143"/>
      <c r="AI123" s="143"/>
      <c r="AJ123" s="143"/>
      <c r="AK123" s="143"/>
      <c r="AL123" s="144"/>
      <c r="AN123" s="145"/>
      <c r="AO123" s="136"/>
      <c r="AP123" s="146"/>
      <c r="AQ123" s="140"/>
      <c r="AR123" s="140"/>
      <c r="AS123" s="140"/>
      <c r="AT123" s="140"/>
      <c r="AU123" s="140"/>
      <c r="AV123" s="149"/>
      <c r="AW123" s="140"/>
      <c r="AX123" s="140"/>
      <c r="AY123" s="140"/>
      <c r="AZ123" s="140"/>
      <c r="BA123" s="140"/>
      <c r="BB123" s="140"/>
    </row>
    <row r="124" spans="2:54">
      <c r="B124" s="147"/>
      <c r="C124" s="139"/>
      <c r="D124" s="140"/>
      <c r="E124" s="140"/>
      <c r="F124" s="140"/>
      <c r="G124" s="140"/>
      <c r="H124" s="155"/>
      <c r="I124" s="140"/>
      <c r="J124" s="140"/>
      <c r="K124" s="140"/>
      <c r="L124" s="140"/>
      <c r="M124" s="140"/>
      <c r="N124" s="140"/>
      <c r="O124" s="140"/>
      <c r="P124" s="140"/>
      <c r="Q124" s="142"/>
      <c r="R124" s="140"/>
      <c r="S124" s="140"/>
      <c r="T124" s="140"/>
      <c r="U124" s="140"/>
      <c r="V124" s="140"/>
      <c r="W124" s="140"/>
      <c r="X124" s="140"/>
      <c r="Y124" s="140"/>
      <c r="Z124" s="140"/>
      <c r="AA124" s="149"/>
      <c r="AB124" s="152"/>
      <c r="AC124" s="149"/>
      <c r="AD124" s="149"/>
      <c r="AE124" s="154"/>
      <c r="AF124" s="154"/>
      <c r="AG124" s="154"/>
      <c r="AH124" s="143"/>
      <c r="AI124" s="143"/>
      <c r="AJ124" s="143"/>
      <c r="AK124" s="143"/>
      <c r="AL124" s="144"/>
      <c r="AN124" s="145"/>
      <c r="AO124" s="136"/>
      <c r="AP124" s="146"/>
      <c r="AQ124" s="140"/>
      <c r="AR124" s="140"/>
      <c r="AS124" s="140"/>
      <c r="AT124" s="140"/>
      <c r="AU124" s="140"/>
      <c r="AV124" s="115"/>
      <c r="AW124" s="140"/>
      <c r="AX124" s="140"/>
      <c r="AY124" s="140"/>
      <c r="AZ124" s="140"/>
      <c r="BA124" s="140"/>
      <c r="BB124" s="140"/>
    </row>
    <row r="125" spans="2:54">
      <c r="B125" s="147"/>
      <c r="C125" s="139"/>
      <c r="D125" s="140"/>
      <c r="E125" s="140"/>
      <c r="F125" s="140"/>
      <c r="G125" s="140"/>
      <c r="H125" s="141"/>
      <c r="I125" s="140"/>
      <c r="J125" s="140"/>
      <c r="K125" s="140"/>
      <c r="L125" s="140"/>
      <c r="M125" s="140"/>
      <c r="N125" s="140"/>
      <c r="O125" s="140"/>
      <c r="P125" s="140"/>
      <c r="Q125" s="142"/>
      <c r="R125" s="140"/>
      <c r="S125" s="140"/>
      <c r="T125" s="140"/>
      <c r="U125" s="140"/>
      <c r="V125" s="140"/>
      <c r="W125" s="140"/>
      <c r="X125" s="140"/>
      <c r="Y125" s="150"/>
      <c r="Z125" s="150"/>
      <c r="AA125" s="154"/>
      <c r="AB125" s="149"/>
      <c r="AC125" s="154"/>
      <c r="AD125" s="154"/>
      <c r="AE125" s="154"/>
      <c r="AF125" s="154"/>
      <c r="AG125" s="154"/>
      <c r="AH125" s="143"/>
      <c r="AI125" s="143"/>
      <c r="AJ125" s="143"/>
      <c r="AK125" s="143"/>
      <c r="AL125" s="144"/>
      <c r="AN125" s="145"/>
      <c r="AO125" s="136"/>
      <c r="AP125" s="146"/>
      <c r="AQ125" s="140"/>
      <c r="AR125" s="140"/>
      <c r="AS125" s="140"/>
      <c r="AT125" s="140"/>
      <c r="AU125" s="140"/>
      <c r="AV125" s="115"/>
      <c r="AW125" s="140"/>
      <c r="AX125" s="140"/>
      <c r="AY125" s="140"/>
      <c r="AZ125" s="140"/>
      <c r="BA125" s="140"/>
      <c r="BB125" s="140"/>
    </row>
    <row r="126" spans="2:54">
      <c r="B126" s="147"/>
      <c r="C126" s="139"/>
      <c r="D126" s="140"/>
      <c r="E126" s="140"/>
      <c r="F126" s="140"/>
      <c r="G126" s="140"/>
      <c r="H126" s="141"/>
      <c r="I126" s="140"/>
      <c r="J126" s="140"/>
      <c r="K126" s="140"/>
      <c r="L126" s="140"/>
      <c r="M126" s="140"/>
      <c r="N126" s="140"/>
      <c r="O126" s="140"/>
      <c r="P126" s="140"/>
      <c r="Q126" s="142"/>
      <c r="R126" s="140"/>
      <c r="S126" s="140"/>
      <c r="T126" s="140"/>
      <c r="U126" s="140"/>
      <c r="V126" s="140"/>
      <c r="W126" s="140"/>
      <c r="X126" s="150"/>
      <c r="Y126" s="150"/>
      <c r="Z126" s="150"/>
      <c r="AA126" s="154"/>
      <c r="AB126" s="149"/>
      <c r="AC126" s="154"/>
      <c r="AD126" s="154"/>
      <c r="AE126" s="154"/>
      <c r="AF126" s="154"/>
      <c r="AG126" s="154"/>
      <c r="AH126" s="143"/>
      <c r="AI126" s="143"/>
      <c r="AJ126" s="143"/>
      <c r="AK126" s="143"/>
      <c r="AL126" s="144"/>
      <c r="AN126" s="145"/>
      <c r="AO126" s="136"/>
      <c r="AP126" s="146"/>
      <c r="AQ126" s="140"/>
      <c r="AR126" s="140"/>
      <c r="AS126" s="140"/>
      <c r="AT126" s="140"/>
      <c r="AU126" s="140"/>
      <c r="AV126" s="115"/>
      <c r="AW126" s="140"/>
      <c r="AX126" s="140"/>
      <c r="AY126" s="140"/>
      <c r="AZ126" s="140"/>
      <c r="BA126" s="140"/>
      <c r="BB126" s="140"/>
    </row>
    <row r="127" spans="2:54">
      <c r="B127" s="147"/>
      <c r="C127" s="139"/>
      <c r="D127" s="140"/>
      <c r="E127" s="140"/>
      <c r="F127" s="140"/>
      <c r="G127" s="140"/>
      <c r="H127" s="141"/>
      <c r="I127" s="140"/>
      <c r="J127" s="140"/>
      <c r="K127" s="140"/>
      <c r="L127" s="140"/>
      <c r="M127" s="140"/>
      <c r="N127" s="140"/>
      <c r="O127" s="140"/>
      <c r="P127" s="140"/>
      <c r="Q127" s="142"/>
      <c r="R127" s="140"/>
      <c r="S127" s="140"/>
      <c r="T127" s="140"/>
      <c r="U127" s="140"/>
      <c r="V127" s="140"/>
      <c r="W127" s="140"/>
      <c r="X127" s="140"/>
      <c r="Y127" s="140"/>
      <c r="Z127" s="140"/>
      <c r="AA127" s="140"/>
      <c r="AB127" s="138"/>
      <c r="AC127" s="140"/>
      <c r="AD127" s="140"/>
      <c r="AE127" s="140"/>
      <c r="AF127" s="140"/>
      <c r="AG127" s="140"/>
      <c r="AH127" s="143"/>
      <c r="AI127" s="143"/>
      <c r="AJ127" s="143"/>
      <c r="AK127" s="143"/>
      <c r="AL127" s="144"/>
      <c r="AN127" s="145"/>
      <c r="AO127" s="136"/>
      <c r="AP127" s="146"/>
      <c r="AQ127" s="140"/>
      <c r="AR127" s="140"/>
      <c r="AS127" s="140"/>
      <c r="AT127" s="140"/>
      <c r="AU127" s="140"/>
      <c r="AV127" s="115"/>
      <c r="AW127" s="140"/>
      <c r="AX127" s="140"/>
      <c r="AY127" s="140"/>
      <c r="AZ127" s="140"/>
      <c r="BA127" s="140"/>
      <c r="BB127" s="140"/>
    </row>
    <row r="128" spans="2:54">
      <c r="B128" s="147"/>
      <c r="C128" s="139"/>
      <c r="D128" s="140"/>
      <c r="E128" s="140"/>
      <c r="F128" s="140"/>
      <c r="G128" s="140"/>
      <c r="H128" s="141"/>
      <c r="I128" s="140"/>
      <c r="J128" s="140"/>
      <c r="K128" s="140"/>
      <c r="L128" s="140"/>
      <c r="M128" s="140"/>
      <c r="N128" s="140"/>
      <c r="O128" s="140"/>
      <c r="P128" s="140"/>
      <c r="Q128" s="142"/>
      <c r="R128" s="140"/>
      <c r="S128" s="140"/>
      <c r="T128" s="140"/>
      <c r="U128" s="140"/>
      <c r="V128" s="140"/>
      <c r="W128" s="140"/>
      <c r="X128" s="140"/>
      <c r="Y128" s="140"/>
      <c r="Z128" s="140"/>
      <c r="AA128" s="140"/>
      <c r="AB128" s="152"/>
      <c r="AC128" s="140"/>
      <c r="AD128" s="140"/>
      <c r="AE128" s="140"/>
      <c r="AF128" s="140"/>
      <c r="AG128" s="140"/>
      <c r="AH128" s="143"/>
      <c r="AI128" s="143"/>
      <c r="AJ128" s="143"/>
      <c r="AK128" s="143"/>
      <c r="AL128" s="144"/>
      <c r="AN128" s="145"/>
      <c r="AO128" s="136"/>
      <c r="AP128" s="146"/>
      <c r="AQ128" s="140"/>
      <c r="AR128" s="140"/>
      <c r="AS128" s="140"/>
      <c r="AT128" s="140"/>
      <c r="AU128" s="140"/>
      <c r="AV128" s="115"/>
      <c r="AW128" s="140"/>
      <c r="AX128" s="140"/>
      <c r="AY128" s="140"/>
      <c r="AZ128" s="140"/>
      <c r="BA128" s="140"/>
      <c r="BB128" s="140"/>
    </row>
    <row r="129" spans="2:54">
      <c r="B129" s="147"/>
      <c r="C129" s="139"/>
      <c r="D129" s="140"/>
      <c r="E129" s="140"/>
      <c r="F129" s="140"/>
      <c r="G129" s="140"/>
      <c r="H129" s="141"/>
      <c r="I129" s="140"/>
      <c r="J129" s="140"/>
      <c r="K129" s="140"/>
      <c r="L129" s="140"/>
      <c r="M129" s="140"/>
      <c r="N129" s="140"/>
      <c r="O129" s="140"/>
      <c r="P129" s="140"/>
      <c r="Q129" s="142"/>
      <c r="R129" s="140"/>
      <c r="S129" s="140"/>
      <c r="T129" s="140"/>
      <c r="U129" s="140"/>
      <c r="V129" s="148"/>
      <c r="W129" s="148"/>
      <c r="X129" s="148"/>
      <c r="Y129" s="148"/>
      <c r="Z129" s="148"/>
      <c r="AA129" s="148"/>
      <c r="AB129" s="148"/>
      <c r="AC129" s="148"/>
      <c r="AD129" s="148"/>
      <c r="AE129" s="158"/>
      <c r="AF129" s="148"/>
      <c r="AG129" s="148"/>
      <c r="AH129" s="143"/>
      <c r="AI129" s="143"/>
      <c r="AJ129" s="143"/>
      <c r="AK129" s="143"/>
      <c r="AL129" s="144"/>
      <c r="AN129" s="145"/>
      <c r="AO129" s="136"/>
      <c r="AP129" s="146"/>
      <c r="AQ129" s="140"/>
      <c r="AR129" s="140"/>
      <c r="AS129" s="140"/>
      <c r="AT129" s="140"/>
      <c r="AU129" s="140"/>
      <c r="AV129" s="115"/>
      <c r="AW129" s="140"/>
      <c r="AX129" s="140"/>
      <c r="AY129" s="140"/>
      <c r="AZ129" s="140"/>
      <c r="BA129" s="140"/>
      <c r="BB129" s="140"/>
    </row>
    <row r="130" spans="2:54">
      <c r="B130" s="147"/>
      <c r="C130" s="139"/>
      <c r="D130" s="140"/>
      <c r="E130" s="140"/>
      <c r="F130" s="140"/>
      <c r="G130" s="140"/>
      <c r="H130" s="141"/>
      <c r="I130" s="140"/>
      <c r="J130" s="140"/>
      <c r="K130" s="140"/>
      <c r="L130" s="140"/>
      <c r="M130" s="140"/>
      <c r="N130" s="140"/>
      <c r="O130" s="140"/>
      <c r="P130" s="140"/>
      <c r="Q130" s="142"/>
      <c r="R130" s="140"/>
      <c r="S130" s="140"/>
      <c r="T130" s="140"/>
      <c r="U130" s="140"/>
      <c r="V130" s="140"/>
      <c r="W130" s="140"/>
      <c r="X130" s="140"/>
      <c r="Y130" s="140"/>
      <c r="Z130" s="140"/>
      <c r="AA130" s="140"/>
      <c r="AB130" s="152"/>
      <c r="AC130" s="140"/>
      <c r="AD130" s="140"/>
      <c r="AE130" s="140"/>
      <c r="AF130" s="140"/>
      <c r="AG130" s="140"/>
      <c r="AH130" s="143"/>
      <c r="AI130" s="143"/>
      <c r="AJ130" s="143"/>
      <c r="AK130" s="143"/>
      <c r="AL130" s="144"/>
      <c r="AN130" s="145"/>
      <c r="AO130" s="136"/>
      <c r="AP130" s="146"/>
      <c r="AQ130" s="140"/>
      <c r="AR130" s="140"/>
      <c r="AS130" s="140"/>
      <c r="AT130" s="140"/>
      <c r="AU130" s="140"/>
      <c r="AV130" s="115"/>
      <c r="AW130" s="140"/>
      <c r="AX130" s="140"/>
      <c r="AY130" s="140"/>
      <c r="AZ130" s="140"/>
      <c r="BA130" s="140"/>
      <c r="BB130" s="140"/>
    </row>
    <row r="131" spans="2:54">
      <c r="B131" s="147"/>
      <c r="C131" s="139"/>
      <c r="D131" s="140"/>
      <c r="E131" s="140"/>
      <c r="F131" s="140"/>
      <c r="G131" s="140"/>
      <c r="H131" s="141"/>
      <c r="I131" s="140"/>
      <c r="J131" s="140"/>
      <c r="K131" s="140"/>
      <c r="L131" s="140"/>
      <c r="M131" s="140"/>
      <c r="N131" s="140"/>
      <c r="O131" s="140"/>
      <c r="P131" s="140"/>
      <c r="Q131" s="142"/>
      <c r="R131" s="140"/>
      <c r="S131" s="140"/>
      <c r="T131" s="140"/>
      <c r="U131" s="140"/>
      <c r="V131" s="140"/>
      <c r="W131" s="140"/>
      <c r="X131" s="140"/>
      <c r="Y131" s="140"/>
      <c r="Z131" s="140"/>
      <c r="AA131" s="140"/>
      <c r="AB131" s="140"/>
      <c r="AC131" s="140"/>
      <c r="AD131" s="140"/>
      <c r="AE131" s="140"/>
      <c r="AF131" s="140"/>
      <c r="AG131" s="140"/>
      <c r="AH131" s="143"/>
      <c r="AI131" s="143"/>
      <c r="AJ131" s="143"/>
      <c r="AK131" s="143"/>
      <c r="AL131" s="144"/>
      <c r="AN131" s="145"/>
      <c r="AO131" s="136"/>
      <c r="AP131" s="146"/>
      <c r="AQ131" s="140"/>
      <c r="AR131" s="140"/>
      <c r="AS131" s="140"/>
      <c r="AT131" s="140"/>
      <c r="AU131" s="140"/>
      <c r="AV131" s="115"/>
      <c r="AW131" s="140"/>
      <c r="AX131" s="140"/>
      <c r="AY131" s="140"/>
      <c r="AZ131" s="140"/>
      <c r="BA131" s="140"/>
      <c r="BB131" s="140"/>
    </row>
    <row r="132" spans="2:54">
      <c r="B132" s="147"/>
      <c r="C132" s="139"/>
      <c r="D132" s="140"/>
      <c r="E132" s="140"/>
      <c r="F132" s="140"/>
      <c r="G132" s="140"/>
      <c r="H132" s="141"/>
      <c r="I132" s="140"/>
      <c r="J132" s="140"/>
      <c r="K132" s="140"/>
      <c r="L132" s="140"/>
      <c r="M132" s="140"/>
      <c r="N132" s="140"/>
      <c r="O132" s="140"/>
      <c r="P132" s="140"/>
      <c r="Q132" s="142"/>
      <c r="R132" s="140"/>
      <c r="S132" s="140"/>
      <c r="T132" s="150"/>
      <c r="U132" s="150"/>
      <c r="V132" s="150"/>
      <c r="W132" s="150"/>
      <c r="X132" s="150"/>
      <c r="Y132" s="150"/>
      <c r="Z132" s="150"/>
      <c r="AA132" s="150"/>
      <c r="AB132" s="140"/>
      <c r="AC132" s="150"/>
      <c r="AD132" s="150"/>
      <c r="AE132" s="150"/>
      <c r="AF132" s="150"/>
      <c r="AG132" s="150"/>
      <c r="AH132" s="143"/>
      <c r="AI132" s="143"/>
      <c r="AJ132" s="143"/>
      <c r="AK132" s="143"/>
      <c r="AL132" s="151"/>
      <c r="AN132" s="145"/>
      <c r="AO132" s="136"/>
      <c r="AP132" s="146"/>
      <c r="AQ132" s="140"/>
      <c r="AR132" s="140"/>
      <c r="AS132" s="140"/>
      <c r="AT132" s="140"/>
      <c r="AU132" s="140"/>
      <c r="AV132" s="115"/>
      <c r="AW132" s="140"/>
      <c r="AX132" s="140"/>
      <c r="AY132" s="140"/>
      <c r="AZ132" s="140"/>
      <c r="BA132" s="140"/>
      <c r="BB132" s="140"/>
    </row>
    <row r="133" spans="2:54">
      <c r="B133" s="147"/>
      <c r="C133" s="139"/>
      <c r="D133" s="140"/>
      <c r="E133" s="140"/>
      <c r="F133" s="140"/>
      <c r="G133" s="140"/>
      <c r="H133" s="141"/>
      <c r="I133" s="140"/>
      <c r="J133" s="140"/>
      <c r="K133" s="140"/>
      <c r="L133" s="140"/>
      <c r="M133" s="140"/>
      <c r="N133" s="140"/>
      <c r="O133" s="140"/>
      <c r="P133" s="140"/>
      <c r="Q133" s="142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43"/>
      <c r="AI133" s="143"/>
      <c r="AJ133" s="143"/>
      <c r="AK133" s="143"/>
      <c r="AL133" s="151"/>
      <c r="AN133" s="145"/>
      <c r="AO133" s="136"/>
      <c r="AP133" s="146"/>
      <c r="AQ133" s="140"/>
      <c r="AR133" s="140"/>
      <c r="AS133" s="140"/>
      <c r="AT133" s="140"/>
      <c r="AU133" s="140"/>
      <c r="AV133" s="115"/>
      <c r="AW133" s="140"/>
      <c r="AX133" s="140"/>
      <c r="AY133" s="140"/>
      <c r="AZ133" s="140"/>
      <c r="BA133" s="140"/>
      <c r="BB133" s="140"/>
    </row>
    <row r="134" spans="2:54">
      <c r="B134" s="147"/>
      <c r="C134" s="139"/>
      <c r="D134" s="140"/>
      <c r="E134" s="140"/>
      <c r="F134" s="140"/>
      <c r="G134" s="140"/>
      <c r="H134" s="141"/>
      <c r="I134" s="140"/>
      <c r="J134" s="140"/>
      <c r="K134" s="140"/>
      <c r="L134" s="140"/>
      <c r="M134" s="140"/>
      <c r="N134" s="140"/>
      <c r="O134" s="140"/>
      <c r="P134" s="140"/>
      <c r="Q134" s="142"/>
      <c r="R134" s="140"/>
      <c r="S134" s="140"/>
      <c r="T134" s="140"/>
      <c r="U134" s="140"/>
      <c r="V134" s="140"/>
      <c r="W134" s="140"/>
      <c r="X134" s="140"/>
      <c r="Y134" s="140"/>
      <c r="Z134" s="140"/>
      <c r="AA134" s="140"/>
      <c r="AB134" s="140"/>
      <c r="AC134" s="140"/>
      <c r="AD134" s="140"/>
      <c r="AE134" s="140"/>
      <c r="AF134" s="140"/>
      <c r="AG134" s="140"/>
      <c r="AH134" s="143"/>
      <c r="AI134" s="143"/>
      <c r="AJ134" s="143"/>
      <c r="AK134" s="143"/>
      <c r="AL134" s="144"/>
      <c r="AN134" s="145"/>
      <c r="AO134" s="136"/>
      <c r="AP134" s="146"/>
      <c r="AQ134" s="140"/>
      <c r="AR134" s="140"/>
      <c r="AS134" s="140"/>
      <c r="AT134" s="140"/>
      <c r="AU134" s="140"/>
      <c r="AV134" s="115"/>
      <c r="AW134" s="140"/>
      <c r="AX134" s="140"/>
      <c r="AY134" s="140"/>
      <c r="AZ134" s="140"/>
      <c r="BA134" s="140"/>
      <c r="BB134" s="140"/>
    </row>
    <row r="135" spans="2:54">
      <c r="B135" s="147"/>
      <c r="C135" s="139"/>
      <c r="D135" s="140"/>
      <c r="E135" s="140"/>
      <c r="F135" s="140"/>
      <c r="G135" s="140"/>
      <c r="H135" s="141"/>
      <c r="I135" s="140"/>
      <c r="J135" s="140"/>
      <c r="K135" s="140"/>
      <c r="L135" s="140"/>
      <c r="M135" s="140"/>
      <c r="N135" s="140"/>
      <c r="O135" s="140"/>
      <c r="P135" s="144"/>
      <c r="Q135" s="163"/>
      <c r="R135" s="151"/>
      <c r="S135" s="151"/>
      <c r="T135" s="144"/>
      <c r="U135" s="140"/>
      <c r="V135" s="140"/>
      <c r="W135" s="140"/>
      <c r="X135" s="140"/>
      <c r="Y135" s="140"/>
      <c r="Z135" s="140"/>
      <c r="AA135" s="140"/>
      <c r="AB135" s="140"/>
      <c r="AC135" s="140"/>
      <c r="AD135" s="140"/>
      <c r="AE135" s="140"/>
      <c r="AF135" s="140"/>
      <c r="AG135" s="140"/>
      <c r="AH135" s="143"/>
      <c r="AI135" s="143"/>
      <c r="AJ135" s="143"/>
      <c r="AK135" s="143"/>
      <c r="AL135" s="144"/>
      <c r="AN135" s="145"/>
      <c r="AO135" s="136"/>
      <c r="AP135" s="146"/>
      <c r="AQ135" s="140"/>
      <c r="AR135" s="140"/>
      <c r="AS135" s="140"/>
      <c r="AT135" s="140"/>
      <c r="AU135" s="140"/>
      <c r="AV135" s="115"/>
      <c r="AW135" s="140"/>
      <c r="AX135" s="140"/>
      <c r="AY135" s="140"/>
      <c r="AZ135" s="140"/>
      <c r="BA135" s="140"/>
      <c r="BB135" s="140"/>
    </row>
    <row r="136" spans="2:54">
      <c r="B136" s="147"/>
      <c r="C136" s="139"/>
      <c r="D136" s="140"/>
      <c r="E136" s="140"/>
      <c r="F136" s="140"/>
      <c r="G136" s="140"/>
      <c r="H136" s="141"/>
      <c r="I136" s="140"/>
      <c r="J136" s="140"/>
      <c r="K136" s="140"/>
      <c r="L136" s="140"/>
      <c r="M136" s="140"/>
      <c r="N136" s="140"/>
      <c r="O136" s="140"/>
      <c r="P136" s="144"/>
      <c r="Q136" s="163"/>
      <c r="R136" s="144"/>
      <c r="S136" s="144"/>
      <c r="T136" s="144"/>
      <c r="U136" s="140"/>
      <c r="V136" s="140"/>
      <c r="W136" s="140"/>
      <c r="X136" s="140"/>
      <c r="Y136" s="140"/>
      <c r="Z136" s="140"/>
      <c r="AA136" s="140"/>
      <c r="AB136" s="140"/>
      <c r="AC136" s="140"/>
      <c r="AD136" s="140"/>
      <c r="AE136" s="140"/>
      <c r="AF136" s="140"/>
      <c r="AG136" s="140"/>
      <c r="AH136" s="143"/>
      <c r="AI136" s="143"/>
      <c r="AJ136" s="143"/>
      <c r="AK136" s="143"/>
      <c r="AL136" s="144"/>
      <c r="AN136" s="145"/>
      <c r="AO136" s="136"/>
      <c r="AP136" s="146"/>
      <c r="AQ136" s="140"/>
      <c r="AR136" s="140"/>
      <c r="AS136" s="140"/>
      <c r="AT136" s="140"/>
      <c r="AU136" s="140"/>
      <c r="AV136" s="115"/>
      <c r="AW136" s="140"/>
      <c r="AX136" s="140"/>
      <c r="AY136" s="140"/>
      <c r="AZ136" s="140"/>
      <c r="BA136" s="140"/>
      <c r="BB136" s="140"/>
    </row>
    <row r="137" spans="2:54">
      <c r="B137" s="147"/>
      <c r="C137" s="139"/>
      <c r="D137" s="140"/>
      <c r="E137" s="140"/>
      <c r="F137" s="140"/>
      <c r="G137" s="140"/>
      <c r="H137" s="141"/>
      <c r="I137" s="140"/>
      <c r="J137" s="140"/>
      <c r="K137" s="140"/>
      <c r="L137" s="140"/>
      <c r="M137" s="140"/>
      <c r="N137" s="140"/>
      <c r="O137" s="140"/>
      <c r="P137" s="140"/>
      <c r="Q137" s="142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3"/>
      <c r="AI137" s="143"/>
      <c r="AJ137" s="143"/>
      <c r="AK137" s="143"/>
      <c r="AL137" s="144"/>
      <c r="AN137" s="145"/>
      <c r="AO137" s="136"/>
      <c r="AP137" s="146"/>
      <c r="AQ137" s="140"/>
      <c r="AR137" s="140"/>
      <c r="AS137" s="140"/>
      <c r="AT137" s="140"/>
      <c r="AU137" s="140"/>
      <c r="AV137" s="115"/>
      <c r="AW137" s="140"/>
      <c r="AX137" s="140"/>
      <c r="AY137" s="140"/>
      <c r="AZ137" s="140"/>
      <c r="BA137" s="140"/>
      <c r="BB137" s="140"/>
    </row>
    <row r="138" spans="2:54">
      <c r="B138" s="147"/>
      <c r="C138" s="139"/>
      <c r="D138" s="140"/>
      <c r="E138" s="140"/>
      <c r="F138" s="140"/>
      <c r="G138" s="140"/>
      <c r="H138" s="141"/>
      <c r="I138" s="140"/>
      <c r="J138" s="140"/>
      <c r="K138" s="140"/>
      <c r="L138" s="140"/>
      <c r="M138" s="140"/>
      <c r="N138" s="140"/>
      <c r="O138" s="140"/>
      <c r="P138" s="140"/>
      <c r="Q138" s="142"/>
      <c r="R138" s="140"/>
      <c r="S138" s="140"/>
      <c r="T138" s="140"/>
      <c r="U138" s="140"/>
      <c r="V138" s="140"/>
      <c r="W138" s="140"/>
      <c r="X138" s="140"/>
      <c r="Y138" s="140"/>
      <c r="Z138" s="140"/>
      <c r="AA138" s="140"/>
      <c r="AB138" s="140"/>
      <c r="AC138" s="140"/>
      <c r="AD138" s="140"/>
      <c r="AE138" s="140"/>
      <c r="AF138" s="140"/>
      <c r="AG138" s="140"/>
      <c r="AH138" s="143"/>
      <c r="AI138" s="143"/>
      <c r="AJ138" s="143"/>
      <c r="AK138" s="143"/>
      <c r="AL138" s="144"/>
      <c r="AN138" s="145"/>
      <c r="AO138" s="136"/>
      <c r="AP138" s="146"/>
      <c r="AQ138" s="140"/>
      <c r="AR138" s="140"/>
      <c r="AS138" s="140"/>
      <c r="AT138" s="140"/>
      <c r="AU138" s="140"/>
      <c r="AV138" s="115"/>
      <c r="AW138" s="140"/>
      <c r="AX138" s="140"/>
      <c r="AY138" s="140"/>
      <c r="AZ138" s="140"/>
      <c r="BA138" s="140"/>
      <c r="BB138" s="140"/>
    </row>
    <row r="139" spans="2:54">
      <c r="B139" s="147"/>
      <c r="C139" s="139"/>
      <c r="D139" s="140"/>
      <c r="E139" s="140"/>
      <c r="F139" s="140"/>
      <c r="G139" s="140"/>
      <c r="H139" s="141"/>
      <c r="I139" s="140"/>
      <c r="J139" s="140"/>
      <c r="K139" s="140"/>
      <c r="L139" s="140"/>
      <c r="M139" s="140"/>
      <c r="N139" s="140"/>
      <c r="O139" s="140"/>
      <c r="P139" s="144"/>
      <c r="Q139" s="142"/>
      <c r="R139" s="144"/>
      <c r="S139" s="140"/>
      <c r="T139" s="146"/>
      <c r="U139" s="140"/>
      <c r="V139" s="140"/>
      <c r="W139" s="140"/>
      <c r="X139" s="140"/>
      <c r="Y139" s="140"/>
      <c r="Z139" s="140"/>
      <c r="AA139" s="140"/>
      <c r="AB139" s="152"/>
      <c r="AC139" s="140"/>
      <c r="AD139" s="140"/>
      <c r="AE139" s="140"/>
      <c r="AF139" s="140"/>
      <c r="AG139" s="140"/>
      <c r="AH139" s="143"/>
      <c r="AI139" s="143"/>
      <c r="AJ139" s="143"/>
      <c r="AK139" s="143"/>
      <c r="AL139" s="144"/>
      <c r="AN139" s="145"/>
      <c r="AO139" s="136"/>
      <c r="AP139" s="146"/>
      <c r="AQ139" s="140"/>
      <c r="AR139" s="140"/>
      <c r="AS139" s="140"/>
      <c r="AT139" s="140"/>
      <c r="AU139" s="140"/>
      <c r="AV139" s="115"/>
      <c r="AW139" s="140"/>
      <c r="AX139" s="140"/>
      <c r="AY139" s="140"/>
      <c r="AZ139" s="140"/>
      <c r="BA139" s="140"/>
      <c r="BB139" s="140"/>
    </row>
    <row r="140" spans="2:54">
      <c r="B140" s="147"/>
      <c r="C140" s="139"/>
      <c r="D140" s="140"/>
      <c r="E140" s="140"/>
      <c r="F140" s="140"/>
      <c r="G140" s="140"/>
      <c r="H140" s="141"/>
      <c r="I140" s="140"/>
      <c r="J140" s="140"/>
      <c r="K140" s="140"/>
      <c r="L140" s="140"/>
      <c r="M140" s="140"/>
      <c r="N140" s="140"/>
      <c r="O140" s="140"/>
      <c r="P140" s="144"/>
      <c r="Q140" s="142"/>
      <c r="R140" s="144"/>
      <c r="S140" s="140"/>
      <c r="T140" s="146"/>
      <c r="U140" s="140"/>
      <c r="V140" s="140"/>
      <c r="W140" s="140"/>
      <c r="X140" s="140"/>
      <c r="Y140" s="140"/>
      <c r="Z140" s="140"/>
      <c r="AA140" s="140"/>
      <c r="AB140" s="152"/>
      <c r="AC140" s="140"/>
      <c r="AD140" s="140"/>
      <c r="AE140" s="140"/>
      <c r="AF140" s="140"/>
      <c r="AG140" s="140"/>
      <c r="AH140" s="143"/>
      <c r="AI140" s="143"/>
      <c r="AJ140" s="143"/>
      <c r="AK140" s="143"/>
      <c r="AL140" s="144"/>
      <c r="AN140" s="145"/>
      <c r="AO140" s="136"/>
      <c r="AP140" s="146"/>
      <c r="AQ140" s="140"/>
      <c r="AR140" s="140"/>
      <c r="AS140" s="140"/>
      <c r="AT140" s="140"/>
      <c r="AU140" s="140"/>
      <c r="AV140" s="115"/>
      <c r="AW140" s="140"/>
      <c r="AX140" s="140"/>
      <c r="AY140" s="140"/>
      <c r="AZ140" s="140"/>
      <c r="BA140" s="140"/>
      <c r="BB140" s="140"/>
    </row>
    <row r="141" spans="2:54">
      <c r="B141" s="147"/>
      <c r="C141" s="139"/>
      <c r="D141" s="140"/>
      <c r="E141" s="140"/>
      <c r="F141" s="140"/>
      <c r="G141" s="140"/>
      <c r="H141" s="141"/>
      <c r="I141" s="140"/>
      <c r="J141" s="140"/>
      <c r="K141" s="140"/>
      <c r="L141" s="140"/>
      <c r="M141" s="140"/>
      <c r="N141" s="140"/>
      <c r="O141" s="140"/>
      <c r="P141" s="144"/>
      <c r="Q141" s="142"/>
      <c r="R141" s="144"/>
      <c r="S141" s="140"/>
      <c r="T141" s="146"/>
      <c r="U141" s="140"/>
      <c r="V141" s="148"/>
      <c r="W141" s="148"/>
      <c r="X141" s="148"/>
      <c r="Y141" s="148"/>
      <c r="Z141" s="148"/>
      <c r="AA141" s="148"/>
      <c r="AB141" s="148"/>
      <c r="AC141" s="148"/>
      <c r="AD141" s="148"/>
      <c r="AE141" s="148"/>
      <c r="AF141" s="148"/>
      <c r="AG141" s="148"/>
      <c r="AH141" s="143"/>
      <c r="AI141" s="143"/>
      <c r="AJ141" s="143"/>
      <c r="AK141" s="143"/>
      <c r="AL141" s="144"/>
      <c r="AN141" s="145"/>
      <c r="AO141" s="136"/>
      <c r="AP141" s="146"/>
      <c r="AQ141" s="140"/>
      <c r="AR141" s="140"/>
      <c r="AS141" s="140"/>
      <c r="AT141" s="140"/>
      <c r="AU141" s="140"/>
      <c r="AV141" s="115"/>
      <c r="AW141" s="140"/>
      <c r="AX141" s="140"/>
      <c r="AY141" s="140"/>
      <c r="AZ141" s="140"/>
      <c r="BA141" s="140"/>
      <c r="BB141" s="140"/>
    </row>
    <row r="142" spans="2:54">
      <c r="B142" s="147"/>
      <c r="C142" s="139"/>
      <c r="D142" s="140"/>
      <c r="E142" s="140"/>
      <c r="F142" s="140"/>
      <c r="G142" s="140"/>
      <c r="H142" s="141"/>
      <c r="I142" s="140"/>
      <c r="J142" s="140"/>
      <c r="K142" s="140"/>
      <c r="L142" s="140"/>
      <c r="M142" s="140"/>
      <c r="N142" s="140"/>
      <c r="O142" s="140"/>
      <c r="P142" s="144"/>
      <c r="Q142" s="142"/>
      <c r="R142" s="144"/>
      <c r="S142" s="140"/>
      <c r="T142" s="146"/>
      <c r="U142" s="140"/>
      <c r="V142" s="148"/>
      <c r="W142" s="148"/>
      <c r="X142" s="148"/>
      <c r="Y142" s="148"/>
      <c r="Z142" s="148"/>
      <c r="AA142" s="148"/>
      <c r="AB142" s="152"/>
      <c r="AC142" s="148"/>
      <c r="AD142" s="148"/>
      <c r="AE142" s="148"/>
      <c r="AF142" s="148"/>
      <c r="AG142" s="148"/>
      <c r="AH142" s="143"/>
      <c r="AI142" s="143"/>
      <c r="AJ142" s="143"/>
      <c r="AK142" s="143"/>
      <c r="AL142" s="144"/>
      <c r="AN142" s="145"/>
      <c r="AO142" s="136"/>
      <c r="AP142" s="146"/>
      <c r="AQ142" s="140"/>
      <c r="AR142" s="140"/>
      <c r="AS142" s="140"/>
      <c r="AT142" s="140"/>
      <c r="AU142" s="140"/>
      <c r="AV142" s="115"/>
      <c r="AW142" s="140"/>
      <c r="AX142" s="140"/>
      <c r="AY142" s="140"/>
      <c r="AZ142" s="140"/>
      <c r="BA142" s="140"/>
      <c r="BB142" s="140"/>
    </row>
    <row r="143" spans="2:54">
      <c r="B143" s="147"/>
      <c r="C143" s="139"/>
      <c r="D143" s="140"/>
      <c r="E143" s="140"/>
      <c r="F143" s="140"/>
      <c r="G143" s="140"/>
      <c r="H143" s="141"/>
      <c r="I143" s="140"/>
      <c r="J143" s="140"/>
      <c r="K143" s="140"/>
      <c r="L143" s="140"/>
      <c r="M143" s="140"/>
      <c r="N143" s="140"/>
      <c r="O143" s="140"/>
      <c r="P143" s="144"/>
      <c r="Q143" s="142"/>
      <c r="R143" s="151"/>
      <c r="S143" s="140"/>
      <c r="T143" s="146"/>
      <c r="U143" s="140"/>
      <c r="V143" s="140"/>
      <c r="W143" s="140"/>
      <c r="X143" s="140"/>
      <c r="Y143" s="140"/>
      <c r="Z143" s="140"/>
      <c r="AA143" s="140"/>
      <c r="AB143" s="138"/>
      <c r="AC143" s="140"/>
      <c r="AD143" s="140"/>
      <c r="AE143" s="140"/>
      <c r="AF143" s="140"/>
      <c r="AG143" s="140"/>
      <c r="AH143" s="143"/>
      <c r="AI143" s="143"/>
      <c r="AJ143" s="143"/>
      <c r="AK143" s="143"/>
      <c r="AL143" s="144"/>
      <c r="AN143" s="145"/>
      <c r="AO143" s="136"/>
      <c r="AP143" s="146"/>
      <c r="AQ143" s="140"/>
      <c r="AR143" s="140"/>
      <c r="AS143" s="140"/>
      <c r="AT143" s="140"/>
      <c r="AU143" s="140"/>
      <c r="AV143" s="115"/>
      <c r="AW143" s="140"/>
      <c r="AX143" s="140"/>
      <c r="AY143" s="140"/>
      <c r="AZ143" s="140"/>
      <c r="BA143" s="140"/>
      <c r="BB143" s="140"/>
    </row>
    <row r="144" spans="2:54">
      <c r="B144" s="147"/>
      <c r="C144" s="139"/>
      <c r="D144" s="140"/>
      <c r="E144" s="140"/>
      <c r="F144" s="140"/>
      <c r="G144" s="140"/>
      <c r="H144" s="141"/>
      <c r="I144" s="140"/>
      <c r="J144" s="140"/>
      <c r="K144" s="140"/>
      <c r="L144" s="144"/>
      <c r="M144" s="144"/>
      <c r="N144" s="144"/>
      <c r="O144" s="144"/>
      <c r="P144" s="144"/>
      <c r="Q144" s="142"/>
      <c r="R144" s="151"/>
      <c r="S144" s="140"/>
      <c r="T144" s="146"/>
      <c r="U144" s="140"/>
      <c r="V144" s="140"/>
      <c r="W144" s="140"/>
      <c r="X144" s="140"/>
      <c r="Y144" s="140"/>
      <c r="Z144" s="140"/>
      <c r="AA144" s="140"/>
      <c r="AB144" s="140"/>
      <c r="AC144" s="140"/>
      <c r="AD144" s="140"/>
      <c r="AE144" s="140"/>
      <c r="AF144" s="140"/>
      <c r="AG144" s="140"/>
      <c r="AH144" s="143"/>
      <c r="AI144" s="143"/>
      <c r="AJ144" s="143"/>
      <c r="AK144" s="143"/>
      <c r="AL144" s="144"/>
      <c r="AN144" s="145"/>
      <c r="AO144" s="136"/>
      <c r="AP144" s="146"/>
      <c r="AQ144" s="140"/>
      <c r="AR144" s="140"/>
      <c r="AS144" s="140"/>
      <c r="AT144" s="140"/>
      <c r="AU144" s="140"/>
      <c r="AV144" s="115"/>
      <c r="AW144" s="140"/>
      <c r="AX144" s="140"/>
      <c r="AY144" s="140"/>
      <c r="AZ144" s="140"/>
      <c r="BA144" s="140"/>
      <c r="BB144" s="140"/>
    </row>
    <row r="145" spans="2:54">
      <c r="B145" s="147"/>
      <c r="C145" s="139"/>
      <c r="D145" s="140"/>
      <c r="E145" s="140"/>
      <c r="F145" s="140"/>
      <c r="G145" s="140"/>
      <c r="H145" s="141"/>
      <c r="I145" s="140"/>
      <c r="J145" s="140"/>
      <c r="K145" s="140"/>
      <c r="L145" s="140"/>
      <c r="M145" s="140"/>
      <c r="N145" s="140"/>
      <c r="O145" s="140"/>
      <c r="P145" s="140"/>
      <c r="Q145" s="142"/>
      <c r="R145" s="140"/>
      <c r="S145" s="140"/>
      <c r="T145" s="140"/>
      <c r="U145" s="140"/>
      <c r="V145" s="148"/>
      <c r="W145" s="148"/>
      <c r="X145" s="148"/>
      <c r="Y145" s="148"/>
      <c r="Z145" s="148"/>
      <c r="AA145" s="148"/>
      <c r="AB145" s="152"/>
      <c r="AC145" s="148"/>
      <c r="AD145" s="148"/>
      <c r="AE145" s="148"/>
      <c r="AF145" s="148"/>
      <c r="AG145" s="148"/>
      <c r="AH145" s="143"/>
      <c r="AI145" s="143"/>
      <c r="AJ145" s="143"/>
      <c r="AK145" s="143"/>
      <c r="AL145" s="144"/>
      <c r="AN145" s="145"/>
      <c r="AO145" s="136"/>
      <c r="AP145" s="146"/>
      <c r="AQ145" s="140"/>
      <c r="AR145" s="140"/>
      <c r="AS145" s="140"/>
      <c r="AT145" s="140"/>
      <c r="AU145" s="140"/>
      <c r="AV145" s="115"/>
      <c r="AW145" s="140"/>
      <c r="AX145" s="140"/>
      <c r="AY145" s="140"/>
      <c r="AZ145" s="140"/>
      <c r="BA145" s="140"/>
      <c r="BB145" s="140"/>
    </row>
    <row r="146" spans="2:54">
      <c r="B146" s="147"/>
      <c r="C146" s="139"/>
      <c r="D146" s="140"/>
      <c r="E146" s="140"/>
      <c r="F146" s="140"/>
      <c r="G146" s="140"/>
      <c r="H146" s="141"/>
      <c r="I146" s="140"/>
      <c r="J146" s="140"/>
      <c r="K146" s="140"/>
      <c r="L146" s="140"/>
      <c r="M146" s="140"/>
      <c r="N146" s="140"/>
      <c r="O146" s="140"/>
      <c r="P146" s="140"/>
      <c r="Q146" s="142"/>
      <c r="R146" s="140"/>
      <c r="S146" s="140"/>
      <c r="T146" s="150"/>
      <c r="U146" s="140"/>
      <c r="V146" s="148"/>
      <c r="W146" s="148"/>
      <c r="X146" s="148"/>
      <c r="Y146" s="148"/>
      <c r="Z146" s="148"/>
      <c r="AA146" s="148"/>
      <c r="AB146" s="152"/>
      <c r="AC146" s="148"/>
      <c r="AD146" s="148"/>
      <c r="AE146" s="148"/>
      <c r="AF146" s="148"/>
      <c r="AG146" s="148"/>
      <c r="AH146" s="143"/>
      <c r="AI146" s="143"/>
      <c r="AJ146" s="143"/>
      <c r="AK146" s="143"/>
      <c r="AL146" s="144"/>
      <c r="AN146" s="145"/>
      <c r="AO146" s="136"/>
      <c r="AP146" s="146"/>
      <c r="AQ146" s="140"/>
      <c r="AR146" s="140"/>
      <c r="AS146" s="140"/>
      <c r="AT146" s="140"/>
      <c r="AU146" s="140"/>
      <c r="AV146" s="115"/>
      <c r="AW146" s="140"/>
      <c r="AX146" s="140"/>
      <c r="AY146" s="140"/>
      <c r="AZ146" s="140"/>
      <c r="BA146" s="140"/>
      <c r="BB146" s="140"/>
    </row>
    <row r="147" spans="2:54">
      <c r="B147" s="147"/>
      <c r="C147" s="139"/>
      <c r="D147" s="140"/>
      <c r="E147" s="140"/>
      <c r="F147" s="140"/>
      <c r="G147" s="140"/>
      <c r="H147" s="141"/>
      <c r="I147" s="140"/>
      <c r="J147" s="140"/>
      <c r="K147" s="140"/>
      <c r="L147" s="140"/>
      <c r="M147" s="140"/>
      <c r="N147" s="140"/>
      <c r="O147" s="140"/>
      <c r="P147" s="140"/>
      <c r="Q147" s="142"/>
      <c r="R147" s="150"/>
      <c r="S147" s="150"/>
      <c r="T147" s="150"/>
      <c r="U147" s="150"/>
      <c r="V147" s="140"/>
      <c r="W147" s="140"/>
      <c r="X147" s="140"/>
      <c r="Y147" s="140"/>
      <c r="Z147" s="140"/>
      <c r="AA147" s="140"/>
      <c r="AB147" s="152"/>
      <c r="AC147" s="140"/>
      <c r="AD147" s="140"/>
      <c r="AE147" s="140"/>
      <c r="AF147" s="140"/>
      <c r="AG147" s="140"/>
      <c r="AH147" s="143"/>
      <c r="AI147" s="143"/>
      <c r="AJ147" s="143"/>
      <c r="AK147" s="143"/>
      <c r="AL147" s="144"/>
      <c r="AN147" s="145"/>
      <c r="AO147" s="136"/>
      <c r="AP147" s="146"/>
      <c r="AQ147" s="140"/>
      <c r="AR147" s="140"/>
      <c r="AS147" s="140"/>
      <c r="AT147" s="140"/>
      <c r="AU147" s="140"/>
      <c r="AV147" s="149"/>
      <c r="AW147" s="140"/>
      <c r="AX147" s="140"/>
      <c r="AY147" s="140"/>
      <c r="AZ147" s="140"/>
      <c r="BA147" s="140"/>
      <c r="BB147" s="140"/>
    </row>
    <row r="148" spans="2:54" ht="15.75" thickBot="1">
      <c r="B148" s="164"/>
      <c r="C148" s="165"/>
      <c r="D148" s="166"/>
      <c r="E148" s="166"/>
      <c r="F148" s="166"/>
      <c r="G148" s="166"/>
      <c r="H148" s="167"/>
      <c r="I148" s="166"/>
      <c r="J148" s="166"/>
      <c r="K148" s="166"/>
      <c r="L148" s="166"/>
      <c r="M148" s="166"/>
      <c r="N148" s="166"/>
      <c r="O148" s="166"/>
      <c r="P148" s="166"/>
      <c r="Q148" s="168"/>
      <c r="R148" s="166"/>
      <c r="S148" s="166"/>
      <c r="T148" s="166"/>
      <c r="U148" s="166"/>
      <c r="V148" s="166"/>
      <c r="W148" s="166"/>
      <c r="X148" s="166"/>
      <c r="Y148" s="166"/>
      <c r="Z148" s="166"/>
      <c r="AA148" s="166"/>
      <c r="AB148" s="166"/>
      <c r="AC148" s="166"/>
      <c r="AD148" s="166"/>
      <c r="AE148" s="166"/>
      <c r="AF148" s="166"/>
      <c r="AG148" s="166"/>
      <c r="AH148" s="169"/>
      <c r="AI148" s="169"/>
      <c r="AJ148" s="169"/>
      <c r="AK148" s="169"/>
      <c r="AL148" s="170"/>
      <c r="AN148" s="171"/>
      <c r="AP148" s="172"/>
      <c r="AQ148" s="173"/>
      <c r="AR148" s="173"/>
      <c r="AS148" s="173"/>
      <c r="AT148" s="173"/>
      <c r="AU148" s="173"/>
      <c r="AV148" s="173"/>
      <c r="AW148" s="173"/>
      <c r="AX148" s="173"/>
      <c r="AY148" s="173"/>
      <c r="AZ148" s="173"/>
      <c r="BA148" s="173"/>
      <c r="BB148" s="173"/>
    </row>
    <row r="149" spans="2:54">
      <c r="C149" s="174"/>
      <c r="D149" s="175"/>
      <c r="E149" s="175"/>
      <c r="F149" s="175"/>
      <c r="G149" s="175"/>
      <c r="H149" s="176"/>
      <c r="I149" s="175"/>
      <c r="J149" s="175"/>
      <c r="K149" s="175"/>
      <c r="L149" s="175"/>
      <c r="M149" s="175"/>
      <c r="N149" s="175"/>
      <c r="O149" s="175"/>
      <c r="P149" s="175"/>
      <c r="Q149" s="142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7"/>
      <c r="AI149" s="177"/>
      <c r="AJ149" s="177"/>
      <c r="AK149" s="177"/>
      <c r="AL149" s="175"/>
      <c r="AN149" s="148"/>
    </row>
    <row r="150" spans="2:54">
      <c r="C150" s="97"/>
      <c r="D150" s="140"/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  <c r="O150" s="140"/>
      <c r="P150" s="140"/>
      <c r="Q150" s="140"/>
      <c r="R150" s="140"/>
      <c r="S150" s="140"/>
      <c r="T150" s="140"/>
      <c r="U150" s="140"/>
      <c r="V150" s="140"/>
      <c r="W150" s="140"/>
      <c r="X150" s="140"/>
      <c r="Y150" s="140"/>
      <c r="Z150" s="140"/>
      <c r="AA150" s="140"/>
      <c r="AB150" s="140"/>
      <c r="AC150" s="140"/>
      <c r="AD150" s="140"/>
      <c r="AE150" s="140"/>
      <c r="AF150" s="140"/>
      <c r="AG150" s="140"/>
      <c r="AH150" s="162"/>
      <c r="AI150" s="162"/>
      <c r="AJ150" s="162"/>
      <c r="AK150" s="162"/>
      <c r="AL150" s="140"/>
      <c r="AN150" s="178"/>
      <c r="AO150" s="97"/>
      <c r="AP150" s="140"/>
      <c r="AQ150" s="140"/>
      <c r="AR150" s="140"/>
      <c r="AS150" s="140"/>
      <c r="AT150" s="140"/>
      <c r="AU150" s="140"/>
      <c r="AV150" s="140"/>
      <c r="AW150" s="140"/>
      <c r="AX150" s="140"/>
      <c r="AY150" s="140"/>
      <c r="AZ150" s="140"/>
      <c r="BA150" s="140"/>
      <c r="BB150" s="140"/>
    </row>
    <row r="151" spans="2:54">
      <c r="H151" s="1"/>
      <c r="Q151" s="1"/>
      <c r="AM151" s="2"/>
      <c r="AN151" s="3"/>
      <c r="AO151" s="3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2:54">
      <c r="C152" s="97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79"/>
      <c r="O152" s="179"/>
      <c r="P152" s="179"/>
      <c r="Q152" s="179"/>
      <c r="R152" s="179"/>
      <c r="S152" s="179"/>
      <c r="T152" s="179"/>
      <c r="U152" s="179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2"/>
      <c r="AN152" s="3"/>
      <c r="AO152" s="97"/>
      <c r="AP152" s="115"/>
      <c r="AQ152" s="115"/>
      <c r="AR152" s="115"/>
      <c r="AS152" s="115"/>
      <c r="AT152" s="115"/>
      <c r="AU152" s="115"/>
      <c r="AV152" s="115"/>
      <c r="AW152" s="115"/>
      <c r="AX152" s="115"/>
      <c r="AY152" s="115"/>
      <c r="AZ152" s="115"/>
      <c r="BA152" s="115"/>
      <c r="BB152" s="115"/>
    </row>
    <row r="153" spans="2:54">
      <c r="C153" s="97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79"/>
      <c r="O153" s="179"/>
      <c r="P153" s="179"/>
      <c r="Q153" s="179"/>
      <c r="R153" s="179"/>
      <c r="S153" s="179"/>
      <c r="T153" s="179"/>
      <c r="U153" s="179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2"/>
      <c r="AN153" s="3"/>
      <c r="AO153" s="97"/>
      <c r="AP153" s="115"/>
      <c r="AQ153" s="115"/>
      <c r="AR153" s="115"/>
      <c r="AS153" s="115"/>
      <c r="AT153" s="115"/>
      <c r="AU153" s="115"/>
      <c r="AV153" s="115"/>
      <c r="AW153" s="115"/>
      <c r="AX153" s="115"/>
      <c r="AY153" s="115"/>
      <c r="AZ153" s="115"/>
      <c r="BA153" s="115"/>
      <c r="BB153" s="115"/>
    </row>
    <row r="154" spans="2:54">
      <c r="C154" s="97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79"/>
      <c r="O154" s="179"/>
      <c r="P154" s="179"/>
      <c r="Q154" s="179"/>
      <c r="R154" s="179"/>
      <c r="S154" s="179"/>
      <c r="T154" s="179"/>
      <c r="U154" s="179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2"/>
      <c r="AN154" s="3"/>
      <c r="AO154" s="97"/>
      <c r="AP154" s="115"/>
      <c r="AQ154" s="115"/>
      <c r="AR154" s="115"/>
      <c r="AS154" s="115"/>
      <c r="AT154" s="115"/>
      <c r="AU154" s="115"/>
      <c r="AV154" s="115"/>
      <c r="AW154" s="115"/>
      <c r="AX154" s="115"/>
      <c r="AY154" s="115"/>
      <c r="AZ154" s="115"/>
      <c r="BA154" s="115"/>
      <c r="BB154" s="115"/>
    </row>
    <row r="155" spans="2:54">
      <c r="C155" s="97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79"/>
      <c r="O155" s="179"/>
      <c r="P155" s="179"/>
      <c r="Q155" s="179"/>
      <c r="R155" s="179"/>
      <c r="S155" s="179"/>
      <c r="T155" s="179"/>
      <c r="U155" s="179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2"/>
      <c r="AN155" s="3"/>
      <c r="AO155" s="97"/>
      <c r="AP155" s="115"/>
      <c r="AQ155" s="115"/>
      <c r="AR155" s="115"/>
      <c r="AS155" s="115"/>
      <c r="AT155" s="115"/>
      <c r="AU155" s="115"/>
      <c r="AV155" s="115"/>
      <c r="AW155" s="115"/>
      <c r="AX155" s="115"/>
      <c r="AY155" s="115"/>
      <c r="AZ155" s="115"/>
      <c r="BA155" s="115"/>
      <c r="BB155" s="115"/>
    </row>
    <row r="156" spans="2:54">
      <c r="C156" s="97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79"/>
      <c r="O156" s="179"/>
      <c r="P156" s="179"/>
      <c r="Q156" s="179"/>
      <c r="R156" s="179"/>
      <c r="S156" s="179"/>
      <c r="T156" s="179"/>
      <c r="U156" s="179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2"/>
      <c r="AN156" s="3"/>
      <c r="AO156" s="3"/>
      <c r="AP156" s="115"/>
      <c r="AQ156" s="115"/>
      <c r="AR156" s="115"/>
      <c r="AS156" s="115"/>
      <c r="AT156" s="115"/>
      <c r="AU156" s="115"/>
      <c r="AV156" s="115"/>
      <c r="AW156" s="115"/>
      <c r="AX156" s="115"/>
      <c r="AY156" s="115"/>
      <c r="AZ156" s="115"/>
      <c r="BA156" s="115"/>
      <c r="BB156" s="115"/>
    </row>
    <row r="157" spans="2:54"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79"/>
      <c r="O157" s="179"/>
      <c r="P157" s="179"/>
      <c r="Q157" s="179"/>
      <c r="R157" s="179"/>
      <c r="S157" s="179"/>
      <c r="T157" s="179"/>
      <c r="U157" s="179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2"/>
      <c r="AN157" s="3"/>
      <c r="AO157" s="3"/>
      <c r="AP157" s="115"/>
      <c r="AQ157" s="115"/>
      <c r="AR157" s="115"/>
      <c r="AS157" s="115"/>
      <c r="AT157" s="115"/>
      <c r="AU157" s="115"/>
      <c r="AV157" s="115"/>
      <c r="AW157" s="115"/>
      <c r="AX157" s="115"/>
      <c r="AY157" s="115"/>
      <c r="AZ157" s="115"/>
      <c r="BA157" s="115"/>
      <c r="BB157" s="115"/>
    </row>
    <row r="158" spans="2:54">
      <c r="H158" s="1"/>
      <c r="Q158" s="1"/>
      <c r="AM158" s="2"/>
      <c r="AN158" s="3"/>
      <c r="AO158" s="3"/>
      <c r="AP158" s="149"/>
      <c r="AQ158" s="149"/>
      <c r="AR158" s="149"/>
      <c r="AS158" s="149"/>
      <c r="AT158" s="149"/>
      <c r="AU158" s="149"/>
      <c r="AV158" s="149"/>
      <c r="AW158" s="149"/>
      <c r="AX158" s="149"/>
      <c r="AY158" s="149"/>
      <c r="AZ158" s="149"/>
      <c r="BA158" s="149"/>
      <c r="BB158" s="149"/>
    </row>
    <row r="159" spans="2:54">
      <c r="AO159" s="3"/>
      <c r="AP159" s="75"/>
      <c r="AQ159" s="75"/>
      <c r="AR159" s="75"/>
      <c r="AS159" s="75"/>
      <c r="AT159" s="75"/>
      <c r="AU159" s="75"/>
      <c r="AV159" s="75"/>
      <c r="AW159" s="75"/>
      <c r="AX159" s="75"/>
      <c r="AY159" s="75"/>
      <c r="AZ159" s="75"/>
      <c r="BA159" s="75"/>
      <c r="BB159" s="75"/>
    </row>
    <row r="161" spans="40:54">
      <c r="AN161" s="137"/>
      <c r="AO161" s="97"/>
      <c r="AP161" s="115"/>
      <c r="AQ161" s="115"/>
      <c r="AR161" s="115"/>
      <c r="AS161" s="115"/>
      <c r="AT161" s="115"/>
      <c r="AU161" s="115"/>
      <c r="AV161" s="115"/>
      <c r="AW161" s="115"/>
      <c r="AX161" s="115"/>
      <c r="AY161" s="115"/>
      <c r="AZ161" s="115"/>
      <c r="BA161" s="115"/>
      <c r="BB161" s="115"/>
    </row>
    <row r="162" spans="40:54">
      <c r="AO162" s="97"/>
      <c r="AP162" s="115"/>
      <c r="AQ162" s="115"/>
      <c r="AR162" s="115"/>
      <c r="AS162" s="115"/>
      <c r="AT162" s="115"/>
      <c r="AU162" s="115"/>
      <c r="AV162" s="115"/>
      <c r="AW162" s="115"/>
      <c r="AX162" s="115"/>
      <c r="AY162" s="115"/>
      <c r="AZ162" s="115"/>
      <c r="BA162" s="115"/>
      <c r="BB162" s="115"/>
    </row>
    <row r="163" spans="40:54">
      <c r="AO163" s="97"/>
      <c r="AP163" s="115"/>
      <c r="AQ163" s="115"/>
      <c r="AR163" s="115"/>
      <c r="AS163" s="115"/>
      <c r="AT163" s="115"/>
      <c r="AU163" s="115"/>
      <c r="AV163" s="115"/>
      <c r="AW163" s="115"/>
      <c r="AX163" s="115"/>
      <c r="AY163" s="115"/>
      <c r="AZ163" s="115"/>
      <c r="BA163" s="115"/>
      <c r="BB163" s="115"/>
    </row>
    <row r="164" spans="40:54">
      <c r="AO164" s="97"/>
      <c r="AP164" s="115"/>
      <c r="AQ164" s="115"/>
      <c r="AR164" s="115"/>
      <c r="AS164" s="115"/>
      <c r="AT164" s="115"/>
      <c r="AU164" s="115"/>
      <c r="AV164" s="115"/>
      <c r="AW164" s="115"/>
      <c r="AX164" s="115"/>
      <c r="AY164" s="115"/>
      <c r="AZ164" s="115"/>
      <c r="BA164" s="115"/>
      <c r="BB164" s="115"/>
    </row>
    <row r="165" spans="40:54">
      <c r="AO165" s="3"/>
      <c r="AP165" s="75"/>
      <c r="AQ165" s="75"/>
      <c r="AR165" s="75"/>
      <c r="AS165" s="75"/>
      <c r="AT165" s="75"/>
      <c r="AU165" s="75"/>
      <c r="AV165" s="75"/>
      <c r="AW165" s="75"/>
      <c r="AX165" s="75"/>
      <c r="AY165" s="75"/>
      <c r="AZ165" s="75"/>
      <c r="BA165" s="75"/>
      <c r="BB165" s="75"/>
    </row>
  </sheetData>
  <sheetProtection sort="0" autoFilter="0"/>
  <autoFilter ref="B6:BB147">
    <sortState ref="B7:BR114">
      <sortCondition ref="B6:B147"/>
    </sortState>
  </autoFilter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B2:F30"/>
  <sheetViews>
    <sheetView tabSelected="1" workbookViewId="0">
      <selection activeCell="D4" sqref="D4"/>
    </sheetView>
  </sheetViews>
  <sheetFormatPr defaultColWidth="11.42578125" defaultRowHeight="15"/>
  <cols>
    <col min="2" max="2" width="23.140625" bestFit="1" customWidth="1"/>
    <col min="3" max="3" width="17.7109375" bestFit="1" customWidth="1"/>
    <col min="4" max="4" width="30.140625" bestFit="1" customWidth="1"/>
  </cols>
  <sheetData>
    <row r="2" spans="2:6" ht="15.75">
      <c r="B2" s="215">
        <v>43655</v>
      </c>
    </row>
    <row r="4" spans="2:6">
      <c r="B4" s="203" t="s">
        <v>730</v>
      </c>
      <c r="C4" s="203" t="s">
        <v>731</v>
      </c>
      <c r="D4" s="217"/>
    </row>
    <row r="5" spans="2:6">
      <c r="B5" s="216" t="s">
        <v>754</v>
      </c>
      <c r="C5" s="203" t="s">
        <v>732</v>
      </c>
      <c r="D5" s="214">
        <f>INDEX(Rémunérations!$A$1:$BB$50,MATCH(B5,Rémunérations!$B:$B,0),MATCH(DATE(YEAR($B$2),MONTH($B$2),1),Rémunérations!$6:$6,0))</f>
        <v>446.25</v>
      </c>
      <c r="F5" s="49"/>
    </row>
    <row r="6" spans="2:6">
      <c r="B6" s="147" t="s">
        <v>755</v>
      </c>
      <c r="C6" s="203" t="s">
        <v>733</v>
      </c>
      <c r="D6" s="214">
        <f>INDEX(Rémunérations!$A$1:$BB$50,MATCH(B6,Rémunérations!$B:$B,0),MATCH(DATE(YEAR($B$2),MONTH($B$2),1),Rémunérations!$6:$6,0))</f>
        <v>3335.5555555555552</v>
      </c>
    </row>
    <row r="7" spans="2:6">
      <c r="B7" s="147" t="s">
        <v>756</v>
      </c>
      <c r="C7" s="203" t="s">
        <v>734</v>
      </c>
      <c r="D7" s="214">
        <f>INDEX(Rémunérations!$A$1:$BB$50,MATCH(B7,Rémunérations!$B:$B,0),MATCH(DATE(YEAR($B$2),MONTH($B$2),1),Rémunérations!$6:$6,0))</f>
        <v>1328.25</v>
      </c>
    </row>
    <row r="8" spans="2:6">
      <c r="B8" s="147" t="s">
        <v>757</v>
      </c>
      <c r="C8" s="203" t="s">
        <v>735</v>
      </c>
      <c r="D8" s="214">
        <f>INDEX(Rémunérations!$A$1:$BB$50,MATCH(B8,Rémunérations!$B:$B,0),MATCH(DATE(YEAR($B$2),MONTH($B$2),1),Rémunérations!$6:$6,0))</f>
        <v>5367.992596</v>
      </c>
    </row>
    <row r="9" spans="2:6">
      <c r="B9" s="147" t="s">
        <v>758</v>
      </c>
      <c r="C9" s="203" t="s">
        <v>736</v>
      </c>
      <c r="D9" s="214">
        <f>INDEX(Rémunérations!$A$1:$BB$50,MATCH(B9,Rémunérations!$B:$B,0),MATCH(DATE(YEAR($B$2),MONTH($B$2),1),Rémunérations!$6:$6,0))</f>
        <v>1328.25</v>
      </c>
    </row>
    <row r="10" spans="2:6">
      <c r="B10" s="147" t="s">
        <v>759</v>
      </c>
      <c r="C10" s="203" t="s">
        <v>735</v>
      </c>
      <c r="D10" s="214">
        <f>INDEX(Rémunérations!$A$1:$BB$50,MATCH(B10,Rémunérations!$B:$B,0),MATCH(DATE(YEAR($B$2),MONTH($B$2),1),Rémunérations!$6:$6,0))</f>
        <v>7916.3333537333328</v>
      </c>
    </row>
    <row r="11" spans="2:6">
      <c r="B11" s="147" t="s">
        <v>760</v>
      </c>
      <c r="C11" s="203" t="s">
        <v>737</v>
      </c>
      <c r="D11" s="214">
        <f>INDEX(Rémunérations!$A$1:$BB$50,MATCH(B11,Rémunérations!$B:$B,0),MATCH(DATE(YEAR($B$2),MONTH($B$2),1),Rémunérations!$6:$6,0))</f>
        <v>2780.4</v>
      </c>
    </row>
    <row r="12" spans="2:6">
      <c r="B12" s="147" t="s">
        <v>761</v>
      </c>
      <c r="C12" s="203" t="s">
        <v>738</v>
      </c>
      <c r="D12" s="214">
        <f>INDEX(Rémunérations!$A$1:$BB$50,MATCH(B12,Rémunérations!$B:$B,0),MATCH(DATE(YEAR($B$2),MONTH($B$2),1),Rémunérations!$6:$6,0))</f>
        <v>4397.6099999999997</v>
      </c>
    </row>
    <row r="13" spans="2:6">
      <c r="B13" s="147" t="s">
        <v>762</v>
      </c>
      <c r="C13" s="203" t="s">
        <v>739</v>
      </c>
      <c r="D13" s="214">
        <f>INDEX(Rémunérations!$A$1:$BB$50,MATCH(B13,Rémunérations!$B:$B,0),MATCH(DATE(YEAR($B$2),MONTH($B$2),1),Rémunérations!$6:$6,0))</f>
        <v>9679.1666666666679</v>
      </c>
    </row>
    <row r="14" spans="2:6">
      <c r="B14" s="147" t="s">
        <v>763</v>
      </c>
      <c r="C14" s="203" t="s">
        <v>740</v>
      </c>
      <c r="D14" s="214">
        <f>INDEX(Rémunérations!$A$1:$BB$50,MATCH(B14,Rémunérations!$B:$B,0),MATCH(DATE(YEAR($B$2),MONTH($B$2),1),Rémunérations!$6:$6,0))</f>
        <v>3727.1300040000001</v>
      </c>
    </row>
    <row r="15" spans="2:6">
      <c r="B15" s="147" t="s">
        <v>764</v>
      </c>
      <c r="C15" s="203" t="s">
        <v>741</v>
      </c>
      <c r="D15" s="214">
        <f>INDEX(Rémunérations!$A$1:$BB$50,MATCH(B15,Rémunérations!$B:$B,0),MATCH(DATE(YEAR($B$2),MONTH($B$2),1),Rémunérations!$6:$6,0))</f>
        <v>4471.9009999999998</v>
      </c>
    </row>
    <row r="16" spans="2:6">
      <c r="B16" s="147" t="s">
        <v>765</v>
      </c>
      <c r="C16" s="203" t="s">
        <v>742</v>
      </c>
      <c r="D16" s="214">
        <f>INDEX(Rémunérations!$A$1:$BB$50,MATCH(B16,Rémunérations!$B:$B,0),MATCH(DATE(YEAR($B$2),MONTH($B$2),1),Rémunérations!$6:$6,0))</f>
        <v>3516.8274879999999</v>
      </c>
    </row>
    <row r="17" spans="2:4">
      <c r="B17" s="147" t="s">
        <v>766</v>
      </c>
      <c r="C17" s="203" t="s">
        <v>734</v>
      </c>
      <c r="D17" s="214">
        <f>INDEX(Rémunérations!$A$1:$BB$50,MATCH(B17,Rémunérations!$B:$B,0),MATCH(DATE(YEAR($B$2),MONTH($B$2),1),Rémunérations!$6:$6,0))</f>
        <v>2909.8299099999999</v>
      </c>
    </row>
    <row r="18" spans="2:4">
      <c r="B18" s="147" t="s">
        <v>767</v>
      </c>
      <c r="C18" s="203" t="s">
        <v>743</v>
      </c>
      <c r="D18" s="214">
        <f>INDEX(Rémunérations!$A$1:$BB$50,MATCH(B18,Rémunérations!$B:$B,0),MATCH(DATE(YEAR($B$2),MONTH($B$2),1),Rémunérations!$6:$6,0))</f>
        <v>4196.9003039999998</v>
      </c>
    </row>
    <row r="19" spans="2:4">
      <c r="B19" s="147" t="s">
        <v>768</v>
      </c>
      <c r="C19" s="203" t="s">
        <v>744</v>
      </c>
      <c r="D19" s="214">
        <f>INDEX(Rémunérations!$A$1:$BB$50,MATCH(B19,Rémunérations!$B:$B,0),MATCH(DATE(YEAR($B$2),MONTH($B$2),1),Rémunérations!$6:$6,0))</f>
        <v>3527.1</v>
      </c>
    </row>
    <row r="20" spans="2:4">
      <c r="B20" s="147" t="s">
        <v>769</v>
      </c>
      <c r="C20" s="203" t="s">
        <v>745</v>
      </c>
      <c r="D20" s="214">
        <f>INDEX(Rémunérations!$A$1:$BB$50,MATCH(B20,Rémunérations!$B:$B,0),MATCH(DATE(YEAR($B$2),MONTH($B$2),1),Rémunérations!$6:$6,0))</f>
        <v>4666.3701920000003</v>
      </c>
    </row>
    <row r="21" spans="2:4">
      <c r="B21" s="147" t="s">
        <v>770</v>
      </c>
      <c r="C21" s="203" t="s">
        <v>746</v>
      </c>
      <c r="D21" s="214">
        <f>INDEX(Rémunérations!$A$1:$BB$50,MATCH(B21,Rémunérations!$B:$B,0),MATCH(DATE(YEAR($B$2),MONTH($B$2),1),Rémunérations!$6:$6,0))</f>
        <v>3547.4193548387098</v>
      </c>
    </row>
    <row r="22" spans="2:4">
      <c r="B22" s="147" t="s">
        <v>771</v>
      </c>
      <c r="C22" s="203" t="s">
        <v>747</v>
      </c>
      <c r="D22" s="214">
        <f>INDEX(Rémunérations!$A$1:$BB$50,MATCH(B22,Rémunérations!$B:$B,0),MATCH(DATE(YEAR($B$2),MONTH($B$2),1),Rémunérations!$6:$6,0))</f>
        <v>2562.5</v>
      </c>
    </row>
    <row r="23" spans="2:4">
      <c r="B23" s="147" t="s">
        <v>772</v>
      </c>
      <c r="C23" s="203" t="s">
        <v>748</v>
      </c>
      <c r="D23" s="214">
        <f>INDEX(Rémunérations!$A$1:$BB$50,MATCH(B23,Rémunérations!$B:$B,0),MATCH(DATE(YEAR($B$2),MONTH($B$2),1),Rémunérations!$6:$6,0))</f>
        <v>10452.163</v>
      </c>
    </row>
    <row r="24" spans="2:4">
      <c r="B24" s="147" t="s">
        <v>773</v>
      </c>
      <c r="C24" s="203" t="s">
        <v>749</v>
      </c>
      <c r="D24" s="214">
        <f>INDEX(Rémunérations!$A$1:$BB$50,MATCH(B24,Rémunérations!$B:$B,0),MATCH(DATE(YEAR($B$2),MONTH($B$2),1),Rémunérations!$6:$6,0))</f>
        <v>3820.4668039999997</v>
      </c>
    </row>
    <row r="25" spans="2:4">
      <c r="B25" s="147" t="s">
        <v>774</v>
      </c>
      <c r="C25" s="203" t="s">
        <v>750</v>
      </c>
      <c r="D25" s="214">
        <f>INDEX(Rémunérations!$A$1:$BB$50,MATCH(B25,Rémunérations!$B:$B,0),MATCH(DATE(YEAR($B$2),MONTH($B$2),1),Rémunérations!$6:$6,0))</f>
        <v>5450</v>
      </c>
    </row>
    <row r="26" spans="2:4">
      <c r="B26" s="147" t="s">
        <v>775</v>
      </c>
      <c r="C26" s="203" t="s">
        <v>751</v>
      </c>
      <c r="D26" s="214">
        <f>INDEX(Rémunérations!$A$1:$BB$50,MATCH(B26,Rémunérations!$B:$B,0),MATCH(DATE(YEAR($B$2),MONTH($B$2),1),Rémunérations!$6:$6,0))</f>
        <v>5593.3331840000001</v>
      </c>
    </row>
    <row r="27" spans="2:4">
      <c r="B27" s="147" t="s">
        <v>776</v>
      </c>
      <c r="C27" s="203" t="s">
        <v>751</v>
      </c>
      <c r="D27" s="214">
        <f>INDEX(Rémunérations!$A$1:$BB$50,MATCH(B27,Rémunérations!$B:$B,0),MATCH(DATE(YEAR($B$2),MONTH($B$2),1),Rémunérations!$6:$6,0))</f>
        <v>3537.6702504</v>
      </c>
    </row>
    <row r="28" spans="2:4">
      <c r="B28" s="147" t="s">
        <v>777</v>
      </c>
      <c r="C28" s="203" t="s">
        <v>752</v>
      </c>
      <c r="D28" s="214">
        <f>INDEX(Rémunérations!$A$1:$BB$50,MATCH(B28,Rémunérations!$B:$B,0),MATCH(DATE(YEAR($B$2),MONTH($B$2),1),Rémunérations!$6:$6,0))</f>
        <v>4477</v>
      </c>
    </row>
    <row r="29" spans="2:4">
      <c r="B29" s="147" t="s">
        <v>778</v>
      </c>
      <c r="C29" s="203" t="s">
        <v>739</v>
      </c>
      <c r="D29" s="214">
        <f>INDEX(Rémunérations!$A$1:$BB$50,MATCH(B29,Rémunérations!$B:$B,0),MATCH(DATE(YEAR($B$2),MONTH($B$2),1),Rémunérations!$6:$6,0))</f>
        <v>2457.5233709677418</v>
      </c>
    </row>
    <row r="30" spans="2:4">
      <c r="B30" s="147" t="s">
        <v>779</v>
      </c>
      <c r="C30" s="203" t="s">
        <v>753</v>
      </c>
      <c r="D30" s="214">
        <f>INDEX(Rémunérations!$A$1:$BB$50,MATCH(B30,Rémunérations!$B:$B,0),MATCH(DATE(YEAR($B$2),MONTH($B$2),1),Rémunérations!$6:$6,0))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Instructions</vt:lpstr>
      <vt:lpstr>Synthèse</vt:lpstr>
      <vt:lpstr>BG</vt:lpstr>
      <vt:lpstr>Evolution par mois</vt:lpstr>
      <vt:lpstr>Rémunérations</vt:lpstr>
      <vt:lpstr>Comparaison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Laurine CAMPET BOISSEAU</dc:creator>
  <cp:lastModifiedBy>Carim</cp:lastModifiedBy>
  <cp:lastPrinted>2018-01-26T10:05:30Z</cp:lastPrinted>
  <dcterms:created xsi:type="dcterms:W3CDTF">2017-11-07T11:16:29Z</dcterms:created>
  <dcterms:modified xsi:type="dcterms:W3CDTF">2019-07-09T12:31:28Z</dcterms:modified>
</cp:coreProperties>
</file>