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21720" windowHeight="12435" activeTab="2"/>
  </bookViews>
  <sheets>
    <sheet name="liste enfants" sheetId="1" r:id="rId1"/>
    <sheet name="Présences" sheetId="2" r:id="rId2"/>
    <sheet name="FEUILLE JOURNEE" sheetId="3" r:id="rId3"/>
  </sheets>
  <definedNames>
    <definedName name="JOURNEE">'FEUILLE JOURNEE'!$B$1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3"/>
  <c r="C21" a="1"/>
  <c r="C19" a="1"/>
  <c r="C17" a="1"/>
  <c r="C15" a="1"/>
  <c r="C13" a="1"/>
  <c r="C11" a="1"/>
  <c r="C9" a="1"/>
  <c r="C7" a="1"/>
  <c r="C5" a="1"/>
  <c r="C22" a="1"/>
  <c r="C20" a="1"/>
  <c r="C18" a="1"/>
  <c r="C16" a="1"/>
  <c r="C14" a="1"/>
  <c r="C12" a="1"/>
  <c r="C10" a="1"/>
  <c r="C8" a="1"/>
  <c r="C6" a="1"/>
  <c r="C4" a="1"/>
  <c r="C3" a="1"/>
  <c r="B21" a="1"/>
  <c r="B19" a="1"/>
  <c r="B16" a="1"/>
  <c r="B14" a="1"/>
  <c r="B22" a="1"/>
  <c r="B20" a="1"/>
  <c r="B18" a="1"/>
  <c r="B17" a="1"/>
  <c r="B15" a="1"/>
  <c r="B13" a="1"/>
  <c r="B11" a="1"/>
  <c r="B8" a="1"/>
  <c r="B6" a="1"/>
  <c r="B4" a="1"/>
  <c r="B12" a="1"/>
  <c r="B10" a="1"/>
  <c r="B9" a="1"/>
  <c r="B7" a="1"/>
  <c r="B5" a="1"/>
  <c r="B3" a="1"/>
  <c r="C6" l="1"/>
  <c r="C8"/>
  <c r="C10"/>
  <c r="C12"/>
  <c r="C14"/>
  <c r="C16"/>
  <c r="C18"/>
  <c r="C20"/>
  <c r="C22"/>
  <c r="C5"/>
  <c r="C7"/>
  <c r="C9"/>
  <c r="C11"/>
  <c r="C13"/>
  <c r="C15"/>
  <c r="C17"/>
  <c r="C19"/>
  <c r="C21"/>
  <c r="C4"/>
  <c r="C3"/>
  <c r="B13"/>
  <c r="B15"/>
  <c r="B17"/>
  <c r="B18"/>
  <c r="B20"/>
  <c r="B22"/>
  <c r="B14"/>
  <c r="B16"/>
  <c r="B19"/>
  <c r="B21"/>
  <c r="B5"/>
  <c r="B7"/>
  <c r="B9"/>
  <c r="B10"/>
  <c r="B12"/>
  <c r="B4"/>
  <c r="B6"/>
  <c r="B8"/>
  <c r="B11"/>
  <c r="B3"/>
  <c r="B4" i="2"/>
  <c r="M4"/>
  <c r="N4"/>
  <c r="P4"/>
  <c r="Q4"/>
  <c r="B5"/>
  <c r="M5"/>
  <c r="N5"/>
  <c r="P5"/>
  <c r="Q5"/>
  <c r="B6"/>
  <c r="M6"/>
  <c r="N6"/>
  <c r="P6"/>
  <c r="Q6"/>
  <c r="B7"/>
  <c r="M7"/>
  <c r="N7"/>
  <c r="P7"/>
  <c r="Q7"/>
  <c r="O4" l="1"/>
  <c r="O5"/>
  <c r="O6"/>
  <c r="O7"/>
  <c r="B8" l="1"/>
  <c r="M8"/>
  <c r="N8"/>
  <c r="P8"/>
  <c r="Q8"/>
  <c r="O8" l="1"/>
  <c r="D43" i="3" l="1"/>
  <c r="D12" i="2"/>
  <c r="E12"/>
  <c r="F12"/>
  <c r="G12"/>
  <c r="H12"/>
  <c r="I12"/>
  <c r="J12"/>
  <c r="K12"/>
  <c r="L12"/>
  <c r="C12"/>
  <c r="C11"/>
  <c r="D11"/>
  <c r="E11"/>
  <c r="F11"/>
  <c r="G11"/>
  <c r="H11"/>
  <c r="I11"/>
  <c r="J11"/>
  <c r="K11"/>
  <c r="L11"/>
  <c r="D10"/>
  <c r="E10"/>
  <c r="F10"/>
  <c r="G10"/>
  <c r="H10"/>
  <c r="I10"/>
  <c r="J10"/>
  <c r="K10"/>
  <c r="L10"/>
  <c r="C10"/>
  <c r="D16" l="1"/>
  <c r="D15"/>
  <c r="M10"/>
  <c r="C15" l="1"/>
  <c r="C16"/>
  <c r="G14" l="1"/>
</calcChain>
</file>

<file path=xl/sharedStrings.xml><?xml version="1.0" encoding="utf-8"?>
<sst xmlns="http://schemas.openxmlformats.org/spreadsheetml/2006/main" count="99" uniqueCount="60">
  <si>
    <t>enfant</t>
  </si>
  <si>
    <t xml:space="preserve"> parent</t>
  </si>
  <si>
    <t>adresse</t>
  </si>
  <si>
    <t>code postal</t>
  </si>
  <si>
    <t>ville</t>
  </si>
  <si>
    <t>anniversaire</t>
  </si>
  <si>
    <t>AGE</t>
  </si>
  <si>
    <t>régime</t>
  </si>
  <si>
    <t>CAT</t>
  </si>
  <si>
    <t>SUP</t>
  </si>
  <si>
    <t>centre</t>
  </si>
  <si>
    <t>mercredi</t>
  </si>
  <si>
    <t>n° alloc</t>
  </si>
  <si>
    <t>doc fourni</t>
  </si>
  <si>
    <t>SEXE</t>
  </si>
  <si>
    <t>ADRESSE MAIL</t>
  </si>
  <si>
    <t>Colonne2</t>
  </si>
  <si>
    <t>Colonne3</t>
  </si>
  <si>
    <t>CAF</t>
  </si>
  <si>
    <t>MSA</t>
  </si>
  <si>
    <t>PIERRE</t>
  </si>
  <si>
    <t>THOMAS</t>
  </si>
  <si>
    <t>ENFANT</t>
  </si>
  <si>
    <t>Nb de jours</t>
  </si>
  <si>
    <t>Tarif</t>
  </si>
  <si>
    <t>FACTURE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</si>
  <si>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</si>
  <si>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</si>
  <si>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</si>
  <si>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</si>
  <si>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</si>
  <si>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</si>
  <si>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</si>
  <si>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</si>
  <si>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</si>
  <si>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</si>
  <si>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REPAS</t>
  </si>
  <si>
    <t>CAF/MSA</t>
  </si>
  <si>
    <t>MATIN</t>
  </si>
  <si>
    <t>APREM</t>
  </si>
  <si>
    <t>&lt; 6</t>
  </si>
  <si>
    <t>&gt; 6</t>
  </si>
  <si>
    <t>ARRIVEE</t>
  </si>
  <si>
    <t>DEPART</t>
  </si>
  <si>
    <t>SIGNATURE</t>
  </si>
  <si>
    <t>date :</t>
  </si>
  <si>
    <t>MOY.</t>
  </si>
  <si>
    <t>CIV</t>
  </si>
  <si>
    <t>lundi</t>
  </si>
  <si>
    <t>mardi</t>
  </si>
  <si>
    <t>jeudi</t>
  </si>
  <si>
    <t>vendredi</t>
  </si>
  <si>
    <t>JULIE</t>
  </si>
  <si>
    <t>MANON</t>
  </si>
  <si>
    <t>ANAIS</t>
  </si>
  <si>
    <t>LOU</t>
  </si>
  <si>
    <t>LEO</t>
  </si>
  <si>
    <t>J</t>
  </si>
  <si>
    <t>A</t>
  </si>
  <si>
    <t>M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</si>
</sst>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4.9989318521683403E-2"/>
      <name val="Calibri"/>
      <family val="2"/>
      <scheme val="minor"/>
    </font>
    <font>
      <b/>
      <sz val="8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16" fontId="5" fillId="2" borderId="0" xfId="0" applyNumberFormat="1" applyFont="1" applyFill="1"/>
    <xf numFmtId="16" fontId="5" fillId="3" borderId="0" xfId="0" applyNumberFormat="1" applyFont="1" applyFill="1"/>
    <xf numFmtId="0" fontId="3" fillId="0" borderId="2" xfId="0" applyFont="1" applyBorder="1" applyAlignment="1">
      <alignment horizontal="center"/>
    </xf>
    <xf numFmtId="0" fontId="0" fillId="0" borderId="0" xfId="0" applyAlignment="1">
      <alignment horizontal="right"/>
    </xf>
    <xf numFmtId="0" fontId="4" fillId="0" borderId="2" xfId="0" applyFont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4" fillId="0" borderId="2" xfId="0" applyFont="1" applyBorder="1"/>
    <xf numFmtId="0" fontId="0" fillId="0" borderId="2" xfId="0" applyBorder="1"/>
    <xf numFmtId="0" fontId="9" fillId="2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" fontId="1" fillId="4" borderId="2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4" xfId="0" applyBorder="1"/>
    <xf numFmtId="0" fontId="1" fillId="4" borderId="3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0" borderId="2" xfId="0" applyFill="1" applyBorder="1"/>
    <xf numFmtId="0" fontId="1" fillId="0" borderId="2" xfId="0" applyFont="1" applyFill="1" applyBorder="1"/>
    <xf numFmtId="1" fontId="0" fillId="2" borderId="2" xfId="0" applyNumberFormat="1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0" fontId="8" fillId="0" borderId="0" xfId="0" applyFont="1" applyAlignment="1">
      <alignment horizontal="left"/>
    </xf>
    <xf numFmtId="0" fontId="11" fillId="0" borderId="0" xfId="0" applyFont="1"/>
    <xf numFmtId="164" fontId="10" fillId="0" borderId="0" xfId="0" applyNumberFormat="1" applyFont="1" applyAlignment="1">
      <alignment horizontal="centerContinuous"/>
    </xf>
    <xf numFmtId="0" fontId="0" fillId="0" borderId="0" xfId="0" applyAlignment="1">
      <alignment horizontal="centerContinuous"/>
    </xf>
    <xf numFmtId="0" fontId="12" fillId="0" borderId="0" xfId="0" applyFont="1" applyAlignment="1">
      <alignment horizontal="left"/>
    </xf>
    <xf numFmtId="0" fontId="13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quotePrefix="1" applyFon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0.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8A2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152400</xdr:rowOff>
    </xdr:from>
    <xdr:to>
      <xdr:col>0</xdr:col>
      <xdr:colOff>857250</xdr:colOff>
      <xdr:row>0</xdr:row>
      <xdr:rowOff>742950</xdr:rowOff>
    </xdr:to>
    <xdr:sp macro="[0]!Macro1" textlink="">
      <xdr:nvSpPr>
        <xdr:cNvPr id="3" name="Émoticône 2"/>
        <xdr:cNvSpPr/>
      </xdr:nvSpPr>
      <xdr:spPr>
        <a:xfrm>
          <a:off x="266700" y="152400"/>
          <a:ext cx="590550" cy="590550"/>
        </a:xfrm>
        <a:prstGeom prst="smileyFace">
          <a:avLst/>
        </a:prstGeom>
        <a:gradFill>
          <a:gsLst>
            <a:gs pos="0">
              <a:srgbClr val="F8A2E8"/>
            </a:gs>
            <a:gs pos="74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lin ang="5400000" scaled="0"/>
        </a:gra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1257300</xdr:colOff>
      <xdr:row>0</xdr:row>
      <xdr:rowOff>161925</xdr:rowOff>
    </xdr:from>
    <xdr:to>
      <xdr:col>1</xdr:col>
      <xdr:colOff>123825</xdr:colOff>
      <xdr:row>1</xdr:row>
      <xdr:rowOff>123825</xdr:rowOff>
    </xdr:to>
    <xdr:sp macro="[0]!TRI" textlink="">
      <xdr:nvSpPr>
        <xdr:cNvPr id="4" name="Flèche vers le bas 3"/>
        <xdr:cNvSpPr/>
      </xdr:nvSpPr>
      <xdr:spPr>
        <a:xfrm>
          <a:off x="1257300" y="161925"/>
          <a:ext cx="419100" cy="723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A..Z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R334" totalsRowShown="0">
  <autoFilter ref="A2:R334"/>
  <tableColumns count="18">
    <tableColumn id="1" name="enfant"/>
    <tableColumn id="2" name=" parent"/>
    <tableColumn id="3" name="adresse"/>
    <tableColumn id="4" name="code postal"/>
    <tableColumn id="5" name="ville"/>
    <tableColumn id="6" name="anniversaire"/>
    <tableColumn id="7" name="AGE"/>
    <tableColumn id="8" name="régime"/>
    <tableColumn id="9" name="CAT"/>
    <tableColumn id="10" name="SUP"/>
    <tableColumn id="11" name="centre"/>
    <tableColumn id="12" name="mercredi"/>
    <tableColumn id="13" name="n° alloc"/>
    <tableColumn id="14" name="doc fourni"/>
    <tableColumn id="15" name="SEXE"/>
    <tableColumn id="16" name="ADRESSE MAIL"/>
    <tableColumn id="17" name="Colonne2"/>
    <tableColumn id="18" name="Colonne3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Q8" totalsRowShown="0" dataDxfId="17">
  <autoFilter ref="A3:Q8"/>
  <sortState ref="A4:Q4">
    <sortCondition ref="A3:A4"/>
  </sortState>
  <tableColumns count="17">
    <tableColumn id="1" name="ENFANT" dataDxfId="16"/>
    <tableColumn id="2" name="AGE" dataDxfId="15">
      <calculatedColumnFormula>LOOKUP(Tableau2[[#This Row],[ENFANT]],Tableau1[enfant],Tableau1[AGE])</calculatedColumnFormula>
    </tableColumn>
    <tableColumn id="3" name="20-déc" dataDxfId="14"/>
    <tableColumn id="4" name="21-déc" dataDxfId="13"/>
    <tableColumn id="5" name="22-déc" dataDxfId="12"/>
    <tableColumn id="6" name="23-déc" dataDxfId="11"/>
    <tableColumn id="7" name="24-déc" dataDxfId="10"/>
    <tableColumn id="8" name="25-déc" dataDxfId="9"/>
    <tableColumn id="9" name="26-déc" dataDxfId="8"/>
    <tableColumn id="10" name="27-déc" dataDxfId="7"/>
    <tableColumn id="11" name="28-déc" dataDxfId="6"/>
    <tableColumn id="12" name="29-déc" dataDxfId="5"/>
    <tableColumn id="13" name="Nb de jours" dataDxfId="4">
      <calculatedColumnFormula>COUNTIF(Tableau2[[#This Row],[20-déc]:[29-déc]],"J")+COUNTIF(Tableau2[[#This Row],[20-déc]:[29-déc]],"M")/2+COUNTIF(Tableau2[[#This Row],[20-déc]:[29-déc]],"A")/2</calculatedColumnFormula>
    </tableColumn>
    <tableColumn id="14" name="Tarif" dataDxfId="3">
      <calculatedColumnFormula>LOOKUP(Tableau2[[#This Row],[ENFANT]],Tableau1[enfant],Tableau1[centre])</calculatedColumnFormula>
    </tableColumn>
    <tableColumn id="15" name="FACTURE" dataDxfId="2">
      <calculatedColumnFormula>[Tarif]*[Nb de jours]</calculatedColumnFormula>
    </tableColumn>
    <tableColumn id="16" name="CAF/MSA" dataDxfId="1">
      <calculatedColumnFormula>LOOKUP(Tableau2[[#This Row],[ENFANT]],Tableau1[enfant],Tableau1[régime])</calculatedColumnFormula>
    </tableColumn>
    <tableColumn id="17" name="CIV" dataDxfId="0">
      <calculatedColumnFormula>LOOKUP(Tableau2[[#This Row],[ENFANT]],Tableau1[enfant],Tableau1[doc fourni])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9"/>
  <sheetViews>
    <sheetView workbookViewId="0">
      <selection activeCell="B3" sqref="B3"/>
    </sheetView>
  </sheetViews>
  <sheetFormatPr defaultColWidth="11.42578125" defaultRowHeight="15"/>
  <cols>
    <col min="4" max="4" width="13.28515625" customWidth="1"/>
    <col min="6" max="6" width="14.140625" customWidth="1"/>
    <col min="14" max="14" width="12.140625" customWidth="1"/>
    <col min="16" max="16" width="15.7109375" customWidth="1"/>
    <col min="17" max="18" width="11.5703125" customWidth="1"/>
  </cols>
  <sheetData>
    <row r="2" spans="1:18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</row>
    <row r="3" spans="1:18">
      <c r="A3" t="s">
        <v>21</v>
      </c>
      <c r="G3">
        <v>5</v>
      </c>
      <c r="K3">
        <v>11</v>
      </c>
    </row>
    <row r="4" spans="1:18">
      <c r="A4" t="s">
        <v>52</v>
      </c>
      <c r="G4">
        <v>8</v>
      </c>
      <c r="K4">
        <v>11</v>
      </c>
    </row>
    <row r="5" spans="1:18">
      <c r="A5" t="s">
        <v>53</v>
      </c>
      <c r="G5">
        <v>5</v>
      </c>
      <c r="K5">
        <v>11</v>
      </c>
    </row>
    <row r="6" spans="1:18">
      <c r="A6" t="s">
        <v>54</v>
      </c>
      <c r="G6">
        <v>8</v>
      </c>
      <c r="K6">
        <v>11</v>
      </c>
    </row>
    <row r="7" spans="1:18">
      <c r="A7" t="s">
        <v>20</v>
      </c>
      <c r="G7">
        <v>8</v>
      </c>
      <c r="K7">
        <v>11</v>
      </c>
    </row>
    <row r="8" spans="1:18">
      <c r="A8" t="s">
        <v>55</v>
      </c>
      <c r="G8">
        <v>7</v>
      </c>
      <c r="K8">
        <v>9</v>
      </c>
    </row>
    <row r="9" spans="1:18">
      <c r="A9" t="s">
        <v>56</v>
      </c>
      <c r="G9">
        <v>9</v>
      </c>
      <c r="K9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6"/>
  <sheetViews>
    <sheetView workbookViewId="0">
      <pane ySplit="3" topLeftCell="A4" activePane="bottomLeft" state="frozen"/>
      <selection pane="bottomLeft" activeCell="N3" sqref="N3"/>
    </sheetView>
  </sheetViews>
  <sheetFormatPr defaultColWidth="11.42578125" defaultRowHeight="15"/>
  <cols>
    <col min="1" max="1" width="23.28515625" customWidth="1"/>
    <col min="2" max="2" width="6.140625" customWidth="1"/>
    <col min="3" max="12" width="7.7109375" style="1" customWidth="1"/>
    <col min="13" max="13" width="7.85546875" customWidth="1"/>
    <col min="18" max="18" width="16.7109375" customWidth="1"/>
  </cols>
  <sheetData>
    <row r="1" spans="1:17" ht="60" customHeight="1" thickBot="1">
      <c r="A1" s="1"/>
      <c r="B1" s="1"/>
    </row>
    <row r="2" spans="1:17" ht="15.75" thickBot="1">
      <c r="A2" s="1"/>
      <c r="B2" s="1"/>
      <c r="C2" s="31" t="s">
        <v>48</v>
      </c>
      <c r="D2" s="31" t="s">
        <v>49</v>
      </c>
      <c r="E2" s="31" t="s">
        <v>11</v>
      </c>
      <c r="F2" s="31" t="s">
        <v>50</v>
      </c>
      <c r="G2" s="31" t="s">
        <v>51</v>
      </c>
      <c r="H2" s="31" t="s">
        <v>48</v>
      </c>
      <c r="I2" s="31" t="s">
        <v>49</v>
      </c>
      <c r="J2" s="31" t="s">
        <v>11</v>
      </c>
      <c r="K2" s="31" t="s">
        <v>50</v>
      </c>
      <c r="L2" s="31" t="s">
        <v>51</v>
      </c>
    </row>
    <row r="3" spans="1:17">
      <c r="A3" s="2" t="s">
        <v>22</v>
      </c>
      <c r="B3" t="s">
        <v>6</v>
      </c>
      <c r="C3" s="3" t="s">
        <v>26</v>
      </c>
      <c r="D3" s="3" t="s">
        <v>27</v>
      </c>
      <c r="E3" s="3" t="s">
        <v>28</v>
      </c>
      <c r="F3" s="3" t="s">
        <v>29</v>
      </c>
      <c r="G3" s="3" t="s">
        <v>30</v>
      </c>
      <c r="H3" s="4" t="s">
        <v>31</v>
      </c>
      <c r="I3" s="4" t="s">
        <v>32</v>
      </c>
      <c r="J3" s="4" t="s">
        <v>33</v>
      </c>
      <c r="K3" s="4" t="s">
        <v>34</v>
      </c>
      <c r="L3" s="4" t="s">
        <v>35</v>
      </c>
      <c r="M3" t="s">
        <v>23</v>
      </c>
      <c r="N3" s="2" t="s">
        <v>24</v>
      </c>
      <c r="O3" t="s">
        <v>25</v>
      </c>
      <c r="P3" t="s">
        <v>37</v>
      </c>
      <c r="Q3" s="2" t="s">
        <v>47</v>
      </c>
    </row>
    <row r="4" spans="1:17" ht="15.75">
      <c r="A4" s="2" t="s">
        <v>53</v>
      </c>
      <c r="B4" s="2">
        <f>LOOKUP(Tableau2[[#This Row],[ENFANT]],Tableau1[enfant],Tableau1[AGE])</f>
        <v>5</v>
      </c>
      <c r="C4" s="30" t="s">
        <v>57</v>
      </c>
      <c r="D4" s="30" t="s">
        <v>57</v>
      </c>
      <c r="E4" s="30" t="s">
        <v>59</v>
      </c>
      <c r="F4" s="30" t="s">
        <v>57</v>
      </c>
      <c r="G4" s="30"/>
      <c r="H4" s="30"/>
      <c r="I4" s="30"/>
      <c r="J4" s="30"/>
      <c r="K4" s="30" t="s">
        <v>57</v>
      </c>
      <c r="L4" s="30" t="s">
        <v>57</v>
      </c>
      <c r="M4" s="2">
        <f>COUNTIF(Tableau2[[#This Row],[20-déc]:[29-déc]],"J")+COUNTIF(Tableau2[[#This Row],[20-déc]:[29-déc]],"M")/2+COUNTIF(Tableau2[[#This Row],[20-déc]:[29-déc]],"A")/2</f>
        <v>5.5</v>
      </c>
      <c r="N4" s="2">
        <f>LOOKUP(Tableau2[[#This Row],[ENFANT]],Tableau1[enfant],Tableau1[centre])</f>
        <v>11</v>
      </c>
      <c r="O4" s="2">
        <f>[Tarif]*[Nb de jours]</f>
        <v>60.5</v>
      </c>
      <c r="P4" s="2">
        <f>LOOKUP(Tableau2[[#This Row],[ENFANT]],Tableau1[enfant],Tableau1[régime])</f>
        <v>0</v>
      </c>
      <c r="Q4" s="2">
        <f>LOOKUP(Tableau2[[#This Row],[ENFANT]],Tableau1[enfant],Tableau1[doc fourni])</f>
        <v>0</v>
      </c>
    </row>
    <row r="5" spans="1:17" ht="15.75">
      <c r="A5" s="2" t="s">
        <v>21</v>
      </c>
      <c r="B5" s="2">
        <f>LOOKUP(Tableau2[[#This Row],[ENFANT]],Tableau1[enfant],Tableau1[AGE])</f>
        <v>9</v>
      </c>
      <c r="C5" s="30" t="s">
        <v>57</v>
      </c>
      <c r="D5" s="30"/>
      <c r="E5" s="30" t="s">
        <v>57</v>
      </c>
      <c r="F5" s="30" t="s">
        <v>57</v>
      </c>
      <c r="G5" s="30"/>
      <c r="H5" s="30" t="s">
        <v>57</v>
      </c>
      <c r="I5" s="30"/>
      <c r="J5" s="30" t="s">
        <v>57</v>
      </c>
      <c r="K5" s="30"/>
      <c r="L5" s="30"/>
      <c r="M5" s="2">
        <f>COUNTIF(Tableau2[[#This Row],[20-déc]:[29-déc]],"J")+COUNTIF(Tableau2[[#This Row],[20-déc]:[29-déc]],"M")/2+COUNTIF(Tableau2[[#This Row],[20-déc]:[29-déc]],"A")/2</f>
        <v>5</v>
      </c>
      <c r="N5" s="2">
        <f>LOOKUP(Tableau2[[#This Row],[ENFANT]],Tableau1[enfant],Tableau1[centre])</f>
        <v>9</v>
      </c>
      <c r="O5" s="2">
        <f>[Tarif]*[Nb de jours]</f>
        <v>45</v>
      </c>
      <c r="P5" s="2">
        <f>LOOKUP(Tableau2[[#This Row],[ENFANT]],Tableau1[enfant],Tableau1[régime])</f>
        <v>0</v>
      </c>
      <c r="Q5" s="2">
        <f>LOOKUP(Tableau2[[#This Row],[ENFANT]],Tableau1[enfant],Tableau1[doc fourni])</f>
        <v>0</v>
      </c>
    </row>
    <row r="6" spans="1:17" ht="15.75">
      <c r="A6" s="2" t="s">
        <v>52</v>
      </c>
      <c r="B6" s="2">
        <f>LOOKUP(Tableau2[[#This Row],[ENFANT]],Tableau1[enfant],Tableau1[AGE])</f>
        <v>8</v>
      </c>
      <c r="C6" s="30" t="s">
        <v>57</v>
      </c>
      <c r="D6" s="30"/>
      <c r="E6" s="30" t="s">
        <v>58</v>
      </c>
      <c r="F6" s="30"/>
      <c r="G6" s="30" t="s">
        <v>57</v>
      </c>
      <c r="H6" s="30"/>
      <c r="I6" s="30" t="s">
        <v>57</v>
      </c>
      <c r="J6" s="30" t="s">
        <v>57</v>
      </c>
      <c r="K6" s="30"/>
      <c r="L6" s="30" t="s">
        <v>57</v>
      </c>
      <c r="M6" s="2">
        <f>COUNTIF(Tableau2[[#This Row],[20-déc]:[29-déc]],"J")+COUNTIF(Tableau2[[#This Row],[20-déc]:[29-déc]],"M")/2+COUNTIF(Tableau2[[#This Row],[20-déc]:[29-déc]],"A")/2</f>
        <v>5.5</v>
      </c>
      <c r="N6" s="2">
        <f>LOOKUP(Tableau2[[#This Row],[ENFANT]],Tableau1[enfant],Tableau1[centre])</f>
        <v>11</v>
      </c>
      <c r="O6" s="2">
        <f>[Tarif]*[Nb de jours]</f>
        <v>60.5</v>
      </c>
      <c r="P6" s="2">
        <f>LOOKUP(Tableau2[[#This Row],[ENFANT]],Tableau1[enfant],Tableau1[régime])</f>
        <v>0</v>
      </c>
      <c r="Q6" s="2">
        <f>LOOKUP(Tableau2[[#This Row],[ENFANT]],Tableau1[enfant],Tableau1[doc fourni])</f>
        <v>0</v>
      </c>
    </row>
    <row r="7" spans="1:17" ht="15.75">
      <c r="A7" s="2" t="s">
        <v>56</v>
      </c>
      <c r="B7" s="2">
        <f>LOOKUP(Tableau2[[#This Row],[ENFANT]],Tableau1[enfant],Tableau1[AGE])</f>
        <v>8</v>
      </c>
      <c r="C7" s="30"/>
      <c r="D7" s="30" t="s">
        <v>57</v>
      </c>
      <c r="E7" s="30" t="s">
        <v>57</v>
      </c>
      <c r="F7" s="30"/>
      <c r="G7" s="30"/>
      <c r="H7" s="30" t="s">
        <v>57</v>
      </c>
      <c r="I7" s="30" t="s">
        <v>57</v>
      </c>
      <c r="J7" s="30"/>
      <c r="K7" s="30"/>
      <c r="L7" s="30"/>
      <c r="M7" s="2">
        <f>COUNTIF(Tableau2[[#This Row],[20-déc]:[29-déc]],"J")+COUNTIF(Tableau2[[#This Row],[20-déc]:[29-déc]],"M")/2+COUNTIF(Tableau2[[#This Row],[20-déc]:[29-déc]],"A")/2</f>
        <v>4</v>
      </c>
      <c r="N7" s="2">
        <f>LOOKUP(Tableau2[[#This Row],[ENFANT]],Tableau1[enfant],Tableau1[centre])</f>
        <v>11</v>
      </c>
      <c r="O7" s="2">
        <f>[Tarif]*[Nb de jours]</f>
        <v>44</v>
      </c>
      <c r="P7" s="2">
        <f>LOOKUP(Tableau2[[#This Row],[ENFANT]],Tableau1[enfant],Tableau1[régime])</f>
        <v>0</v>
      </c>
      <c r="Q7" s="2">
        <f>LOOKUP(Tableau2[[#This Row],[ENFANT]],Tableau1[enfant],Tableau1[doc fourni])</f>
        <v>0</v>
      </c>
    </row>
    <row r="8" spans="1:17" ht="15.75">
      <c r="A8" s="2" t="s">
        <v>55</v>
      </c>
      <c r="B8" s="2">
        <f>LOOKUP(Tableau2[[#This Row],[ENFANT]],Tableau1[enfant],Tableau1[AGE])</f>
        <v>8</v>
      </c>
      <c r="C8" s="30"/>
      <c r="D8" s="30" t="s">
        <v>57</v>
      </c>
      <c r="E8" s="30" t="s">
        <v>58</v>
      </c>
      <c r="F8" s="30"/>
      <c r="G8" s="30" t="s">
        <v>57</v>
      </c>
      <c r="H8" s="30" t="s">
        <v>57</v>
      </c>
      <c r="I8" s="30"/>
      <c r="J8" s="30"/>
      <c r="K8" s="30" t="s">
        <v>57</v>
      </c>
      <c r="L8" s="30"/>
      <c r="M8" s="2">
        <f>COUNTIF(Tableau2[[#This Row],[20-déc]:[29-déc]],"J")+COUNTIF(Tableau2[[#This Row],[20-déc]:[29-déc]],"M")/2+COUNTIF(Tableau2[[#This Row],[20-déc]:[29-déc]],"A")/2</f>
        <v>4.5</v>
      </c>
      <c r="N8" s="2">
        <f>LOOKUP(Tableau2[[#This Row],[ENFANT]],Tableau1[enfant],Tableau1[centre])</f>
        <v>11</v>
      </c>
      <c r="O8" s="2">
        <f>[Tarif]*[Nb de jours]</f>
        <v>49.5</v>
      </c>
      <c r="P8" s="2">
        <f>LOOKUP(Tableau2[[#This Row],[ENFANT]],Tableau1[enfant],Tableau1[régime])</f>
        <v>0</v>
      </c>
      <c r="Q8" s="2">
        <f>LOOKUP(Tableau2[[#This Row],[ENFANT]],Tableau1[enfant],Tableau1[doc fourni])</f>
        <v>0</v>
      </c>
    </row>
    <row r="10" spans="1:17" ht="15.75">
      <c r="A10" s="6"/>
      <c r="B10" s="7" t="s">
        <v>36</v>
      </c>
      <c r="C10" s="5">
        <f>COUNTIF(Tableau2[20-déc],"J")</f>
        <v>3</v>
      </c>
      <c r="D10" s="5">
        <f>COUNTIF(Tableau2[21-déc],"J")</f>
        <v>3</v>
      </c>
      <c r="E10" s="5">
        <f>COUNTIF(Tableau2[22-déc],"J")</f>
        <v>2</v>
      </c>
      <c r="F10" s="5">
        <f>COUNTIF(Tableau2[23-déc],"J")</f>
        <v>2</v>
      </c>
      <c r="G10" s="5">
        <f>COUNTIF(Tableau2[24-déc],"J")</f>
        <v>2</v>
      </c>
      <c r="H10" s="5">
        <f>COUNTIF(Tableau2[25-déc],"J")</f>
        <v>3</v>
      </c>
      <c r="I10" s="5">
        <f>COUNTIF(Tableau2[26-déc],"J")</f>
        <v>2</v>
      </c>
      <c r="J10" s="5">
        <f>COUNTIF(Tableau2[27-déc],"J")</f>
        <v>2</v>
      </c>
      <c r="K10" s="5">
        <f>COUNTIF(Tableau2[28-déc],"J")</f>
        <v>2</v>
      </c>
      <c r="L10" s="5">
        <f>COUNTIF(Tableau2[29-déc],"J")</f>
        <v>2</v>
      </c>
      <c r="M10" s="8">
        <f>SUM(C10:L10)</f>
        <v>23</v>
      </c>
    </row>
    <row r="11" spans="1:17" ht="15.75">
      <c r="B11" s="9" t="s">
        <v>38</v>
      </c>
      <c r="C11" s="5">
        <f>COUNTIF(Tableau2[20-déc],"J")+COUNTIF(Tableau2[20-déc],"M")</f>
        <v>3</v>
      </c>
      <c r="D11" s="5">
        <f>COUNTIF(Tableau2[21-déc],"J")+COUNTIF(Tableau2[21-déc],"M")</f>
        <v>3</v>
      </c>
      <c r="E11" s="5">
        <f>COUNTIF(Tableau2[22-déc],"J")+COUNTIF(Tableau2[22-déc],"M")</f>
        <v>3</v>
      </c>
      <c r="F11" s="5">
        <f>COUNTIF(Tableau2[23-déc],"J")+COUNTIF(Tableau2[23-déc],"M")</f>
        <v>2</v>
      </c>
      <c r="G11" s="5">
        <f>COUNTIF(Tableau2[24-déc],"J")+COUNTIF(Tableau2[24-déc],"M")</f>
        <v>2</v>
      </c>
      <c r="H11" s="5">
        <f>COUNTIF(Tableau2[25-déc],"J")+COUNTIF(Tableau2[25-déc],"M")</f>
        <v>3</v>
      </c>
      <c r="I11" s="5">
        <f>COUNTIF(Tableau2[26-déc],"J")+COUNTIF(Tableau2[26-déc],"M")</f>
        <v>2</v>
      </c>
      <c r="J11" s="5">
        <f>COUNTIF(Tableau2[27-déc],"J")+COUNTIF(Tableau2[27-déc],"M")</f>
        <v>2</v>
      </c>
      <c r="K11" s="5">
        <f>COUNTIF(Tableau2[28-déc],"J")+COUNTIF(Tableau2[28-déc],"M")</f>
        <v>2</v>
      </c>
      <c r="L11" s="5">
        <f>COUNTIF(Tableau2[29-déc],"J")+COUNTIF(Tableau2[29-déc],"M")</f>
        <v>2</v>
      </c>
    </row>
    <row r="12" spans="1:17" ht="15.75">
      <c r="B12" s="9" t="s">
        <v>39</v>
      </c>
      <c r="C12" s="5">
        <f>COUNTIF(Tableau2[20-déc],"J")+COUNTIF(Tableau2[20-déc],"A")</f>
        <v>3</v>
      </c>
      <c r="D12" s="5">
        <f>COUNTIF(Tableau2[21-déc],"J")+COUNTIF(Tableau2[21-déc],"A")</f>
        <v>3</v>
      </c>
      <c r="E12" s="5">
        <f>COUNTIF(Tableau2[22-déc],"J")+COUNTIF(Tableau2[22-déc],"A")</f>
        <v>4</v>
      </c>
      <c r="F12" s="5">
        <f>COUNTIF(Tableau2[23-déc],"J")+COUNTIF(Tableau2[23-déc],"A")</f>
        <v>2</v>
      </c>
      <c r="G12" s="5">
        <f>COUNTIF(Tableau2[24-déc],"J")+COUNTIF(Tableau2[24-déc],"A")</f>
        <v>2</v>
      </c>
      <c r="H12" s="5">
        <f>COUNTIF(Tableau2[25-déc],"J")+COUNTIF(Tableau2[25-déc],"A")</f>
        <v>3</v>
      </c>
      <c r="I12" s="5">
        <f>COUNTIF(Tableau2[26-déc],"J")+COUNTIF(Tableau2[26-déc],"A")</f>
        <v>2</v>
      </c>
      <c r="J12" s="5">
        <f>COUNTIF(Tableau2[27-déc],"J")+COUNTIF(Tableau2[27-déc],"A")</f>
        <v>2</v>
      </c>
      <c r="K12" s="5">
        <f>COUNTIF(Tableau2[28-déc],"J")+COUNTIF(Tableau2[28-déc],"A")</f>
        <v>2</v>
      </c>
      <c r="L12" s="5">
        <f>COUNTIF(Tableau2[29-déc],"J")+COUNTIF(Tableau2[29-déc],"A")</f>
        <v>2</v>
      </c>
    </row>
    <row r="14" spans="1:17" ht="18.75">
      <c r="B14" s="5"/>
      <c r="C14" s="5" t="s">
        <v>18</v>
      </c>
      <c r="D14" s="5" t="s">
        <v>19</v>
      </c>
      <c r="F14" s="28" t="s">
        <v>46</v>
      </c>
      <c r="G14" s="29">
        <f>SUM(C15:D16)/10</f>
        <v>0</v>
      </c>
    </row>
    <row r="15" spans="1:17" ht="15.75">
      <c r="B15" s="5" t="s">
        <v>40</v>
      </c>
      <c r="C15" s="5">
        <f>SUMIFS(Tableau2[Nb de jours],Tableau2[CAF/MSA],"CAF",Tableau2[AGE],"&lt;6")</f>
        <v>0</v>
      </c>
      <c r="D15" s="5">
        <f>SUMIFS(Tableau2[Nb de jours],Tableau2[CAF/MSA],"MSA",Tableau2[AGE],"&lt;6")</f>
        <v>0</v>
      </c>
    </row>
    <row r="16" spans="1:17" ht="15.75">
      <c r="B16" s="5" t="s">
        <v>41</v>
      </c>
      <c r="C16" s="5">
        <f>SUMIFS(Tableau2[Nb de jours],Tableau2[CAF/MSA],"CAF",Tableau2[AGE],"&gt;5")</f>
        <v>0</v>
      </c>
      <c r="D16" s="5">
        <f>SUMIFS(Tableau2[Nb de jours],Tableau2[CAF/MSA],"MSA",Tableau2[AGE],"&gt;5")</f>
        <v>0</v>
      </c>
    </row>
  </sheetData>
  <sheetProtection insertRows="0" deleteRows="0" selectLockedCell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DropDown="1" showInputMessage="1" showErrorMessage="1" errorTitle="PAS DANS LA BASE" error="ATTENTION,_x000a_cet enfant n'est pas dans la base">
          <x14:formula1>
            <xm:f>'liste enfants'!$A$3:$A$334</xm:f>
          </x14:formula1>
          <xm:sqref>A4:A8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43"/>
  <sheetViews>
    <sheetView tabSelected="1" workbookViewId="0">
      <selection activeCell="B1" sqref="B1"/>
    </sheetView>
  </sheetViews>
  <sheetFormatPr defaultColWidth="11.42578125" defaultRowHeight="15"/>
  <cols>
    <col min="1" max="1" width="3.85546875" customWidth="1"/>
    <col min="2" max="2" width="30" customWidth="1"/>
    <col min="3" max="4" width="6" customWidth="1"/>
    <col min="5" max="5" width="13.140625" customWidth="1"/>
    <col min="7" max="7" width="23.28515625" customWidth="1"/>
  </cols>
  <sheetData>
    <row r="1" spans="1:11" ht="26.25">
      <c r="B1" s="24" t="s">
        <v>29</v>
      </c>
      <c r="C1" s="27" t="s">
        <v>45</v>
      </c>
      <c r="D1" s="23"/>
      <c r="E1" s="25" t="str">
        <f>JOURNEE</f>
        <v>23-déc</v>
      </c>
      <c r="F1" s="26"/>
      <c r="G1" s="26"/>
    </row>
    <row r="2" spans="1:11" ht="18.75">
      <c r="B2" s="11" t="s">
        <v>22</v>
      </c>
      <c r="C2" s="11" t="s">
        <v>6</v>
      </c>
      <c r="D2" s="11"/>
      <c r="E2" s="11" t="s">
        <v>42</v>
      </c>
      <c r="F2" s="11" t="s">
        <v>43</v>
      </c>
      <c r="G2" s="11" t="s">
        <v>44</v>
      </c>
      <c r="I2" s="2"/>
      <c r="J2" s="2"/>
    </row>
    <row r="3" spans="1:11" ht="17.100000000000001" customHeight="1">
      <c r="A3">
        <v>1</v>
      </c>
      <c r="B3" s="12" t="str">
        <f t="array" aca="1" ref="B3" ca="1">IF(ROWS(B$3:B3)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3))))</f>
        <v>MANON</v>
      </c>
      <c r="C3" s="12">
        <f t="array" aca="1" ref="C3" ca="1">IF(ROWS(C$3:C3)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3))))</f>
        <v>5</v>
      </c>
      <c r="D3" s="14"/>
      <c r="E3" s="15"/>
      <c r="F3" s="10"/>
      <c r="G3" s="10"/>
      <c r="H3" s="32"/>
      <c r="K3" s="2"/>
    </row>
    <row r="4" spans="1:11" ht="17.100000000000001" customHeight="1">
      <c r="A4">
        <v>2</v>
      </c>
      <c r="B4" s="12" t="str">
        <f t="array" aca="1" ref="B4" ca="1">IF(ROWS(B$3:B4)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4))))</f>
        <v>THOMAS</v>
      </c>
      <c r="C4" s="12">
        <f t="array" aca="1" ref="C4" ca="1">IF(ROWS(C$3:C4)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4))))</f>
        <v>9</v>
      </c>
      <c r="D4" s="14"/>
      <c r="E4" s="10"/>
      <c r="F4" s="10"/>
      <c r="G4" s="10"/>
      <c r="H4" s="32"/>
    </row>
    <row r="5" spans="1:11" ht="17.100000000000001" customHeight="1">
      <c r="A5">
        <v>3</v>
      </c>
      <c r="B5" s="12" t="str">
        <f t="array" aca="1" ref="B5" ca="1">IF(ROWS(B$3:B5)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5))))</f>
        <v/>
      </c>
      <c r="C5" s="12" t="str">
        <f t="array" aca="1" ref="C5" ca="1">IF(ROWS(C$3:C5)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5))))</f>
        <v/>
      </c>
      <c r="D5" s="14"/>
      <c r="E5" s="10"/>
      <c r="F5" s="10"/>
      <c r="G5" s="10"/>
      <c r="H5" s="32"/>
    </row>
    <row r="6" spans="1:11" ht="17.100000000000001" customHeight="1">
      <c r="A6">
        <v>4</v>
      </c>
      <c r="B6" s="12" t="str">
        <f t="array" aca="1" ref="B6" ca="1">IF(ROWS(B$3:B6)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6))))</f>
        <v/>
      </c>
      <c r="C6" s="12" t="str">
        <f t="array" aca="1" ref="C6" ca="1">IF(ROWS(C$3:C6)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6))))</f>
        <v/>
      </c>
      <c r="D6" s="14"/>
      <c r="E6" s="10"/>
      <c r="F6" s="10"/>
      <c r="G6" s="10"/>
      <c r="H6" s="32"/>
      <c r="J6" s="2"/>
    </row>
    <row r="7" spans="1:11" ht="17.100000000000001" customHeight="1">
      <c r="A7">
        <v>5</v>
      </c>
      <c r="B7" s="12" t="str">
        <f t="array" aca="1" ref="B7" ca="1">IF(ROWS(B$3:B7)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7))))</f>
        <v/>
      </c>
      <c r="C7" s="12" t="str">
        <f t="array" aca="1" ref="C7" ca="1">IF(ROWS(C$3:C7)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7))))</f>
        <v/>
      </c>
      <c r="D7" s="14"/>
      <c r="E7" s="10"/>
      <c r="F7" s="10"/>
      <c r="G7" s="10"/>
      <c r="H7" s="32"/>
    </row>
    <row r="8" spans="1:11" ht="17.100000000000001" customHeight="1">
      <c r="A8">
        <v>6</v>
      </c>
      <c r="B8" s="12" t="str">
        <f t="array" aca="1" ref="B8" ca="1">IF(ROWS(B$3:B8)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8))))</f>
        <v/>
      </c>
      <c r="C8" s="12" t="str">
        <f t="array" aca="1" ref="C8" ca="1">IF(ROWS(C$3:C8)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8))))</f>
        <v/>
      </c>
      <c r="D8" s="14"/>
      <c r="E8" s="10"/>
      <c r="F8" s="10"/>
      <c r="G8" s="10"/>
      <c r="J8" s="33"/>
    </row>
    <row r="9" spans="1:11" ht="17.100000000000001" customHeight="1">
      <c r="A9">
        <v>7</v>
      </c>
      <c r="B9" s="12" t="str">
        <f t="array" aca="1" ref="B9" ca="1">IF(ROWS(B$3:B9)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9))))</f>
        <v/>
      </c>
      <c r="C9" s="12" t="str">
        <f t="array" aca="1" ref="C9" ca="1">IF(ROWS(C$3:C9)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9))))</f>
        <v/>
      </c>
      <c r="D9" s="14"/>
      <c r="E9" s="10"/>
      <c r="F9" s="10"/>
      <c r="G9" s="10"/>
    </row>
    <row r="10" spans="1:11" ht="17.100000000000001" customHeight="1">
      <c r="A10">
        <v>8</v>
      </c>
      <c r="B10" s="12" t="str">
        <f t="array" aca="1" ref="B10" ca="1">IF(ROWS(B$3:B10)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10))))</f>
        <v/>
      </c>
      <c r="C10" s="12" t="str">
        <f t="array" aca="1" ref="C10" ca="1">IF(ROWS(C$3:C10)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10))))</f>
        <v/>
      </c>
      <c r="D10" s="14"/>
      <c r="E10" s="10"/>
      <c r="F10" s="10"/>
      <c r="G10" s="10"/>
    </row>
    <row r="11" spans="1:11" ht="17.100000000000001" customHeight="1">
      <c r="A11">
        <v>9</v>
      </c>
      <c r="B11" s="12" t="str">
        <f t="array" aca="1" ref="B11" ca="1">IF(ROWS(B$3:B11)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11))))</f>
        <v/>
      </c>
      <c r="C11" s="12" t="str">
        <f t="array" aca="1" ref="C11" ca="1">IF(ROWS(C$3:C11)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11))))</f>
        <v/>
      </c>
      <c r="D11" s="14"/>
      <c r="E11" s="10"/>
      <c r="F11" s="10"/>
      <c r="G11" s="10"/>
    </row>
    <row r="12" spans="1:11" ht="17.100000000000001" customHeight="1">
      <c r="A12">
        <v>10</v>
      </c>
      <c r="B12" s="12" t="str">
        <f t="array" aca="1" ref="B12" ca="1">IF(ROWS(B$3:B12)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12))))</f>
        <v/>
      </c>
      <c r="C12" s="12" t="str">
        <f t="array" aca="1" ref="C12" ca="1">IF(ROWS(C$3:C12)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12))))</f>
        <v/>
      </c>
      <c r="D12" s="14"/>
      <c r="E12" s="10"/>
      <c r="F12" s="10"/>
      <c r="G12" s="10"/>
      <c r="J12" s="34"/>
    </row>
    <row r="13" spans="1:11" ht="17.100000000000001" customHeight="1">
      <c r="A13">
        <v>11</v>
      </c>
      <c r="B13" s="12" t="str">
        <f t="array" aca="1" ref="B13" ca="1">IF(ROWS(B$3:B13)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13))))</f>
        <v/>
      </c>
      <c r="C13" s="12" t="str">
        <f t="array" aca="1" ref="C13" ca="1">IF(ROWS(C$3:C13)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13))))</f>
        <v/>
      </c>
      <c r="D13" s="14"/>
      <c r="E13" s="10"/>
      <c r="F13" s="10"/>
      <c r="G13" s="10"/>
    </row>
    <row r="14" spans="1:11" ht="17.100000000000001" customHeight="1">
      <c r="A14">
        <v>12</v>
      </c>
      <c r="B14" s="12" t="str">
        <f t="array" aca="1" ref="B14" ca="1">IF(ROWS(B$3:B14)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14))))</f>
        <v/>
      </c>
      <c r="C14" s="12" t="str">
        <f t="array" aca="1" ref="C14" ca="1">IF(ROWS(C$3:C14)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14))))</f>
        <v/>
      </c>
      <c r="D14" s="14"/>
      <c r="E14" s="10"/>
      <c r="F14" s="10"/>
      <c r="G14" s="10"/>
    </row>
    <row r="15" spans="1:11" ht="17.100000000000001" customHeight="1">
      <c r="A15">
        <v>13</v>
      </c>
      <c r="B15" s="12" t="str">
        <f t="array" aca="1" ref="B15" ca="1">IF(ROWS(B$3:B15)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15))))</f>
        <v/>
      </c>
      <c r="C15" s="12" t="str">
        <f t="array" aca="1" ref="C15" ca="1">IF(ROWS(C$3:C15)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15))))</f>
        <v/>
      </c>
      <c r="D15" s="14"/>
      <c r="E15" s="10"/>
      <c r="F15" s="10"/>
      <c r="G15" s="10"/>
    </row>
    <row r="16" spans="1:11" ht="17.100000000000001" customHeight="1">
      <c r="A16">
        <v>14</v>
      </c>
      <c r="B16" s="12" t="str">
        <f t="array" aca="1" ref="B16" ca="1">IF(ROWS(B$3:B16)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16))))</f>
        <v/>
      </c>
      <c r="C16" s="12" t="str">
        <f t="array" aca="1" ref="C16" ca="1">IF(ROWS(C$3:C16)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16))))</f>
        <v/>
      </c>
      <c r="D16" s="14"/>
      <c r="E16" s="10"/>
      <c r="F16" s="10"/>
      <c r="G16" s="10"/>
    </row>
    <row r="17" spans="1:7" ht="17.100000000000001" customHeight="1">
      <c r="A17">
        <v>15</v>
      </c>
      <c r="B17" s="12" t="str">
        <f t="array" aca="1" ref="B17" ca="1">IF(ROWS(B$3:B17)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17))))</f>
        <v/>
      </c>
      <c r="C17" s="12" t="str">
        <f t="array" aca="1" ref="C17" ca="1">IF(ROWS(C$3:C17)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17))))</f>
        <v/>
      </c>
      <c r="D17" s="14"/>
      <c r="E17" s="10"/>
      <c r="F17" s="10"/>
      <c r="G17" s="10"/>
    </row>
    <row r="18" spans="1:7" ht="17.100000000000001" customHeight="1">
      <c r="A18">
        <v>16</v>
      </c>
      <c r="B18" s="12" t="str">
        <f t="array" aca="1" ref="B18" ca="1">IF(ROWS(B$3:B18)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18))))</f>
        <v/>
      </c>
      <c r="C18" s="12" t="str">
        <f t="array" aca="1" ref="C18" ca="1">IF(ROWS(C$3:C18)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18))))</f>
        <v/>
      </c>
      <c r="D18" s="14"/>
      <c r="E18" s="10"/>
      <c r="F18" s="10"/>
      <c r="G18" s="10"/>
    </row>
    <row r="19" spans="1:7" ht="17.100000000000001" customHeight="1">
      <c r="A19">
        <v>17</v>
      </c>
      <c r="B19" s="12" t="str">
        <f t="array" aca="1" ref="B19" ca="1">IF(ROWS(B$3:B19)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19))))</f>
        <v/>
      </c>
      <c r="C19" s="12" t="str">
        <f t="array" aca="1" ref="C19" ca="1">IF(ROWS(C$3:C19)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19))))</f>
        <v/>
      </c>
      <c r="D19" s="14"/>
      <c r="E19" s="10"/>
      <c r="F19" s="10"/>
      <c r="G19" s="10"/>
    </row>
    <row r="20" spans="1:7" ht="17.100000000000001" customHeight="1">
      <c r="A20">
        <v>18</v>
      </c>
      <c r="B20" s="12" t="str">
        <f t="array" aca="1" ref="B20" ca="1">IF(ROWS(B$3:B20)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20))))</f>
        <v/>
      </c>
      <c r="C20" s="12" t="str">
        <f t="array" aca="1" ref="C20" ca="1">IF(ROWS(C$3:C20)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20))))</f>
        <v/>
      </c>
      <c r="D20" s="14"/>
      <c r="E20" s="10"/>
      <c r="F20" s="10"/>
      <c r="G20" s="10"/>
    </row>
    <row r="21" spans="1:7" ht="17.100000000000001" customHeight="1">
      <c r="A21">
        <v>19</v>
      </c>
      <c r="B21" s="12" t="str">
        <f t="array" aca="1" ref="B21" ca="1">IF(ROWS(B$3:B21)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21))))</f>
        <v/>
      </c>
      <c r="C21" s="12" t="str">
        <f t="array" aca="1" ref="C21" ca="1">IF(ROWS(C$3:C21)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21))))</f>
        <v/>
      </c>
      <c r="D21" s="14"/>
      <c r="E21" s="10"/>
      <c r="F21" s="10"/>
      <c r="G21" s="10"/>
    </row>
    <row r="22" spans="1:7" ht="17.100000000000001" customHeight="1">
      <c r="A22">
        <v>20</v>
      </c>
      <c r="B22" s="12" t="str">
        <f t="array" aca="1" ref="B22" ca="1">IF(ROWS(B$3:B22)&gt;COUNTIF(INDIRECT("Présences!"&amp;ADDRESS(4,MATCH(JOURNEE,Présences!$3:$3,0))&amp;":"&amp;ADDRESS(8,MATCH(JOURNEE,Présences!$3:$3,0))),"J"),"",INDEX(Présences!$A$4:$A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B$3:B22))))</f>
        <v/>
      </c>
      <c r="C22" s="12" t="str">
        <f t="array" aca="1" ref="C22" ca="1">IF(ROWS(C$3:C22)&gt;COUNTIF(INDIRECT("Présences!"&amp;ADDRESS(4,MATCH(JOURNEE,Présences!$3:$3,0))&amp;":"&amp;ADDRESS(8,MATCH(JOURNEE,Présences!$3:$3,0))),"J"),"",INDEX(Présences!$B$4:$B$8,SMALL(IF(INDIRECT("Présences!"&amp;ADDRESS(4,MATCH(JOURNEE,Présences!$3:$3,0))&amp;":"&amp;ADDRESS(8,MATCH(JOURNEE,Présences!$3:$3,0)))="J",ROW(INDIRECT("Présences!"&amp;ADDRESS(4,MATCH(JOURNEE,Présences!$3:$3,0))&amp;":"&amp;ADDRESS(8,MATCH(JOURNEE,Présences!$3:$3,0))))-ROW(INDIRECT("Présences!"&amp;ADDRESS(4,MATCH(JOURNEE,Présences!$3:$3,0))))+1),ROWS(C$3:C22))))</f>
        <v/>
      </c>
      <c r="D22" s="14"/>
      <c r="E22" s="10"/>
      <c r="F22" s="10"/>
      <c r="G22" s="10"/>
    </row>
    <row r="23" spans="1:7" ht="17.100000000000001" customHeight="1">
      <c r="A23">
        <v>21</v>
      </c>
      <c r="B23" s="12"/>
      <c r="C23" s="13"/>
      <c r="D23" s="14"/>
      <c r="E23" s="10"/>
      <c r="F23" s="10"/>
      <c r="G23" s="10"/>
    </row>
    <row r="24" spans="1:7" ht="17.100000000000001" customHeight="1">
      <c r="A24">
        <v>22</v>
      </c>
      <c r="B24" s="12"/>
      <c r="C24" s="13"/>
      <c r="D24" s="14"/>
      <c r="E24" s="10"/>
      <c r="F24" s="10"/>
      <c r="G24" s="10"/>
    </row>
    <row r="25" spans="1:7" ht="17.100000000000001" customHeight="1">
      <c r="A25">
        <v>23</v>
      </c>
      <c r="B25" s="12"/>
      <c r="C25" s="13"/>
      <c r="D25" s="14"/>
      <c r="E25" s="10"/>
      <c r="F25" s="10"/>
      <c r="G25" s="10"/>
    </row>
    <row r="26" spans="1:7" ht="17.100000000000001" customHeight="1">
      <c r="A26">
        <v>24</v>
      </c>
      <c r="B26" s="16"/>
      <c r="C26" s="13"/>
      <c r="D26" s="14"/>
      <c r="E26" s="10"/>
      <c r="F26" s="10"/>
      <c r="G26" s="10"/>
    </row>
    <row r="27" spans="1:7" ht="17.100000000000001" customHeight="1">
      <c r="A27">
        <v>25</v>
      </c>
      <c r="B27" s="17"/>
      <c r="C27" s="13"/>
      <c r="D27" s="14"/>
      <c r="E27" s="10"/>
      <c r="F27" s="10"/>
      <c r="G27" s="10"/>
    </row>
    <row r="28" spans="1:7" ht="17.100000000000001" customHeight="1">
      <c r="A28">
        <v>26</v>
      </c>
      <c r="B28" s="18"/>
      <c r="C28" s="13"/>
      <c r="D28" s="14"/>
      <c r="E28" s="10"/>
      <c r="F28" s="10"/>
      <c r="G28" s="10"/>
    </row>
    <row r="29" spans="1:7" ht="17.100000000000001" customHeight="1">
      <c r="A29">
        <v>27</v>
      </c>
      <c r="B29" s="17"/>
      <c r="C29" s="13"/>
      <c r="D29" s="14"/>
      <c r="E29" s="10"/>
      <c r="F29" s="10"/>
      <c r="G29" s="10"/>
    </row>
    <row r="30" spans="1:7" ht="17.100000000000001" customHeight="1">
      <c r="A30">
        <v>28</v>
      </c>
      <c r="B30" s="17"/>
      <c r="C30" s="13"/>
      <c r="D30" s="14"/>
      <c r="E30" s="10"/>
      <c r="F30" s="10"/>
      <c r="G30" s="10"/>
    </row>
    <row r="31" spans="1:7" ht="17.100000000000001" customHeight="1">
      <c r="A31">
        <v>29</v>
      </c>
      <c r="B31" s="18"/>
      <c r="C31" s="13"/>
      <c r="D31" s="14"/>
      <c r="E31" s="10"/>
      <c r="F31" s="10"/>
      <c r="G31" s="10"/>
    </row>
    <row r="32" spans="1:7" ht="17.100000000000001" customHeight="1">
      <c r="A32">
        <v>30</v>
      </c>
      <c r="B32" s="18"/>
      <c r="C32" s="13"/>
      <c r="D32" s="14"/>
      <c r="E32" s="10"/>
      <c r="F32" s="10"/>
      <c r="G32" s="10"/>
    </row>
    <row r="33" spans="1:7" ht="17.100000000000001" customHeight="1">
      <c r="A33">
        <v>31</v>
      </c>
      <c r="B33" s="18"/>
      <c r="C33" s="13"/>
      <c r="D33" s="14"/>
      <c r="E33" s="10"/>
      <c r="F33" s="10"/>
      <c r="G33" s="10"/>
    </row>
    <row r="34" spans="1:7" ht="17.100000000000001" customHeight="1">
      <c r="A34">
        <v>32</v>
      </c>
      <c r="B34" s="18"/>
      <c r="C34" s="13"/>
      <c r="D34" s="14"/>
      <c r="E34" s="10"/>
      <c r="F34" s="10"/>
      <c r="G34" s="10"/>
    </row>
    <row r="35" spans="1:7" ht="17.100000000000001" customHeight="1">
      <c r="A35">
        <v>33</v>
      </c>
      <c r="B35" s="18"/>
      <c r="C35" s="13"/>
      <c r="D35" s="14"/>
      <c r="E35" s="19"/>
      <c r="F35" s="10"/>
      <c r="G35" s="10"/>
    </row>
    <row r="36" spans="1:7" ht="17.100000000000001" customHeight="1">
      <c r="A36">
        <v>34</v>
      </c>
      <c r="B36" s="18"/>
      <c r="C36" s="13"/>
      <c r="D36" s="14"/>
      <c r="E36" s="19"/>
      <c r="F36" s="10"/>
      <c r="G36" s="10"/>
    </row>
    <row r="37" spans="1:7" ht="17.100000000000001" customHeight="1">
      <c r="A37">
        <v>35</v>
      </c>
      <c r="B37" s="18"/>
      <c r="C37" s="13"/>
      <c r="D37" s="21"/>
      <c r="E37" s="19"/>
      <c r="F37" s="10"/>
      <c r="G37" s="10"/>
    </row>
    <row r="38" spans="1:7" ht="17.100000000000001" customHeight="1">
      <c r="A38">
        <v>36</v>
      </c>
      <c r="B38" s="18"/>
      <c r="C38" s="13"/>
      <c r="D38" s="21"/>
      <c r="E38" s="19"/>
      <c r="F38" s="10"/>
      <c r="G38" s="10"/>
    </row>
    <row r="39" spans="1:7" ht="17.100000000000001" customHeight="1">
      <c r="A39">
        <v>37</v>
      </c>
      <c r="B39" s="18"/>
      <c r="C39" s="13"/>
      <c r="D39" s="21"/>
      <c r="E39" s="19"/>
      <c r="F39" s="10"/>
      <c r="G39" s="10"/>
    </row>
    <row r="40" spans="1:7" ht="17.100000000000001" customHeight="1">
      <c r="A40">
        <v>38</v>
      </c>
      <c r="B40" s="18"/>
      <c r="C40" s="13"/>
      <c r="D40" s="21"/>
      <c r="E40" s="19"/>
      <c r="F40" s="10"/>
      <c r="G40" s="10"/>
    </row>
    <row r="41" spans="1:7" ht="17.100000000000001" customHeight="1">
      <c r="A41">
        <v>39</v>
      </c>
      <c r="B41" s="17"/>
      <c r="C41" s="13"/>
      <c r="D41" s="21"/>
      <c r="E41" s="19"/>
      <c r="F41" s="10"/>
      <c r="G41" s="10"/>
    </row>
    <row r="42" spans="1:7" ht="17.100000000000001" customHeight="1">
      <c r="A42">
        <v>40</v>
      </c>
      <c r="B42" s="18"/>
      <c r="C42" s="13"/>
      <c r="D42" s="22"/>
      <c r="E42" s="20"/>
      <c r="F42" s="10"/>
      <c r="G42" s="10"/>
    </row>
    <row r="43" spans="1:7">
      <c r="D43" s="13">
        <f>COUNTIF(D4:D42,"J")</f>
        <v>0</v>
      </c>
      <c r="E43" s="20" t="s">
        <v>36</v>
      </c>
    </row>
  </sheetData>
  <pageMargins left="0.25" right="0.25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Présences!$C$3:$L$3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liste enfants</vt:lpstr>
      <vt:lpstr>Présences</vt:lpstr>
      <vt:lpstr>FEUILLE JOURNEE</vt:lpstr>
      <vt:lpstr>JOURNEE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de loisirs Léon</dc:creator>
  <cp:lastModifiedBy>mduquesn</cp:lastModifiedBy>
  <cp:lastPrinted>2014-11-14T13:48:52Z</cp:lastPrinted>
  <dcterms:created xsi:type="dcterms:W3CDTF">2014-11-13T12:45:20Z</dcterms:created>
  <dcterms:modified xsi:type="dcterms:W3CDTF">2014-11-20T17:17:35Z</dcterms:modified>
</cp:coreProperties>
</file>