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1720" windowHeight="1243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8" i="1"/>
  <c r="P8"/>
  <c r="N8"/>
  <c r="M8"/>
  <c r="P7"/>
  <c r="O7"/>
  <c r="N7"/>
  <c r="M7"/>
  <c r="L7"/>
  <c r="L8"/>
  <c r="K7"/>
  <c r="J8"/>
  <c r="J7"/>
  <c r="I8"/>
  <c r="I7"/>
  <c r="H8"/>
  <c r="H7"/>
  <c r="G8"/>
  <c r="G7"/>
  <c r="F8"/>
  <c r="F7"/>
  <c r="E8"/>
  <c r="E7"/>
  <c r="P5"/>
  <c r="O19" s="1"/>
  <c r="J5"/>
  <c r="L19" l="1"/>
  <c r="E19"/>
  <c r="H19"/>
  <c r="P19"/>
  <c r="I19"/>
  <c r="O5"/>
  <c r="O18" s="1"/>
  <c r="M19"/>
  <c r="P6" s="1"/>
  <c r="N5"/>
  <c r="O17" s="1"/>
  <c r="F19"/>
  <c r="J6" s="1"/>
  <c r="I5"/>
  <c r="K8"/>
  <c r="V39"/>
  <c r="U39"/>
  <c r="W2"/>
  <c r="W3"/>
  <c r="W4"/>
  <c r="W5"/>
  <c r="W6"/>
  <c r="W7"/>
  <c r="W8"/>
  <c r="W9"/>
  <c r="W10"/>
  <c r="W11"/>
  <c r="W12"/>
  <c r="W13"/>
  <c r="W14"/>
  <c r="W15"/>
  <c r="W16"/>
  <c r="W17"/>
  <c r="W18"/>
  <c r="W19"/>
  <c r="W20"/>
  <c r="W21"/>
  <c r="W22"/>
  <c r="W23"/>
  <c r="W24"/>
  <c r="W25"/>
  <c r="W26"/>
  <c r="W27"/>
  <c r="W28"/>
  <c r="W29"/>
  <c r="W30"/>
  <c r="W31"/>
  <c r="W32"/>
  <c r="W33"/>
  <c r="W34"/>
  <c r="W35"/>
  <c r="W36"/>
  <c r="W37"/>
  <c r="W38"/>
  <c r="W39"/>
  <c r="V3"/>
  <c r="V4"/>
  <c r="V5"/>
  <c r="V6"/>
  <c r="V7"/>
  <c r="V8"/>
  <c r="V9"/>
  <c r="V10"/>
  <c r="V11"/>
  <c r="V12"/>
  <c r="V13"/>
  <c r="V14"/>
  <c r="V15"/>
  <c r="V16"/>
  <c r="V17"/>
  <c r="V18"/>
  <c r="V19"/>
  <c r="V20"/>
  <c r="V21"/>
  <c r="V22"/>
  <c r="V23"/>
  <c r="V24"/>
  <c r="V25"/>
  <c r="V26"/>
  <c r="V27"/>
  <c r="V28"/>
  <c r="V29"/>
  <c r="V30"/>
  <c r="V31"/>
  <c r="V32"/>
  <c r="V33"/>
  <c r="V34"/>
  <c r="V35"/>
  <c r="V36"/>
  <c r="V37"/>
  <c r="V38"/>
  <c r="V2"/>
  <c r="U3"/>
  <c r="U4"/>
  <c r="U5"/>
  <c r="U6"/>
  <c r="U7"/>
  <c r="U8"/>
  <c r="U9"/>
  <c r="U10"/>
  <c r="U11"/>
  <c r="U12"/>
  <c r="U13"/>
  <c r="U14"/>
  <c r="U15"/>
  <c r="U16"/>
  <c r="U17"/>
  <c r="U18"/>
  <c r="U19"/>
  <c r="U20"/>
  <c r="U21"/>
  <c r="U22"/>
  <c r="U23"/>
  <c r="U24"/>
  <c r="U25"/>
  <c r="U26"/>
  <c r="U27"/>
  <c r="U28"/>
  <c r="U29"/>
  <c r="U30"/>
  <c r="U31"/>
  <c r="U32"/>
  <c r="U33"/>
  <c r="U34"/>
  <c r="U35"/>
  <c r="U36"/>
  <c r="U37"/>
  <c r="U38"/>
  <c r="U2"/>
  <c r="P38" s="1"/>
  <c r="L18" l="1"/>
  <c r="L17"/>
  <c r="E18"/>
  <c r="H18"/>
  <c r="P18"/>
  <c r="P17"/>
  <c r="M5"/>
  <c r="M17"/>
  <c r="M18"/>
  <c r="I18"/>
  <c r="M16"/>
  <c r="F18"/>
  <c r="H5"/>
  <c r="M25"/>
  <c r="M27"/>
  <c r="M29"/>
  <c r="P25"/>
  <c r="P27"/>
  <c r="P29"/>
  <c r="F35"/>
  <c r="F37"/>
  <c r="F39"/>
  <c r="M35"/>
  <c r="M37"/>
  <c r="M39"/>
  <c r="I35"/>
  <c r="I37"/>
  <c r="I39"/>
  <c r="P35"/>
  <c r="P37"/>
  <c r="P39"/>
  <c r="M24"/>
  <c r="M26"/>
  <c r="M28"/>
  <c r="P24"/>
  <c r="P26"/>
  <c r="P28"/>
  <c r="F34"/>
  <c r="F36"/>
  <c r="F38"/>
  <c r="M34"/>
  <c r="M36"/>
  <c r="M38"/>
  <c r="I34"/>
  <c r="I36"/>
  <c r="I38"/>
  <c r="P34"/>
  <c r="P36"/>
  <c r="I29"/>
  <c r="F27"/>
  <c r="I25"/>
  <c r="I26"/>
  <c r="F26"/>
  <c r="I24"/>
  <c r="I28"/>
  <c r="F24"/>
  <c r="F28"/>
  <c r="F25"/>
  <c r="F29"/>
  <c r="I27"/>
  <c r="L16" l="1"/>
  <c r="O16"/>
  <c r="E17"/>
  <c r="H17"/>
  <c r="O6"/>
  <c r="N6"/>
  <c r="I6"/>
  <c r="P16"/>
  <c r="M6" s="1"/>
  <c r="L5"/>
  <c r="I17"/>
  <c r="F17"/>
  <c r="G5"/>
  <c r="L15" l="1"/>
  <c r="O15"/>
  <c r="E16"/>
  <c r="H16"/>
  <c r="H6"/>
  <c r="P15"/>
  <c r="K5"/>
  <c r="M15"/>
  <c r="L6" s="1"/>
  <c r="I16"/>
  <c r="F16"/>
  <c r="F5"/>
  <c r="L14" l="1"/>
  <c r="O14"/>
  <c r="E15"/>
  <c r="H15"/>
  <c r="E5"/>
  <c r="P14"/>
  <c r="M14"/>
  <c r="G6"/>
  <c r="I15"/>
  <c r="F15"/>
  <c r="E14" l="1"/>
  <c r="H14"/>
  <c r="F14"/>
  <c r="I14"/>
  <c r="K6"/>
  <c r="F6"/>
  <c r="E6" l="1"/>
</calcChain>
</file>

<file path=xl/sharedStrings.xml><?xml version="1.0" encoding="utf-8"?>
<sst xmlns="http://schemas.openxmlformats.org/spreadsheetml/2006/main" count="136" uniqueCount="62">
  <si>
    <t>6 derniers mois</t>
  </si>
  <si>
    <t>6 dernières semaines</t>
  </si>
  <si>
    <t>ALL</t>
  </si>
  <si>
    <t>ZSEMEA</t>
  </si>
  <si>
    <t>REP</t>
  </si>
  <si>
    <t>DROP</t>
  </si>
  <si>
    <t>Nbr case 2019 - 1</t>
  </si>
  <si>
    <t>Nbr réussite 2019 - 1</t>
  </si>
  <si>
    <t>Nbr case 2019 - 2</t>
  </si>
  <si>
    <t>Nbr réussite 2019 - 2</t>
  </si>
  <si>
    <t>Nbr case 2019 - 3</t>
  </si>
  <si>
    <t>Nbr réussite 2019 - 3</t>
  </si>
  <si>
    <t>Nbr case 2019 - 4</t>
  </si>
  <si>
    <t>Nbr réussite 2019 - 4</t>
  </si>
  <si>
    <t>Nbr case 2019 - 5</t>
  </si>
  <si>
    <t>Nbr réussite 2019 - 5</t>
  </si>
  <si>
    <t>Nbr case 2019 - 6</t>
  </si>
  <si>
    <t>Nbr réussite 2019 - 6</t>
  </si>
  <si>
    <t>Date</t>
  </si>
  <si>
    <t>Année</t>
  </si>
  <si>
    <t>Mois</t>
  </si>
  <si>
    <t>Semaine</t>
  </si>
  <si>
    <t>REP/DROP</t>
  </si>
  <si>
    <t>CRD</t>
  </si>
  <si>
    <t>19/07/2019</t>
  </si>
  <si>
    <t>19/06/2019</t>
  </si>
  <si>
    <t>26/03/2019</t>
  </si>
  <si>
    <t>22/02/2019</t>
  </si>
  <si>
    <t>19/03/2019</t>
  </si>
  <si>
    <t>15/08/2019</t>
  </si>
  <si>
    <t>17/01/2019</t>
  </si>
  <si>
    <t>13/05/2019</t>
  </si>
  <si>
    <t>12/03/2019</t>
  </si>
  <si>
    <t>20/06/2019</t>
  </si>
  <si>
    <t>05/02/2019</t>
  </si>
  <si>
    <t>21/03/2019</t>
  </si>
  <si>
    <t>28/06/2019</t>
  </si>
  <si>
    <t>14/03/2019</t>
  </si>
  <si>
    <t>03/05/2019</t>
  </si>
  <si>
    <t>20/05/2019</t>
  </si>
  <si>
    <t>18/04/2019</t>
  </si>
  <si>
    <t>25/01/2019</t>
  </si>
  <si>
    <t>05/04/2019</t>
  </si>
  <si>
    <t>23/05/2019</t>
  </si>
  <si>
    <t>04/11/2019</t>
  </si>
  <si>
    <t>08/02/2019</t>
  </si>
  <si>
    <t>25/03/2019</t>
  </si>
  <si>
    <t>06/02/2019</t>
  </si>
  <si>
    <t>28/03/2019</t>
  </si>
  <si>
    <t>02/04/2019</t>
  </si>
  <si>
    <t>14/01/2019</t>
  </si>
  <si>
    <t>21/02/2019</t>
  </si>
  <si>
    <t>09/04/2019</t>
  </si>
  <si>
    <t>Nbr case 2019 - 19</t>
  </si>
  <si>
    <t>Nbr case 2019 - 20</t>
  </si>
  <si>
    <t>Nbr case 2019 - 21</t>
  </si>
  <si>
    <t>Nbr case 2019 - 22</t>
  </si>
  <si>
    <t>Nbr case 2019 - 23</t>
  </si>
  <si>
    <t>Nbr case 2019 - 24</t>
  </si>
  <si>
    <t>MOIS</t>
  </si>
  <si>
    <t>SEMAINES</t>
  </si>
  <si>
    <t>DONNEES</t>
  </si>
</sst>
</file>

<file path=xl/styles.xml><?xml version="1.0" encoding="utf-8"?>
<styleSheet xmlns="http://schemas.openxmlformats.org/spreadsheetml/2006/main">
  <numFmts count="1">
    <numFmt numFmtId="164" formatCode="#,##0.##"/>
  </numFmts>
  <fonts count="9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color indexed="56"/>
      <name val="Arial"/>
      <family val="2"/>
    </font>
    <font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NumberFormat="1" applyFont="1" applyFill="1" applyBorder="1" applyAlignment="1"/>
    <xf numFmtId="0" fontId="1" fillId="0" borderId="0" xfId="0" applyNumberFormat="1" applyFont="1" applyFill="1" applyBorder="1" applyAlignment="1"/>
    <xf numFmtId="0" fontId="1" fillId="0" borderId="1" xfId="0" applyNumberFormat="1" applyFont="1" applyFill="1" applyBorder="1" applyAlignment="1"/>
    <xf numFmtId="14" fontId="2" fillId="2" borderId="0" xfId="0" applyNumberFormat="1" applyFont="1" applyFill="1" applyBorder="1" applyAlignment="1" applyProtection="1">
      <alignment horizontal="left" vertical="center" wrapText="1"/>
    </xf>
    <xf numFmtId="0" fontId="3" fillId="0" borderId="0" xfId="0" applyFont="1"/>
    <xf numFmtId="0" fontId="5" fillId="3" borderId="1" xfId="0" applyNumberFormat="1" applyFont="1" applyFill="1" applyBorder="1" applyAlignment="1">
      <alignment horizontal="center"/>
    </xf>
    <xf numFmtId="17" fontId="5" fillId="3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4" fontId="2" fillId="2" borderId="0" xfId="0" applyNumberFormat="1" applyFont="1" applyFill="1" applyBorder="1" applyAlignment="1" applyProtection="1">
      <alignment horizontal="center" vertical="center" wrapText="1"/>
    </xf>
    <xf numFmtId="0" fontId="2" fillId="2" borderId="0" xfId="0" applyNumberFormat="1" applyFont="1" applyFill="1" applyBorder="1" applyAlignment="1" applyProtection="1">
      <alignment horizontal="center" vertical="center" wrapText="1"/>
    </xf>
    <xf numFmtId="10" fontId="0" fillId="0" borderId="2" xfId="0" applyNumberFormat="1" applyFont="1" applyFill="1" applyBorder="1" applyAlignment="1">
      <alignment horizontal="center"/>
    </xf>
    <xf numFmtId="0" fontId="0" fillId="0" borderId="5" xfId="0" applyNumberFormat="1" applyFont="1" applyFill="1" applyBorder="1" applyAlignment="1">
      <alignment horizontal="centerContinuous"/>
    </xf>
    <xf numFmtId="0" fontId="0" fillId="0" borderId="5" xfId="0" applyBorder="1" applyAlignment="1">
      <alignment horizontal="centerContinuous"/>
    </xf>
    <xf numFmtId="0" fontId="0" fillId="0" borderId="3" xfId="0" applyNumberFormat="1" applyFont="1" applyFill="1" applyBorder="1" applyAlignment="1">
      <alignment horizontal="centerContinuous"/>
    </xf>
    <xf numFmtId="0" fontId="8" fillId="0" borderId="4" xfId="0" applyNumberFormat="1" applyFont="1" applyFill="1" applyBorder="1" applyAlignment="1">
      <alignment horizontal="centerContinuous"/>
    </xf>
    <xf numFmtId="0" fontId="6" fillId="0" borderId="5" xfId="0" applyNumberFormat="1" applyFont="1" applyFill="1" applyBorder="1" applyAlignment="1">
      <alignment horizontal="centerContinuous"/>
    </xf>
    <xf numFmtId="0" fontId="6" fillId="0" borderId="5" xfId="0" applyFont="1" applyBorder="1" applyAlignment="1">
      <alignment horizontal="centerContinuous"/>
    </xf>
    <xf numFmtId="0" fontId="6" fillId="0" borderId="3" xfId="0" applyNumberFormat="1" applyFont="1" applyFill="1" applyBorder="1" applyAlignment="1">
      <alignment horizontal="centerContinuous"/>
    </xf>
    <xf numFmtId="0" fontId="5" fillId="0" borderId="0" xfId="0" applyFont="1"/>
    <xf numFmtId="0" fontId="6" fillId="0" borderId="0" xfId="0" applyNumberFormat="1" applyFont="1" applyFill="1" applyBorder="1" applyAlignment="1">
      <alignment horizontal="center"/>
    </xf>
    <xf numFmtId="0" fontId="0" fillId="0" borderId="0" xfId="0" applyFont="1"/>
    <xf numFmtId="0" fontId="7" fillId="3" borderId="1" xfId="0" applyNumberFormat="1" applyFont="1" applyFill="1" applyBorder="1" applyAlignment="1"/>
    <xf numFmtId="10" fontId="4" fillId="3" borderId="2" xfId="0" applyNumberFormat="1" applyFont="1" applyFill="1" applyBorder="1" applyAlignment="1">
      <alignment horizontal="center"/>
    </xf>
    <xf numFmtId="0" fontId="5" fillId="3" borderId="0" xfId="0" applyNumberFormat="1" applyFont="1" applyFill="1" applyBorder="1" applyAlignment="1">
      <alignment horizontal="center"/>
    </xf>
    <xf numFmtId="0" fontId="7" fillId="3" borderId="0" xfId="0" applyNumberFormat="1" applyFont="1" applyFill="1" applyBorder="1" applyAlignment="1"/>
    <xf numFmtId="0" fontId="5" fillId="3" borderId="0" xfId="0" applyFont="1" applyFill="1" applyAlignment="1">
      <alignment horizontal="center"/>
    </xf>
    <xf numFmtId="10" fontId="4" fillId="3" borderId="6" xfId="0" applyNumberFormat="1" applyFont="1" applyFill="1" applyBorder="1" applyAlignment="1">
      <alignment horizontal="center"/>
    </xf>
    <xf numFmtId="10" fontId="4" fillId="3" borderId="7" xfId="0" applyNumberFormat="1" applyFont="1" applyFill="1" applyBorder="1" applyAlignment="1">
      <alignment horizontal="center"/>
    </xf>
    <xf numFmtId="10" fontId="0" fillId="0" borderId="6" xfId="0" applyNumberFormat="1" applyFont="1" applyFill="1" applyBorder="1" applyAlignment="1">
      <alignment horizontal="center"/>
    </xf>
    <xf numFmtId="10" fontId="0" fillId="0" borderId="7" xfId="0" applyNumberFormat="1" applyFont="1" applyFill="1" applyBorder="1" applyAlignment="1">
      <alignment horizontal="center"/>
    </xf>
    <xf numFmtId="10" fontId="0" fillId="0" borderId="8" xfId="0" applyNumberFormat="1" applyFont="1" applyFill="1" applyBorder="1" applyAlignment="1">
      <alignment horizontal="center"/>
    </xf>
    <xf numFmtId="10" fontId="0" fillId="0" borderId="9" xfId="0" applyNumberFormat="1" applyFont="1" applyFill="1" applyBorder="1" applyAlignment="1">
      <alignment horizontal="center"/>
    </xf>
    <xf numFmtId="10" fontId="0" fillId="0" borderId="10" xfId="0" applyNumberFormat="1" applyFont="1" applyFill="1" applyBorder="1" applyAlignment="1">
      <alignment horizontal="center"/>
    </xf>
  </cellXfs>
  <cellStyles count="1">
    <cellStyle name="Normal" xfId="0" builtinId="0"/>
  </cellStyles>
  <dxfs count="5">
    <dxf>
      <alignment horizontal="center" textRotation="0" indent="0" relativeIndent="255" justifyLastLine="0" shrinkToFit="0" mergeCell="0" readingOrder="0"/>
    </dxf>
    <dxf>
      <alignment horizontal="center" textRotation="0" indent="0" relativeIndent="255" justifyLastLine="0" shrinkToFit="0" mergeCell="0" readingOrder="0"/>
    </dxf>
    <dxf>
      <numFmt numFmtId="0" formatCode="General"/>
      <alignment horizontal="center" vertical="bottom" textRotation="0" wrapText="0" indent="0" relativeIndent="255" justifyLastLine="0" shrinkToFit="0" mergeCell="0" readingOrder="0"/>
    </dxf>
    <dxf>
      <alignment horizontal="center" textRotation="0" indent="0" relativeIndent="255" justifyLastLine="0" shrinkToFit="0" mergeCell="0" readingOrder="0"/>
    </dxf>
    <dxf>
      <alignment horizontal="center" textRotation="0" indent="0" relativeIndent="255" justifyLastLine="0" shrinkToFit="0" mergeCell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T1:Y39" totalsRowShown="0">
  <autoFilter ref="T1:Y39"/>
  <tableColumns count="6">
    <tableColumn id="1" name="Date"/>
    <tableColumn id="2" name="Année" dataDxfId="4"/>
    <tableColumn id="3" name="Mois" dataDxfId="3"/>
    <tableColumn id="4" name="Semaine" dataDxfId="2">
      <calculatedColumnFormula>WEEKNUM(Tableau1[[#This Row],[Date]],2)</calculatedColumnFormula>
    </tableColumn>
    <tableColumn id="5" name="REP/DROP" dataDxfId="1"/>
    <tableColumn id="6" name="CRD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C1:Y43"/>
  <sheetViews>
    <sheetView tabSelected="1" topLeftCell="D1" workbookViewId="0">
      <selection activeCell="D10" sqref="D10"/>
    </sheetView>
  </sheetViews>
  <sheetFormatPr defaultColWidth="11.42578125" defaultRowHeight="15"/>
  <cols>
    <col min="4" max="4" width="6.28515625" bestFit="1" customWidth="1"/>
    <col min="5" max="16" width="15.7109375" customWidth="1"/>
    <col min="20" max="20" width="11.5703125" customWidth="1"/>
    <col min="21" max="25" width="11.5703125" style="8" customWidth="1"/>
  </cols>
  <sheetData>
    <row r="1" spans="3:25">
      <c r="T1" t="s">
        <v>18</v>
      </c>
      <c r="U1" s="8" t="s">
        <v>19</v>
      </c>
      <c r="V1" s="8" t="s">
        <v>20</v>
      </c>
      <c r="W1" s="8" t="s">
        <v>21</v>
      </c>
      <c r="X1" s="8" t="s">
        <v>22</v>
      </c>
      <c r="Y1" s="8" t="s">
        <v>23</v>
      </c>
    </row>
    <row r="2" spans="3:25" ht="26.25">
      <c r="R2" s="5" t="s">
        <v>61</v>
      </c>
      <c r="T2" s="4" t="s">
        <v>24</v>
      </c>
      <c r="U2" s="9">
        <f>YEAR(Tableau1[[#This Row],[Date]])</f>
        <v>2019</v>
      </c>
      <c r="V2" s="9">
        <f>MONTH(Tableau1[[#This Row],[Date]])</f>
        <v>7</v>
      </c>
      <c r="W2" s="8">
        <f>WEEKNUM(Tableau1[[#This Row],[Date]],2)</f>
        <v>29</v>
      </c>
      <c r="X2" s="10" t="s">
        <v>5</v>
      </c>
      <c r="Y2" s="9">
        <v>1</v>
      </c>
    </row>
    <row r="3" spans="3:25" ht="15.75">
      <c r="C3" s="1"/>
      <c r="D3" s="1"/>
      <c r="E3" s="15" t="s">
        <v>0</v>
      </c>
      <c r="F3" s="12"/>
      <c r="G3" s="13"/>
      <c r="H3" s="12"/>
      <c r="I3" s="12"/>
      <c r="J3" s="14"/>
      <c r="K3" s="15" t="s">
        <v>1</v>
      </c>
      <c r="L3" s="16"/>
      <c r="M3" s="17"/>
      <c r="N3" s="16"/>
      <c r="O3" s="16"/>
      <c r="P3" s="18"/>
      <c r="T3" s="4" t="s">
        <v>25</v>
      </c>
      <c r="U3" s="9">
        <f>YEAR(Tableau1[[#This Row],[Date]])</f>
        <v>2019</v>
      </c>
      <c r="V3" s="9">
        <f>MONTH(Tableau1[[#This Row],[Date]])</f>
        <v>6</v>
      </c>
      <c r="W3" s="8">
        <f>WEEKNUM(Tableau1[[#This Row],[Date]],2)</f>
        <v>25</v>
      </c>
      <c r="X3" s="10" t="s">
        <v>4</v>
      </c>
      <c r="Y3" s="9">
        <v>1</v>
      </c>
    </row>
    <row r="4" spans="3:25" ht="15.75" thickBot="1"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T4" s="4" t="s">
        <v>26</v>
      </c>
      <c r="U4" s="9">
        <f>YEAR(Tableau1[[#This Row],[Date]])</f>
        <v>2019</v>
      </c>
      <c r="V4" s="9">
        <f>MONTH(Tableau1[[#This Row],[Date]])</f>
        <v>3</v>
      </c>
      <c r="W4" s="8">
        <f>WEEKNUM(Tableau1[[#This Row],[Date]],2)</f>
        <v>13</v>
      </c>
      <c r="X4" s="10" t="s">
        <v>4</v>
      </c>
      <c r="Y4" s="9">
        <v>1</v>
      </c>
    </row>
    <row r="5" spans="3:25" ht="16.5" thickBot="1">
      <c r="C5" s="1"/>
      <c r="D5" s="1"/>
      <c r="E5" s="7">
        <f t="shared" ref="E5:H5" ca="1" si="0">EDATE(F5,-1)</f>
        <v>43483</v>
      </c>
      <c r="F5" s="7">
        <f t="shared" ca="1" si="0"/>
        <v>43514</v>
      </c>
      <c r="G5" s="7">
        <f t="shared" ca="1" si="0"/>
        <v>43542</v>
      </c>
      <c r="H5" s="7">
        <f t="shared" ca="1" si="0"/>
        <v>43573</v>
      </c>
      <c r="I5" s="7">
        <f ca="1">EDATE(J5,-1)</f>
        <v>43603</v>
      </c>
      <c r="J5" s="7">
        <f ca="1">TODAY()</f>
        <v>43634</v>
      </c>
      <c r="K5" s="6">
        <f t="shared" ref="K5:N5" ca="1" si="1">L5-1</f>
        <v>19</v>
      </c>
      <c r="L5" s="6">
        <f t="shared" ca="1" si="1"/>
        <v>20</v>
      </c>
      <c r="M5" s="6">
        <f t="shared" ca="1" si="1"/>
        <v>21</v>
      </c>
      <c r="N5" s="6">
        <f t="shared" ca="1" si="1"/>
        <v>22</v>
      </c>
      <c r="O5" s="6">
        <f ca="1">P5-1</f>
        <v>23</v>
      </c>
      <c r="P5" s="6">
        <f ca="1">WEEKNUM(TODAY())-1</f>
        <v>24</v>
      </c>
      <c r="T5" s="4" t="s">
        <v>27</v>
      </c>
      <c r="U5" s="9">
        <f>YEAR(Tableau1[[#This Row],[Date]])</f>
        <v>2019</v>
      </c>
      <c r="V5" s="9">
        <f>MONTH(Tableau1[[#This Row],[Date]])</f>
        <v>2</v>
      </c>
      <c r="W5" s="8">
        <f>WEEKNUM(Tableau1[[#This Row],[Date]],2)</f>
        <v>8</v>
      </c>
      <c r="X5" s="10" t="s">
        <v>4</v>
      </c>
      <c r="Y5" s="9">
        <v>1</v>
      </c>
    </row>
    <row r="6" spans="3:25" ht="15.75" thickBot="1">
      <c r="C6" s="1"/>
      <c r="D6" s="22" t="s">
        <v>2</v>
      </c>
      <c r="E6" s="27">
        <f ca="1">I14/F14</f>
        <v>0.66666666666666663</v>
      </c>
      <c r="F6" s="23">
        <f ca="1">I15/F15</f>
        <v>0.8</v>
      </c>
      <c r="G6" s="23">
        <f ca="1">I16/F16</f>
        <v>0.8571428571428571</v>
      </c>
      <c r="H6" s="23">
        <f ca="1">I17/F17</f>
        <v>1</v>
      </c>
      <c r="I6" s="23">
        <f ca="1">I18/F18</f>
        <v>0.8571428571428571</v>
      </c>
      <c r="J6" s="28">
        <f ca="1">I19/F19</f>
        <v>1</v>
      </c>
      <c r="K6" s="27">
        <f ca="1">P14/M14</f>
        <v>1</v>
      </c>
      <c r="L6" s="23">
        <f ca="1">P15/M15</f>
        <v>1</v>
      </c>
      <c r="M6" s="23">
        <f ca="1">P16/M16</f>
        <v>0.66666666666666663</v>
      </c>
      <c r="N6" s="23">
        <f ca="1">P17/M17</f>
        <v>1</v>
      </c>
      <c r="O6" s="23">
        <f ca="1">P18/M18</f>
        <v>1</v>
      </c>
      <c r="P6" s="28">
        <f ca="1">P19/M19</f>
        <v>1</v>
      </c>
      <c r="T6" s="4" t="s">
        <v>28</v>
      </c>
      <c r="U6" s="9">
        <f>YEAR(Tableau1[[#This Row],[Date]])</f>
        <v>2019</v>
      </c>
      <c r="V6" s="9">
        <f>MONTH(Tableau1[[#This Row],[Date]])</f>
        <v>3</v>
      </c>
      <c r="W6" s="8">
        <f>WEEKNUM(Tableau1[[#This Row],[Date]],2)</f>
        <v>12</v>
      </c>
      <c r="X6" s="10" t="s">
        <v>4</v>
      </c>
      <c r="Y6" s="9">
        <v>1</v>
      </c>
    </row>
    <row r="7" spans="3:25" ht="15.75" thickBot="1">
      <c r="C7" s="1" t="s">
        <v>3</v>
      </c>
      <c r="D7" s="3" t="s">
        <v>4</v>
      </c>
      <c r="E7" s="29">
        <f>I24/F24</f>
        <v>0.5</v>
      </c>
      <c r="F7" s="11">
        <f>I25/F25</f>
        <v>1</v>
      </c>
      <c r="G7" s="11">
        <f>I26/F26</f>
        <v>0.8</v>
      </c>
      <c r="H7" s="11">
        <f>I27/F27</f>
        <v>1</v>
      </c>
      <c r="I7" s="11">
        <f>I28/F28</f>
        <v>1</v>
      </c>
      <c r="J7" s="30">
        <f>I29/F29</f>
        <v>1</v>
      </c>
      <c r="K7" s="29">
        <f>P24/M24</f>
        <v>1</v>
      </c>
      <c r="L7" s="11" t="e">
        <f>P25/M25</f>
        <v>#DIV/0!</v>
      </c>
      <c r="M7" s="11">
        <f>P26/M26</f>
        <v>1</v>
      </c>
      <c r="N7" s="11">
        <f>P27/M27</f>
        <v>1</v>
      </c>
      <c r="O7" s="11">
        <f>P28/M28</f>
        <v>1</v>
      </c>
      <c r="P7" s="30" t="e">
        <f>P29/M29</f>
        <v>#DIV/0!</v>
      </c>
      <c r="T7" s="4" t="s">
        <v>29</v>
      </c>
      <c r="U7" s="9">
        <f>YEAR(Tableau1[[#This Row],[Date]])</f>
        <v>2019</v>
      </c>
      <c r="V7" s="9">
        <f>MONTH(Tableau1[[#This Row],[Date]])</f>
        <v>8</v>
      </c>
      <c r="W7" s="8">
        <f>WEEKNUM(Tableau1[[#This Row],[Date]],2)</f>
        <v>33</v>
      </c>
      <c r="X7" s="10" t="s">
        <v>4</v>
      </c>
      <c r="Y7" s="9">
        <v>1</v>
      </c>
    </row>
    <row r="8" spans="3:25" ht="15.75" thickBot="1">
      <c r="C8" s="1"/>
      <c r="D8" s="3" t="s">
        <v>5</v>
      </c>
      <c r="E8" s="31">
        <f>I34/F34</f>
        <v>1</v>
      </c>
      <c r="F8" s="32">
        <f>I35/F36</f>
        <v>0</v>
      </c>
      <c r="G8" s="32">
        <f>I37/F37</f>
        <v>1</v>
      </c>
      <c r="H8" s="32">
        <f>I37/F37</f>
        <v>1</v>
      </c>
      <c r="I8" s="32">
        <f>I38/F38</f>
        <v>0.5</v>
      </c>
      <c r="J8" s="33">
        <f>I39/F39</f>
        <v>1</v>
      </c>
      <c r="K8" s="31">
        <f>0</f>
        <v>0</v>
      </c>
      <c r="L8" s="32">
        <f>P35/M35</f>
        <v>1</v>
      </c>
      <c r="M8" s="32">
        <f>P36/M36</f>
        <v>0</v>
      </c>
      <c r="N8" s="32" t="e">
        <f>P37/M37</f>
        <v>#DIV/0!</v>
      </c>
      <c r="O8" s="32" t="e">
        <f>P38/M38</f>
        <v>#DIV/0!</v>
      </c>
      <c r="P8" s="33">
        <f>P39/M39</f>
        <v>1</v>
      </c>
      <c r="T8" s="4" t="s">
        <v>30</v>
      </c>
      <c r="U8" s="9">
        <f>YEAR(Tableau1[[#This Row],[Date]])</f>
        <v>2019</v>
      </c>
      <c r="V8" s="9">
        <f>MONTH(Tableau1[[#This Row],[Date]])</f>
        <v>1</v>
      </c>
      <c r="W8" s="8">
        <f>WEEKNUM(Tableau1[[#This Row],[Date]],2)</f>
        <v>3</v>
      </c>
      <c r="X8" s="10" t="s">
        <v>4</v>
      </c>
      <c r="Y8" s="9">
        <v>1</v>
      </c>
    </row>
    <row r="9" spans="3:25">
      <c r="T9" s="4" t="s">
        <v>31</v>
      </c>
      <c r="U9" s="9">
        <f>YEAR(Tableau1[[#This Row],[Date]])</f>
        <v>2019</v>
      </c>
      <c r="V9" s="9">
        <f>MONTH(Tableau1[[#This Row],[Date]])</f>
        <v>5</v>
      </c>
      <c r="W9" s="8">
        <f>WEEKNUM(Tableau1[[#This Row],[Date]],2)</f>
        <v>20</v>
      </c>
      <c r="X9" s="10" t="s">
        <v>5</v>
      </c>
      <c r="Y9" s="9">
        <v>1</v>
      </c>
    </row>
    <row r="10" spans="3:25" ht="15.75">
      <c r="D10" s="26">
        <v>2019</v>
      </c>
      <c r="T10" s="4" t="s">
        <v>32</v>
      </c>
      <c r="U10" s="9">
        <f>YEAR(Tableau1[[#This Row],[Date]])</f>
        <v>2019</v>
      </c>
      <c r="V10" s="9">
        <f>MONTH(Tableau1[[#This Row],[Date]])</f>
        <v>3</v>
      </c>
      <c r="W10" s="8">
        <f>WEEKNUM(Tableau1[[#This Row],[Date]],2)</f>
        <v>11</v>
      </c>
      <c r="X10" s="10" t="s">
        <v>4</v>
      </c>
      <c r="Y10" s="9">
        <v>1</v>
      </c>
    </row>
    <row r="11" spans="3:25" ht="15.75">
      <c r="G11" s="19" t="s">
        <v>59</v>
      </c>
      <c r="N11" s="19" t="s">
        <v>60</v>
      </c>
      <c r="T11" s="4">
        <v>43608</v>
      </c>
      <c r="U11" s="9">
        <f>YEAR(Tableau1[[#This Row],[Date]])</f>
        <v>2019</v>
      </c>
      <c r="V11" s="9">
        <f>MONTH(Tableau1[[#This Row],[Date]])</f>
        <v>5</v>
      </c>
      <c r="W11" s="8">
        <f>WEEKNUM(Tableau1[[#This Row],[Date]],2)</f>
        <v>21</v>
      </c>
      <c r="X11" s="10" t="s">
        <v>4</v>
      </c>
      <c r="Y11" s="9">
        <v>1</v>
      </c>
    </row>
    <row r="12" spans="3:25">
      <c r="E12" s="25" t="s">
        <v>2</v>
      </c>
      <c r="F12" s="1"/>
      <c r="G12" s="1"/>
      <c r="H12" s="1"/>
      <c r="I12" s="1"/>
      <c r="L12" s="25" t="s">
        <v>2</v>
      </c>
      <c r="M12" s="1"/>
      <c r="N12" s="1"/>
      <c r="O12" s="1"/>
      <c r="P12" s="1"/>
      <c r="T12" s="4" t="s">
        <v>33</v>
      </c>
      <c r="U12" s="9">
        <f>YEAR(Tableau1[[#This Row],[Date]])</f>
        <v>2019</v>
      </c>
      <c r="V12" s="9">
        <f>MONTH(Tableau1[[#This Row],[Date]])</f>
        <v>6</v>
      </c>
      <c r="W12" s="8">
        <f>WEEKNUM(Tableau1[[#This Row],[Date]],2)</f>
        <v>25</v>
      </c>
      <c r="X12" s="10" t="s">
        <v>4</v>
      </c>
      <c r="Y12" s="9">
        <v>1</v>
      </c>
    </row>
    <row r="13" spans="3:25">
      <c r="E13" s="1"/>
      <c r="F13" s="1"/>
      <c r="G13" s="1"/>
      <c r="H13" s="1"/>
      <c r="I13" s="1"/>
      <c r="L13" s="1"/>
      <c r="M13" s="1"/>
      <c r="N13" s="1"/>
      <c r="O13" s="1"/>
      <c r="P13" s="1"/>
      <c r="T13" s="4">
        <v>43613</v>
      </c>
      <c r="U13" s="9">
        <f>YEAR(Tableau1[[#This Row],[Date]])</f>
        <v>2019</v>
      </c>
      <c r="V13" s="9">
        <f>MONTH(Tableau1[[#This Row],[Date]])</f>
        <v>5</v>
      </c>
      <c r="W13" s="8">
        <f>WEEKNUM(Tableau1[[#This Row],[Date]],2)</f>
        <v>22</v>
      </c>
      <c r="X13" s="10" t="s">
        <v>4</v>
      </c>
      <c r="Y13" s="9">
        <v>1</v>
      </c>
    </row>
    <row r="14" spans="3:25" ht="15.75">
      <c r="E14" s="25" t="str">
        <f ca="1">"Nbr cas "&amp;$D$10&amp;" - "&amp;MONTH($E5)</f>
        <v>Nbr cas 2019 - 1</v>
      </c>
      <c r="F14" s="24">
        <f ca="1">COUNTIFS($U:$U,$D$10,$V:$V,MONTH($E5))</f>
        <v>3</v>
      </c>
      <c r="H14" s="25" t="str">
        <f ca="1">"Nbr réussite "&amp;$D$10&amp;" - "&amp;MONTH($E5)</f>
        <v>Nbr réussite 2019 - 1</v>
      </c>
      <c r="I14" s="24">
        <f ca="1">COUNTIFS($U:$U,$D$10,$V:$V,MONTH($E5),$Y:$Y,1)</f>
        <v>2</v>
      </c>
      <c r="L14" s="25" t="str">
        <f ca="1">"Nbr cas "&amp;$D$10&amp;" - "&amp;$K5</f>
        <v>Nbr cas 2019 - 19</v>
      </c>
      <c r="M14" s="24">
        <f ca="1">COUNTIFS($U:$U,$D$10,$W:$W,$K5)</f>
        <v>1</v>
      </c>
      <c r="O14" s="25" t="str">
        <f ca="1">"Nbr cas "&amp;$D$10&amp;" - "&amp;$K5</f>
        <v>Nbr cas 2019 - 19</v>
      </c>
      <c r="P14" s="24">
        <f ca="1">COUNTIFS($U:$U,$D$10,$W:$W,$K5,$Y:$Y,1)</f>
        <v>1</v>
      </c>
      <c r="T14" s="4" t="s">
        <v>34</v>
      </c>
      <c r="U14" s="9">
        <f>YEAR(Tableau1[[#This Row],[Date]])</f>
        <v>2019</v>
      </c>
      <c r="V14" s="9">
        <f>MONTH(Tableau1[[#This Row],[Date]])</f>
        <v>2</v>
      </c>
      <c r="W14" s="8">
        <f>WEEKNUM(Tableau1[[#This Row],[Date]],2)</f>
        <v>6</v>
      </c>
      <c r="X14" s="10" t="s">
        <v>4</v>
      </c>
      <c r="Y14" s="9">
        <v>1</v>
      </c>
    </row>
    <row r="15" spans="3:25" ht="15.75">
      <c r="E15" s="25" t="str">
        <f ca="1">"Nbr cas "&amp;$D$10&amp;" - "&amp;MONTH($F5)</f>
        <v>Nbr cas 2019 - 2</v>
      </c>
      <c r="F15" s="24">
        <f ca="1">COUNTIFS($U:$U,$D$10,$V:$V,MONTH($F5))</f>
        <v>5</v>
      </c>
      <c r="H15" s="25" t="str">
        <f ca="1">"Nbr réussite "&amp;$D$10&amp;" - "&amp;MONTH($F5)</f>
        <v>Nbr réussite 2019 - 2</v>
      </c>
      <c r="I15" s="24">
        <f ca="1">COUNTIFS($U:$U,$D$10,$V:$V,MONTH($F5),$Y:$Y,1)</f>
        <v>4</v>
      </c>
      <c r="L15" s="25" t="str">
        <f ca="1">"Nbr cas "&amp;$D$10&amp;" - "&amp;$L5</f>
        <v>Nbr cas 2019 - 20</v>
      </c>
      <c r="M15" s="24">
        <f ca="1">COUNTIFS($U:$U,$D$10,$W:$W,$L5)</f>
        <v>1</v>
      </c>
      <c r="O15" s="25" t="str">
        <f ca="1">"Nbr cas "&amp;$D$10&amp;" - "&amp;$L5</f>
        <v>Nbr cas 2019 - 20</v>
      </c>
      <c r="P15" s="24">
        <f ca="1">COUNTIFS($U:$U,$D$10,$W:$W,$L5,$Y:$Y,1)</f>
        <v>1</v>
      </c>
      <c r="T15" s="4">
        <v>43149</v>
      </c>
      <c r="U15" s="9">
        <f>YEAR(Tableau1[[#This Row],[Date]])</f>
        <v>2018</v>
      </c>
      <c r="V15" s="9">
        <f>MONTH(Tableau1[[#This Row],[Date]])</f>
        <v>2</v>
      </c>
      <c r="W15" s="8">
        <f>WEEKNUM(Tableau1[[#This Row],[Date]],2)</f>
        <v>7</v>
      </c>
      <c r="X15" s="10" t="s">
        <v>5</v>
      </c>
      <c r="Y15" s="9">
        <v>0</v>
      </c>
    </row>
    <row r="16" spans="3:25" ht="15.75">
      <c r="E16" s="25" t="str">
        <f ca="1">"Nbr cas "&amp;$D$10&amp;" - "&amp;MONTH($G5)</f>
        <v>Nbr cas 2019 - 3</v>
      </c>
      <c r="F16" s="24">
        <f ca="1">COUNTIFS($U:$U,$D$10,$V:$V,MONTH($G5))</f>
        <v>7</v>
      </c>
      <c r="H16" s="25" t="str">
        <f ca="1">"Nbr réussite "&amp;$D$10&amp;" - "&amp;MONTH($G5)</f>
        <v>Nbr réussite 2019 - 3</v>
      </c>
      <c r="I16" s="24">
        <f ca="1">COUNTIFS($U:$U,$D$10,$V:$V,MONTH($G5),$Y:$Y,1)</f>
        <v>6</v>
      </c>
      <c r="L16" s="25" t="str">
        <f ca="1">"Nbr cas "&amp;$D$10&amp;" - "&amp;$M5</f>
        <v>Nbr cas 2019 - 21</v>
      </c>
      <c r="M16" s="24">
        <f ca="1">COUNTIFS($U:$U,$D$10,$W:$W,$M5)</f>
        <v>3</v>
      </c>
      <c r="O16" s="25" t="str">
        <f ca="1">"Nbr cas "&amp;$D$10&amp;" - "&amp;$M5</f>
        <v>Nbr cas 2019 - 21</v>
      </c>
      <c r="P16" s="24">
        <f ca="1">COUNTIFS($U:$U,$D$10,$W:$W,$M5,$Y:$Y,1)</f>
        <v>2</v>
      </c>
      <c r="T16" s="4">
        <v>43631</v>
      </c>
      <c r="U16" s="9">
        <f>YEAR(Tableau1[[#This Row],[Date]])</f>
        <v>2019</v>
      </c>
      <c r="V16" s="9">
        <f>MONTH(Tableau1[[#This Row],[Date]])</f>
        <v>6</v>
      </c>
      <c r="W16" s="8">
        <f>WEEKNUM(Tableau1[[#This Row],[Date]],2)</f>
        <v>24</v>
      </c>
      <c r="X16" s="10" t="s">
        <v>5</v>
      </c>
      <c r="Y16" s="9">
        <v>1</v>
      </c>
    </row>
    <row r="17" spans="5:25" ht="15.75">
      <c r="E17" s="25" t="str">
        <f ca="1">"Nbr cas "&amp;$D$10&amp;" - "&amp;MONTH($H5)</f>
        <v>Nbr cas 2019 - 4</v>
      </c>
      <c r="F17" s="24">
        <f ca="1">COUNTIFS($U:$U,$D$10,$V:$V,MONTH($H5))</f>
        <v>4</v>
      </c>
      <c r="H17" s="25" t="str">
        <f ca="1">"Nbr réussite "&amp;$D$10&amp;" - "&amp;MONTH($H5)</f>
        <v>Nbr réussite 2019 - 4</v>
      </c>
      <c r="I17" s="24">
        <f ca="1">COUNTIFS($U:$U,$D$10,$V:$V,MONTH($H5),$Y:$Y,1)</f>
        <v>4</v>
      </c>
      <c r="L17" s="25" t="str">
        <f ca="1">"Nbr cas "&amp;$D$10&amp;" - "&amp;$N5</f>
        <v>Nbr cas 2019 - 22</v>
      </c>
      <c r="M17" s="24">
        <f ca="1">COUNTIFS($U:$U,$D$10,$W:$W,$N5)</f>
        <v>1</v>
      </c>
      <c r="O17" s="25" t="str">
        <f ca="1">"Nbr cas "&amp;$D$10&amp;" - "&amp;$N5</f>
        <v>Nbr cas 2019 - 22</v>
      </c>
      <c r="P17" s="24">
        <f ca="1">COUNTIFS($U:$U,$D$10,$W:$W,$N5,$Y:$Y,1)</f>
        <v>1</v>
      </c>
      <c r="T17" s="4">
        <v>43107</v>
      </c>
      <c r="U17" s="9">
        <f>YEAR(Tableau1[[#This Row],[Date]])</f>
        <v>2018</v>
      </c>
      <c r="V17" s="9">
        <f>MONTH(Tableau1[[#This Row],[Date]])</f>
        <v>1</v>
      </c>
      <c r="W17" s="8">
        <f>WEEKNUM(Tableau1[[#This Row],[Date]],2)</f>
        <v>1</v>
      </c>
      <c r="X17" s="10" t="s">
        <v>4</v>
      </c>
      <c r="Y17" s="9">
        <v>1</v>
      </c>
    </row>
    <row r="18" spans="5:25" ht="15.75">
      <c r="E18" s="25" t="str">
        <f ca="1">"Nbr cas "&amp;$D$10&amp;" - "&amp;MONTH($I5)</f>
        <v>Nbr cas 2019 - 5</v>
      </c>
      <c r="F18" s="24">
        <f ca="1">COUNTIFS($U:$U,$D$10,$V:$V,MONTH($I5))</f>
        <v>7</v>
      </c>
      <c r="H18" s="25" t="str">
        <f ca="1">"Nbr réussite "&amp;$D$10&amp;" - "&amp;MONTH($I5)</f>
        <v>Nbr réussite 2019 - 5</v>
      </c>
      <c r="I18" s="24">
        <f ca="1">COUNTIFS($U:$U,$D$10,$V:$V,MONTH($I5),$Y:$Y,1)</f>
        <v>6</v>
      </c>
      <c r="L18" s="25" t="str">
        <f ca="1">"Nbr cas "&amp;$D$10&amp;" - "&amp;$O5</f>
        <v>Nbr cas 2019 - 23</v>
      </c>
      <c r="M18" s="24">
        <f ca="1">COUNTIFS($U:$U,$D$10,$W:$W,$O5)</f>
        <v>1</v>
      </c>
      <c r="O18" s="25" t="str">
        <f ca="1">"Nbr cas "&amp;$D$10&amp;" - "&amp;$O5</f>
        <v>Nbr cas 2019 - 23</v>
      </c>
      <c r="P18" s="24">
        <f ca="1">COUNTIFS($U:$U,$D$10,$W:$W,$O5,$Y:$Y,1)</f>
        <v>1</v>
      </c>
      <c r="T18" s="4">
        <v>43242</v>
      </c>
      <c r="U18" s="9">
        <f>YEAR(Tableau1[[#This Row],[Date]])</f>
        <v>2018</v>
      </c>
      <c r="V18" s="9">
        <f>MONTH(Tableau1[[#This Row],[Date]])</f>
        <v>5</v>
      </c>
      <c r="W18" s="8">
        <f>WEEKNUM(Tableau1[[#This Row],[Date]],2)</f>
        <v>21</v>
      </c>
      <c r="X18" s="10" t="s">
        <v>5</v>
      </c>
      <c r="Y18" s="9">
        <v>0</v>
      </c>
    </row>
    <row r="19" spans="5:25" ht="15.75">
      <c r="E19" s="25" t="str">
        <f ca="1">"Nbr cas "&amp;$D$10&amp;" - "&amp;MONTH($J5)</f>
        <v>Nbr cas 2019 - 6</v>
      </c>
      <c r="F19" s="24">
        <f ca="1">COUNTIFS($U:$U,$D$10,$V:$V,MONTH($J5))</f>
        <v>5</v>
      </c>
      <c r="H19" s="25" t="str">
        <f ca="1">"Nbr réussite "&amp;$D$10&amp;" - "&amp;MONTH($J5)</f>
        <v>Nbr réussite 2019 - 6</v>
      </c>
      <c r="I19" s="24">
        <f ca="1">COUNTIFS($U:$U,$D$10,$V:$V,MONTH($J5),$Y:$Y,1)</f>
        <v>5</v>
      </c>
      <c r="L19" s="25" t="str">
        <f ca="1">"Nbr cas "&amp;$D$10&amp;" - "&amp;$P5</f>
        <v>Nbr cas 2019 - 24</v>
      </c>
      <c r="M19" s="24">
        <f ca="1">COUNTIFS($U:$U,$D$10,$W:$W,$P5)</f>
        <v>1</v>
      </c>
      <c r="O19" s="25" t="str">
        <f ca="1">"Nbr cas "&amp;$D$10&amp;" - "&amp;$P5</f>
        <v>Nbr cas 2019 - 24</v>
      </c>
      <c r="P19" s="24">
        <f ca="1">COUNTIFS($U:$U,$D$10,$W:$W,$P5,$Y:$Y,1)</f>
        <v>1</v>
      </c>
      <c r="T19" s="4" t="s">
        <v>35</v>
      </c>
      <c r="U19" s="9">
        <f>YEAR(Tableau1[[#This Row],[Date]])</f>
        <v>2019</v>
      </c>
      <c r="V19" s="9">
        <f>MONTH(Tableau1[[#This Row],[Date]])</f>
        <v>3</v>
      </c>
      <c r="W19" s="8">
        <f>WEEKNUM(Tableau1[[#This Row],[Date]],2)</f>
        <v>12</v>
      </c>
      <c r="X19" s="10" t="s">
        <v>5</v>
      </c>
      <c r="Y19" s="9">
        <v>1</v>
      </c>
    </row>
    <row r="20" spans="5:25">
      <c r="E20" s="1"/>
      <c r="F20" s="1"/>
      <c r="G20" s="1"/>
      <c r="H20" s="1"/>
      <c r="I20" s="1"/>
      <c r="L20" s="2"/>
      <c r="M20" s="1"/>
      <c r="N20" s="1"/>
      <c r="O20" s="2"/>
      <c r="P20" s="1"/>
      <c r="T20" s="4">
        <v>43620</v>
      </c>
      <c r="U20" s="9">
        <f>YEAR(Tableau1[[#This Row],[Date]])</f>
        <v>2019</v>
      </c>
      <c r="V20" s="9">
        <f>MONTH(Tableau1[[#This Row],[Date]])</f>
        <v>6</v>
      </c>
      <c r="W20" s="8">
        <f>WEEKNUM(Tableau1[[#This Row],[Date]],2)</f>
        <v>23</v>
      </c>
      <c r="X20" s="10" t="s">
        <v>4</v>
      </c>
      <c r="Y20" s="9">
        <v>1</v>
      </c>
    </row>
    <row r="21" spans="5:25">
      <c r="E21" s="1"/>
      <c r="F21" s="1"/>
      <c r="G21" s="1"/>
      <c r="H21" s="1"/>
      <c r="I21" s="1"/>
      <c r="L21" s="2"/>
      <c r="M21" s="1"/>
      <c r="N21" s="1"/>
      <c r="O21" s="2"/>
      <c r="P21" s="1"/>
      <c r="T21" s="4" t="s">
        <v>36</v>
      </c>
      <c r="U21" s="9">
        <f>YEAR(Tableau1[[#This Row],[Date]])</f>
        <v>2019</v>
      </c>
      <c r="V21" s="9">
        <f>MONTH(Tableau1[[#This Row],[Date]])</f>
        <v>6</v>
      </c>
      <c r="W21" s="8">
        <f>WEEKNUM(Tableau1[[#This Row],[Date]],2)</f>
        <v>26</v>
      </c>
      <c r="X21" s="10" t="s">
        <v>5</v>
      </c>
      <c r="Y21" s="9">
        <v>1</v>
      </c>
    </row>
    <row r="22" spans="5:25">
      <c r="E22" s="2" t="s">
        <v>4</v>
      </c>
      <c r="F22" s="1"/>
      <c r="G22" s="1"/>
      <c r="H22" s="1"/>
      <c r="I22" s="1"/>
      <c r="L22" s="2" t="s">
        <v>4</v>
      </c>
      <c r="M22" s="1"/>
      <c r="N22" s="1"/>
      <c r="O22" s="1"/>
      <c r="P22" s="1"/>
      <c r="T22" s="4" t="s">
        <v>37</v>
      </c>
      <c r="U22" s="9">
        <f>YEAR(Tableau1[[#This Row],[Date]])</f>
        <v>2019</v>
      </c>
      <c r="V22" s="9">
        <f>MONTH(Tableau1[[#This Row],[Date]])</f>
        <v>3</v>
      </c>
      <c r="W22" s="8">
        <f>WEEKNUM(Tableau1[[#This Row],[Date]],2)</f>
        <v>11</v>
      </c>
      <c r="X22" s="10" t="s">
        <v>4</v>
      </c>
      <c r="Y22" s="9">
        <v>1</v>
      </c>
    </row>
    <row r="23" spans="5:25">
      <c r="E23" s="1"/>
      <c r="F23" s="1"/>
      <c r="G23" s="1"/>
      <c r="H23" s="1"/>
      <c r="I23" s="1"/>
      <c r="L23" s="1"/>
      <c r="M23" s="1"/>
      <c r="N23" s="1"/>
      <c r="O23" s="1"/>
      <c r="P23" s="1"/>
      <c r="T23" s="4" t="s">
        <v>38</v>
      </c>
      <c r="U23" s="9">
        <f>YEAR(Tableau1[[#This Row],[Date]])</f>
        <v>2019</v>
      </c>
      <c r="V23" s="9">
        <f>MONTH(Tableau1[[#This Row],[Date]])</f>
        <v>5</v>
      </c>
      <c r="W23" s="8">
        <f>WEEKNUM(Tableau1[[#This Row],[Date]],2)</f>
        <v>18</v>
      </c>
      <c r="X23" s="10" t="s">
        <v>4</v>
      </c>
      <c r="Y23" s="9">
        <v>1</v>
      </c>
    </row>
    <row r="24" spans="5:25" ht="15.75">
      <c r="E24" s="2" t="s">
        <v>6</v>
      </c>
      <c r="F24" s="20">
        <f>COUNTIFS(U:U,"=2019",V:V,"=1",X:X,"=REP")</f>
        <v>2</v>
      </c>
      <c r="G24" s="1"/>
      <c r="H24" s="2" t="s">
        <v>7</v>
      </c>
      <c r="I24" s="20">
        <f>COUNTIFS(U:U,"=2019",V:V,"=1",X:X,"=REP",Y:Y,"=1")</f>
        <v>1</v>
      </c>
      <c r="J24" s="21"/>
      <c r="K24" s="21"/>
      <c r="L24" s="2" t="s">
        <v>53</v>
      </c>
      <c r="M24" s="20">
        <f>COUNTIFS(U:U,"=2019",W:W,"=19",X:X,"=REP")</f>
        <v>1</v>
      </c>
      <c r="N24" s="1"/>
      <c r="O24" s="2" t="s">
        <v>53</v>
      </c>
      <c r="P24" s="20">
        <f>COUNTIFS(U:U,"=2019",W:W,"=19",Y:Y,"=1",X:X,"=REP")</f>
        <v>1</v>
      </c>
      <c r="T24" s="4">
        <v>43185</v>
      </c>
      <c r="U24" s="9">
        <f>YEAR(Tableau1[[#This Row],[Date]])</f>
        <v>2018</v>
      </c>
      <c r="V24" s="9">
        <f>MONTH(Tableau1[[#This Row],[Date]])</f>
        <v>3</v>
      </c>
      <c r="W24" s="8">
        <f>WEEKNUM(Tableau1[[#This Row],[Date]],2)</f>
        <v>13</v>
      </c>
      <c r="X24" s="10" t="s">
        <v>5</v>
      </c>
      <c r="Y24" s="9">
        <v>1</v>
      </c>
    </row>
    <row r="25" spans="5:25" ht="15.75">
      <c r="E25" s="2" t="s">
        <v>8</v>
      </c>
      <c r="F25" s="20">
        <f>COUNTIFS(U:U,"=2019",V:V,"=2",X:X,"=REP")</f>
        <v>4</v>
      </c>
      <c r="G25" s="1"/>
      <c r="H25" s="2" t="s">
        <v>9</v>
      </c>
      <c r="I25" s="20">
        <f>COUNTIFS(U:U,"=2019",V:V,"=2",X:X,"=REP",Y:Y,"=1")</f>
        <v>4</v>
      </c>
      <c r="J25" s="21"/>
      <c r="K25" s="21"/>
      <c r="L25" s="2" t="s">
        <v>54</v>
      </c>
      <c r="M25" s="20">
        <f>COUNTIFS(U:U,"=2019",W:W,"=20",X:X,"=REP")</f>
        <v>0</v>
      </c>
      <c r="N25" s="1"/>
      <c r="O25" s="2" t="s">
        <v>54</v>
      </c>
      <c r="P25" s="20">
        <f>COUNTIFS(U:U,"=2019",W:W,"=20",Y:Y,"=1",X:X,"=REP")</f>
        <v>0</v>
      </c>
      <c r="T25" s="4" t="s">
        <v>39</v>
      </c>
      <c r="U25" s="9">
        <f>YEAR(Tableau1[[#This Row],[Date]])</f>
        <v>2019</v>
      </c>
      <c r="V25" s="9">
        <f>MONTH(Tableau1[[#This Row],[Date]])</f>
        <v>5</v>
      </c>
      <c r="W25" s="8">
        <f>WEEKNUM(Tableau1[[#This Row],[Date]],2)</f>
        <v>21</v>
      </c>
      <c r="X25" s="10" t="s">
        <v>4</v>
      </c>
      <c r="Y25" s="9">
        <v>1</v>
      </c>
    </row>
    <row r="26" spans="5:25" ht="15.75">
      <c r="E26" s="2" t="s">
        <v>10</v>
      </c>
      <c r="F26" s="20">
        <f>COUNTIFS(U:U,"=2019",V:V,"=3",X:X,"=REP")</f>
        <v>5</v>
      </c>
      <c r="G26" s="1"/>
      <c r="H26" s="2" t="s">
        <v>11</v>
      </c>
      <c r="I26" s="20">
        <f>COUNTIFS(U:U,"=2019",V:V,"=3",X:X,"=REP",Y:Y,"=1")</f>
        <v>4</v>
      </c>
      <c r="J26" s="21"/>
      <c r="K26" s="21"/>
      <c r="L26" s="2" t="s">
        <v>55</v>
      </c>
      <c r="M26" s="20">
        <f>COUNTIFS(U:U,"=2019",W:W,"=21",X:X,"=REP")</f>
        <v>2</v>
      </c>
      <c r="N26" s="1"/>
      <c r="O26" s="2" t="s">
        <v>55</v>
      </c>
      <c r="P26" s="20">
        <f>COUNTIFS(U:U,"=2019",W:W,"=21",Y:Y,"=1",X:X,"=REP")</f>
        <v>2</v>
      </c>
      <c r="T26" s="4" t="s">
        <v>40</v>
      </c>
      <c r="U26" s="9">
        <f>YEAR(Tableau1[[#This Row],[Date]])</f>
        <v>2019</v>
      </c>
      <c r="V26" s="9">
        <f>MONTH(Tableau1[[#This Row],[Date]])</f>
        <v>4</v>
      </c>
      <c r="W26" s="8">
        <f>WEEKNUM(Tableau1[[#This Row],[Date]],2)</f>
        <v>16</v>
      </c>
      <c r="X26" s="10" t="s">
        <v>5</v>
      </c>
      <c r="Y26" s="9">
        <v>1</v>
      </c>
    </row>
    <row r="27" spans="5:25" ht="15.75">
      <c r="E27" s="2" t="s">
        <v>12</v>
      </c>
      <c r="F27" s="20">
        <f>COUNTIFS(U:U,"=2019",V:V,"=4",X:X,"=REP")</f>
        <v>2</v>
      </c>
      <c r="G27" s="1"/>
      <c r="H27" s="2" t="s">
        <v>13</v>
      </c>
      <c r="I27" s="20">
        <f>COUNTIFS(U:U,"=2019",V:V,"=4",X:X,"=REP",Y:Y,"=1")</f>
        <v>2</v>
      </c>
      <c r="J27" s="21"/>
      <c r="K27" s="21"/>
      <c r="L27" s="2" t="s">
        <v>56</v>
      </c>
      <c r="M27" s="20">
        <f>COUNTIFS(U:U,"=2019",W:W,"=22",X:X,"=REP")</f>
        <v>1</v>
      </c>
      <c r="N27" s="1"/>
      <c r="O27" s="2" t="s">
        <v>56</v>
      </c>
      <c r="P27" s="20">
        <f>COUNTIFS(U:U,"=2019",W:W,"=22",Y:Y,"=1",X:X,"=REP")</f>
        <v>1</v>
      </c>
      <c r="T27" s="4" t="s">
        <v>41</v>
      </c>
      <c r="U27" s="9">
        <f>YEAR(Tableau1[[#This Row],[Date]])</f>
        <v>2019</v>
      </c>
      <c r="V27" s="9">
        <f>MONTH(Tableau1[[#This Row],[Date]])</f>
        <v>1</v>
      </c>
      <c r="W27" s="8">
        <f>WEEKNUM(Tableau1[[#This Row],[Date]],2)</f>
        <v>4</v>
      </c>
      <c r="X27" s="10" t="s">
        <v>4</v>
      </c>
      <c r="Y27" s="9">
        <v>0</v>
      </c>
    </row>
    <row r="28" spans="5:25" ht="15.75">
      <c r="E28" s="2" t="s">
        <v>14</v>
      </c>
      <c r="F28" s="20">
        <f>COUNTIFS(U:U,"=2019",V:V,"=5",X:X,"=REP")</f>
        <v>5</v>
      </c>
      <c r="G28" s="1"/>
      <c r="H28" s="2" t="s">
        <v>15</v>
      </c>
      <c r="I28" s="20">
        <f>COUNTIFS(U:U,"=2019",V:V,"=5",X:X,"=REP",Y:Y,"=1")</f>
        <v>5</v>
      </c>
      <c r="J28" s="21"/>
      <c r="K28" s="21"/>
      <c r="L28" s="2" t="s">
        <v>57</v>
      </c>
      <c r="M28" s="20">
        <f>COUNTIFS(U:U,"=2019",W:W,"=23",X:X,"=REP")</f>
        <v>1</v>
      </c>
      <c r="N28" s="1"/>
      <c r="O28" s="2" t="s">
        <v>57</v>
      </c>
      <c r="P28" s="20">
        <f>COUNTIFS(U:U,"=2019",W:W,"=23",Y:Y,"=1",X:X,"=REP")</f>
        <v>1</v>
      </c>
      <c r="T28" s="4" t="s">
        <v>42</v>
      </c>
      <c r="U28" s="9">
        <f>YEAR(Tableau1[[#This Row],[Date]])</f>
        <v>2019</v>
      </c>
      <c r="V28" s="9">
        <f>MONTH(Tableau1[[#This Row],[Date]])</f>
        <v>4</v>
      </c>
      <c r="W28" s="8">
        <f>WEEKNUM(Tableau1[[#This Row],[Date]],2)</f>
        <v>14</v>
      </c>
      <c r="X28" s="10" t="s">
        <v>4</v>
      </c>
      <c r="Y28" s="9">
        <v>1</v>
      </c>
    </row>
    <row r="29" spans="5:25" ht="15.75">
      <c r="E29" s="2" t="s">
        <v>16</v>
      </c>
      <c r="F29" s="20">
        <f>COUNTIFS(U:U,"=2019",V:V,"=6",X:X,"=REP")</f>
        <v>3</v>
      </c>
      <c r="G29" s="1"/>
      <c r="H29" s="2" t="s">
        <v>17</v>
      </c>
      <c r="I29" s="20">
        <f>COUNTIFS(U:U,"=2019",V:V,"=6",X:X,"=REP",Y:Y,"=1")</f>
        <v>3</v>
      </c>
      <c r="J29" s="21"/>
      <c r="K29" s="21"/>
      <c r="L29" s="2" t="s">
        <v>58</v>
      </c>
      <c r="M29" s="20">
        <f>COUNTIFS(U:U,"=2019",W:W,"=24",X:X,"=REP")</f>
        <v>0</v>
      </c>
      <c r="N29" s="1"/>
      <c r="O29" s="2" t="s">
        <v>58</v>
      </c>
      <c r="P29" s="20">
        <f>COUNTIFS(U:U,"=2019",W:W,"=24",Y:Y,"=1",X:X,"=REP")</f>
        <v>0</v>
      </c>
      <c r="T29" s="4" t="s">
        <v>43</v>
      </c>
      <c r="U29" s="9">
        <f>YEAR(Tableau1[[#This Row],[Date]])</f>
        <v>2019</v>
      </c>
      <c r="V29" s="9">
        <f>MONTH(Tableau1[[#This Row],[Date]])</f>
        <v>5</v>
      </c>
      <c r="W29" s="8">
        <f>WEEKNUM(Tableau1[[#This Row],[Date]],2)</f>
        <v>21</v>
      </c>
      <c r="X29" s="10" t="s">
        <v>5</v>
      </c>
      <c r="Y29" s="9">
        <v>0</v>
      </c>
    </row>
    <row r="30" spans="5:25">
      <c r="E30" s="2"/>
      <c r="F30" s="1"/>
      <c r="G30" s="1"/>
      <c r="H30" s="2"/>
      <c r="I30" s="1"/>
      <c r="J30" s="21"/>
      <c r="K30" s="21"/>
      <c r="L30" s="2"/>
      <c r="M30" s="1"/>
      <c r="N30" s="1"/>
      <c r="O30" s="2"/>
      <c r="P30" s="1"/>
      <c r="T30" s="4">
        <v>43591</v>
      </c>
      <c r="U30" s="9">
        <f>YEAR(Tableau1[[#This Row],[Date]])</f>
        <v>2019</v>
      </c>
      <c r="V30" s="9">
        <f>MONTH(Tableau1[[#This Row],[Date]])</f>
        <v>5</v>
      </c>
      <c r="W30" s="8">
        <f>WEEKNUM(Tableau1[[#This Row],[Date]],2)</f>
        <v>19</v>
      </c>
      <c r="X30" s="10" t="s">
        <v>4</v>
      </c>
      <c r="Y30" s="9">
        <v>1</v>
      </c>
    </row>
    <row r="31" spans="5:25">
      <c r="E31" s="1"/>
      <c r="F31" s="1"/>
      <c r="G31" s="1"/>
      <c r="H31" s="1"/>
      <c r="I31" s="1"/>
      <c r="J31" s="21"/>
      <c r="K31" s="21"/>
      <c r="L31" s="1"/>
      <c r="M31" s="1"/>
      <c r="N31" s="1"/>
      <c r="O31" s="1"/>
      <c r="P31" s="1"/>
      <c r="T31" s="4" t="s">
        <v>44</v>
      </c>
      <c r="U31" s="9">
        <f>YEAR(Tableau1[[#This Row],[Date]])</f>
        <v>2019</v>
      </c>
      <c r="V31" s="9">
        <f>MONTH(Tableau1[[#This Row],[Date]])</f>
        <v>11</v>
      </c>
      <c r="W31" s="8">
        <f>WEEKNUM(Tableau1[[#This Row],[Date]],2)</f>
        <v>45</v>
      </c>
      <c r="X31" s="10" t="s">
        <v>5</v>
      </c>
      <c r="Y31" s="9">
        <v>1</v>
      </c>
    </row>
    <row r="32" spans="5:25">
      <c r="E32" s="2" t="s">
        <v>5</v>
      </c>
      <c r="F32" s="1"/>
      <c r="G32" s="1"/>
      <c r="H32" s="1"/>
      <c r="I32" s="1"/>
      <c r="J32" s="21"/>
      <c r="K32" s="21"/>
      <c r="L32" s="2" t="s">
        <v>5</v>
      </c>
      <c r="M32" s="1"/>
      <c r="N32" s="1"/>
      <c r="O32" s="1"/>
      <c r="P32" s="1"/>
      <c r="T32" s="4" t="s">
        <v>45</v>
      </c>
      <c r="U32" s="9">
        <f>YEAR(Tableau1[[#This Row],[Date]])</f>
        <v>2019</v>
      </c>
      <c r="V32" s="9">
        <f>MONTH(Tableau1[[#This Row],[Date]])</f>
        <v>2</v>
      </c>
      <c r="W32" s="8">
        <f>WEEKNUM(Tableau1[[#This Row],[Date]],2)</f>
        <v>6</v>
      </c>
      <c r="X32" s="10" t="s">
        <v>4</v>
      </c>
      <c r="Y32" s="9">
        <v>1</v>
      </c>
    </row>
    <row r="33" spans="5:25">
      <c r="E33" s="1"/>
      <c r="F33" s="1"/>
      <c r="G33" s="1"/>
      <c r="H33" s="1"/>
      <c r="I33" s="1"/>
      <c r="J33" s="21"/>
      <c r="K33" s="21"/>
      <c r="L33" s="1"/>
      <c r="M33" s="1"/>
      <c r="N33" s="1"/>
      <c r="O33" s="1"/>
      <c r="P33" s="1"/>
      <c r="T33" s="4" t="s">
        <v>46</v>
      </c>
      <c r="U33" s="9">
        <f>YEAR(Tableau1[[#This Row],[Date]])</f>
        <v>2019</v>
      </c>
      <c r="V33" s="9">
        <f>MONTH(Tableau1[[#This Row],[Date]])</f>
        <v>3</v>
      </c>
      <c r="W33" s="8">
        <f>WEEKNUM(Tableau1[[#This Row],[Date]],2)</f>
        <v>13</v>
      </c>
      <c r="X33" s="10" t="s">
        <v>5</v>
      </c>
      <c r="Y33" s="9">
        <v>1</v>
      </c>
    </row>
    <row r="34" spans="5:25" ht="15.75">
      <c r="E34" s="2" t="s">
        <v>6</v>
      </c>
      <c r="F34" s="20">
        <f>COUNTIFS(U:U,"=2019",V:V,"=1",X:X,"=DROP")</f>
        <v>1</v>
      </c>
      <c r="G34" s="1"/>
      <c r="H34" s="2" t="s">
        <v>7</v>
      </c>
      <c r="I34" s="20">
        <f>COUNTIFS(U:U,"=2019",V:V,"=1",X:X,"=DROP",Y:Y,"=1")</f>
        <v>1</v>
      </c>
      <c r="J34" s="21"/>
      <c r="K34" s="21"/>
      <c r="L34" s="2" t="s">
        <v>53</v>
      </c>
      <c r="M34" s="20">
        <f>COUNTIFS(U:U,"=2019",W:W,"=19",X:X,"=DROP")</f>
        <v>0</v>
      </c>
      <c r="N34" s="1"/>
      <c r="O34" s="2" t="s">
        <v>53</v>
      </c>
      <c r="P34" s="20">
        <f>COUNTIFS(U:U,"=2019",W:W,"=19",Y:Y,"=1",X:X,"=DROP")</f>
        <v>0</v>
      </c>
      <c r="T34" s="4" t="s">
        <v>47</v>
      </c>
      <c r="U34" s="9">
        <f>YEAR(Tableau1[[#This Row],[Date]])</f>
        <v>2019</v>
      </c>
      <c r="V34" s="9">
        <f>MONTH(Tableau1[[#This Row],[Date]])</f>
        <v>2</v>
      </c>
      <c r="W34" s="8">
        <f>WEEKNUM(Tableau1[[#This Row],[Date]],2)</f>
        <v>6</v>
      </c>
      <c r="X34" s="10" t="s">
        <v>5</v>
      </c>
      <c r="Y34" s="9">
        <v>0</v>
      </c>
    </row>
    <row r="35" spans="5:25" ht="15.75">
      <c r="E35" s="2" t="s">
        <v>8</v>
      </c>
      <c r="F35" s="20">
        <f>COUNTIFS(U:U,"=2019",V:V,"=2",X:X,"=DROP")</f>
        <v>1</v>
      </c>
      <c r="G35" s="1"/>
      <c r="H35" s="2" t="s">
        <v>9</v>
      </c>
      <c r="I35" s="20">
        <f>COUNTIFS(U:U,"=2019",V:V,"=2",X:X,"=DROP",Y:Y,"=1")</f>
        <v>0</v>
      </c>
      <c r="J35" s="21"/>
      <c r="K35" s="21"/>
      <c r="L35" s="2" t="s">
        <v>54</v>
      </c>
      <c r="M35" s="20">
        <f>COUNTIFS(U:U,"=2019",W:W,"=20",X:X,"=DROP")</f>
        <v>1</v>
      </c>
      <c r="N35" s="1"/>
      <c r="O35" s="2" t="s">
        <v>54</v>
      </c>
      <c r="P35" s="20">
        <f>COUNTIFS(U:U,"=2019",W:W,"=20",Y:Y,"=1",X:X,"=DROP")</f>
        <v>1</v>
      </c>
      <c r="T35" s="4" t="s">
        <v>48</v>
      </c>
      <c r="U35" s="9">
        <f>YEAR(Tableau1[[#This Row],[Date]])</f>
        <v>2019</v>
      </c>
      <c r="V35" s="9">
        <f>MONTH(Tableau1[[#This Row],[Date]])</f>
        <v>3</v>
      </c>
      <c r="W35" s="8">
        <f>WEEKNUM(Tableau1[[#This Row],[Date]],2)</f>
        <v>13</v>
      </c>
      <c r="X35" s="10" t="s">
        <v>4</v>
      </c>
      <c r="Y35" s="9">
        <v>0</v>
      </c>
    </row>
    <row r="36" spans="5:25" ht="15.75">
      <c r="E36" s="2" t="s">
        <v>10</v>
      </c>
      <c r="F36" s="20">
        <f>COUNTIFS(U:U,"=2019",V:V,"=3",X:X,"=DROP")</f>
        <v>2</v>
      </c>
      <c r="G36" s="1"/>
      <c r="H36" s="2" t="s">
        <v>11</v>
      </c>
      <c r="I36" s="20">
        <f>COUNTIFS(U:U,"=2019",V:V,"=3",X:X,"=DROP",Y:Y,"=1")</f>
        <v>2</v>
      </c>
      <c r="J36" s="21"/>
      <c r="K36" s="21"/>
      <c r="L36" s="2" t="s">
        <v>55</v>
      </c>
      <c r="M36" s="20">
        <f>COUNTIFS(U:U,"=2019",W:W,"=21",X:X,"=DROP")</f>
        <v>1</v>
      </c>
      <c r="N36" s="1"/>
      <c r="O36" s="2" t="s">
        <v>55</v>
      </c>
      <c r="P36" s="20">
        <f>COUNTIFS(U:U,"=2019",W:W,"=21",Y:Y,"=1",X:X,"=DROP")</f>
        <v>0</v>
      </c>
      <c r="T36" s="4" t="s">
        <v>49</v>
      </c>
      <c r="U36" s="9">
        <f>YEAR(Tableau1[[#This Row],[Date]])</f>
        <v>2019</v>
      </c>
      <c r="V36" s="9">
        <f>MONTH(Tableau1[[#This Row],[Date]])</f>
        <v>4</v>
      </c>
      <c r="W36" s="8">
        <f>WEEKNUM(Tableau1[[#This Row],[Date]],2)</f>
        <v>14</v>
      </c>
      <c r="X36" s="10" t="s">
        <v>4</v>
      </c>
      <c r="Y36" s="9">
        <v>1</v>
      </c>
    </row>
    <row r="37" spans="5:25" ht="15.75">
      <c r="E37" s="2" t="s">
        <v>12</v>
      </c>
      <c r="F37" s="20">
        <f>COUNTIFS(U:U,"=2019",V:V,"=4",X:X,"=DROP")</f>
        <v>2</v>
      </c>
      <c r="G37" s="1"/>
      <c r="H37" s="2" t="s">
        <v>13</v>
      </c>
      <c r="I37" s="20">
        <f>COUNTIFS(U:U,"=2019",V:V,"=4",X:X,"=DROP",Y:Y,"=1")</f>
        <v>2</v>
      </c>
      <c r="J37" s="21"/>
      <c r="K37" s="21"/>
      <c r="L37" s="2" t="s">
        <v>56</v>
      </c>
      <c r="M37" s="20">
        <f>COUNTIFS(U:U,"=2019",W:W,"=22",X:X,"=DROP")</f>
        <v>0</v>
      </c>
      <c r="N37" s="1"/>
      <c r="O37" s="2" t="s">
        <v>56</v>
      </c>
      <c r="P37" s="20">
        <f>COUNTIFS(U:U,"=2019",W:W,"=22",Y:Y,"=1",X:X,"=DROP")</f>
        <v>0</v>
      </c>
      <c r="T37" s="4" t="s">
        <v>50</v>
      </c>
      <c r="U37" s="9">
        <f>YEAR(Tableau1[[#This Row],[Date]])</f>
        <v>2019</v>
      </c>
      <c r="V37" s="9">
        <f>MONTH(Tableau1[[#This Row],[Date]])</f>
        <v>1</v>
      </c>
      <c r="W37" s="8">
        <f>WEEKNUM(Tableau1[[#This Row],[Date]],2)</f>
        <v>3</v>
      </c>
      <c r="X37" s="10" t="s">
        <v>5</v>
      </c>
      <c r="Y37" s="9">
        <v>1</v>
      </c>
    </row>
    <row r="38" spans="5:25" ht="15.75">
      <c r="E38" s="2" t="s">
        <v>14</v>
      </c>
      <c r="F38" s="20">
        <f>COUNTIFS(U:U,"=2019",V:V,"=5",X:X,"=DROP")</f>
        <v>2</v>
      </c>
      <c r="G38" s="1"/>
      <c r="H38" s="2" t="s">
        <v>15</v>
      </c>
      <c r="I38" s="20">
        <f>COUNTIFS(U:U,"=2019",V:V,"=5",X:X,"=DROP",Y:Y,"=1")</f>
        <v>1</v>
      </c>
      <c r="J38" s="21"/>
      <c r="K38" s="21"/>
      <c r="L38" s="2" t="s">
        <v>57</v>
      </c>
      <c r="M38" s="20">
        <f>COUNTIFS(U:U,"=2019",W:W,"=23",X:X,"=DROP")</f>
        <v>0</v>
      </c>
      <c r="N38" s="1"/>
      <c r="O38" s="2" t="s">
        <v>57</v>
      </c>
      <c r="P38" s="20">
        <f>COUNTIFS(U:U,"=2019",W:W,"=23",Y:Y,"=1",X:X,"=DROP")</f>
        <v>0</v>
      </c>
      <c r="T38" s="4" t="s">
        <v>51</v>
      </c>
      <c r="U38" s="9">
        <f>YEAR(Tableau1[[#This Row],[Date]])</f>
        <v>2019</v>
      </c>
      <c r="V38" s="9">
        <f>MONTH(Tableau1[[#This Row],[Date]])</f>
        <v>2</v>
      </c>
      <c r="W38" s="8">
        <f>WEEKNUM(Tableau1[[#This Row],[Date]],2)</f>
        <v>8</v>
      </c>
      <c r="X38" s="10" t="s">
        <v>4</v>
      </c>
      <c r="Y38" s="9">
        <v>1</v>
      </c>
    </row>
    <row r="39" spans="5:25" ht="15.75">
      <c r="E39" s="2" t="s">
        <v>16</v>
      </c>
      <c r="F39" s="20">
        <f>COUNTIFS(U:U,"=2019",V:V,"=6",X:X,"=DROP")</f>
        <v>2</v>
      </c>
      <c r="G39" s="1"/>
      <c r="H39" s="2" t="s">
        <v>17</v>
      </c>
      <c r="I39" s="20">
        <f>COUNTIFS(U:U,"=2019",V:V,"=6",X:X,"=DROP",Y:Y,"=1")</f>
        <v>2</v>
      </c>
      <c r="J39" s="21"/>
      <c r="K39" s="21"/>
      <c r="L39" s="2" t="s">
        <v>58</v>
      </c>
      <c r="M39" s="20">
        <f>COUNTIFS(U:U,"=2019",W:W,"=24",X:X,"=DROP")</f>
        <v>1</v>
      </c>
      <c r="N39" s="1"/>
      <c r="O39" s="2" t="s">
        <v>58</v>
      </c>
      <c r="P39" s="20">
        <f>COUNTIFS(U:U,"=2019",W:W,"=24",Y:Y,"=1",X:X,"=DROP")</f>
        <v>1</v>
      </c>
      <c r="T39" s="4" t="s">
        <v>52</v>
      </c>
      <c r="U39" s="9">
        <f>YEAR(Tableau1[[#This Row],[Date]])</f>
        <v>2019</v>
      </c>
      <c r="V39" s="9">
        <f>MONTH(Tableau1[[#This Row],[Date]])</f>
        <v>4</v>
      </c>
      <c r="W39" s="8">
        <f>WEEKNUM(Tableau1[[#This Row],[Date]],2)</f>
        <v>15</v>
      </c>
      <c r="X39" s="10" t="s">
        <v>5</v>
      </c>
      <c r="Y39" s="9">
        <v>1</v>
      </c>
    </row>
    <row r="40" spans="5:25">
      <c r="E40" s="2"/>
      <c r="F40" s="1"/>
      <c r="G40" s="1"/>
      <c r="H40" s="2"/>
      <c r="I40" s="1"/>
      <c r="L40" s="2"/>
      <c r="M40" s="1"/>
      <c r="N40" s="1"/>
      <c r="O40" s="2"/>
      <c r="P40" s="1"/>
    </row>
    <row r="41" spans="5:25">
      <c r="E41" s="2"/>
      <c r="F41" s="1"/>
      <c r="G41" s="1"/>
      <c r="H41" s="2"/>
      <c r="I41" s="1"/>
      <c r="L41" s="2"/>
      <c r="M41" s="1"/>
      <c r="N41" s="1"/>
      <c r="O41" s="2"/>
      <c r="P41" s="1"/>
    </row>
    <row r="42" spans="5:25">
      <c r="E42" s="2"/>
      <c r="F42" s="1"/>
      <c r="G42" s="1"/>
      <c r="H42" s="2"/>
      <c r="I42" s="1"/>
    </row>
    <row r="43" spans="5:25">
      <c r="E43" s="2"/>
      <c r="F43" s="1"/>
      <c r="G43" s="1"/>
      <c r="H43" s="2"/>
      <c r="I43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ZODIACAEROSPACE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BERRE Simon (SAFRAN AEROSYSTEMS)</dc:creator>
  <cp:lastModifiedBy>Carim</cp:lastModifiedBy>
  <dcterms:created xsi:type="dcterms:W3CDTF">2019-06-18T08:50:49Z</dcterms:created>
  <dcterms:modified xsi:type="dcterms:W3CDTF">2019-06-18T16:57:58Z</dcterms:modified>
</cp:coreProperties>
</file>