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 autoCompressPictures="0"/>
  <bookViews>
    <workbookView xWindow="0" yWindow="0" windowWidth="19200" windowHeight="6945" firstSheet="3" activeTab="5"/>
  </bookViews>
  <sheets>
    <sheet name="Mois de gestion" sheetId="7" state="hidden" r:id="rId1"/>
    <sheet name="Récaptitulatif Loyer Paris" sheetId="6" r:id="rId2"/>
    <sheet name="Récaptitulatif Resa PARIS 2018" sheetId="8" r:id="rId3"/>
    <sheet name="Comptabilité PARIS 2018" sheetId="10" r:id="rId4"/>
    <sheet name="Analyse Global PARIS " sheetId="11" r:id="rId5"/>
    <sheet name="Analyse par appartement" sheetId="12" r:id="rId6"/>
    <sheet name="Appartements" sheetId="13" r:id="rId7"/>
  </sheets>
  <definedNames>
    <definedName name="_xlnm._FilterDatabase" localSheetId="1" hidden="1">'Récaptitulatif Loyer Paris'!$A$1:$Y$7</definedName>
    <definedName name="_xlnm._FilterDatabase" localSheetId="2" hidden="1">'Récaptitulatif Resa PARIS 2018'!$A$1:$I$1</definedName>
    <definedName name="Appartements">OFFSET(Appartements!$A$2,0,0,COUNTA(Appartements!$A:$A)-1,1)</definedName>
    <definedName name="Mois">'Analyse Global PARIS '!$B$1:$M$1</definedName>
  </definedNames>
  <calcPr calcId="125725"/>
  <fileRecoveryPr autoRecover="0"/>
  <extLst>
    <ext xmlns:x15="http://schemas.microsoft.com/office/spreadsheetml/2010/11/main" uri="{140A7094-0E35-4892-8432-C4D2E57EDEB5}">
      <x15:workbookPr chartTrackingRefBase="1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1" i="12"/>
  <c r="F5"/>
  <c r="F3"/>
  <c r="E6"/>
  <c r="D6"/>
  <c r="C6"/>
  <c r="E5"/>
  <c r="D5"/>
  <c r="C5"/>
  <c r="E4"/>
  <c r="D4"/>
  <c r="C4"/>
  <c r="E3"/>
  <c r="D3"/>
  <c r="C3"/>
  <c r="B6"/>
  <c r="B5"/>
  <c r="B4"/>
  <c r="B3"/>
  <c r="X3" i="6"/>
  <c r="V3"/>
  <c r="T3"/>
  <c r="R3"/>
  <c r="P3"/>
  <c r="N3"/>
  <c r="L3"/>
  <c r="J3"/>
  <c r="H3"/>
  <c r="F3"/>
  <c r="D3"/>
  <c r="B3"/>
  <c r="G4" i="12"/>
  <c r="G5"/>
  <c r="G6"/>
  <c r="H3"/>
  <c r="H4"/>
  <c r="H5"/>
  <c r="H6"/>
  <c r="G3"/>
  <c r="K5" l="1"/>
  <c r="I6"/>
  <c r="J6" s="1"/>
  <c r="I5"/>
  <c r="J5" s="1"/>
  <c r="F6"/>
  <c r="K6" s="1"/>
  <c r="I4"/>
  <c r="J4" s="1"/>
  <c r="F4"/>
  <c r="K4" s="1"/>
  <c r="M6" i="6"/>
  <c r="O6"/>
  <c r="K6"/>
  <c r="I6"/>
  <c r="G6"/>
  <c r="K13" i="12"/>
  <c r="J13"/>
  <c r="K12"/>
  <c r="J12"/>
  <c r="K11"/>
  <c r="J11"/>
  <c r="K10"/>
  <c r="J10"/>
  <c r="K9"/>
  <c r="J9"/>
  <c r="K8"/>
  <c r="J8"/>
  <c r="K7"/>
  <c r="J7"/>
  <c r="K3"/>
  <c r="I3"/>
  <c r="J3" s="1"/>
  <c r="H2"/>
  <c r="G2"/>
  <c r="E2"/>
  <c r="D2"/>
  <c r="C2"/>
  <c r="B2"/>
  <c r="F2" l="1"/>
  <c r="K2" s="1"/>
  <c r="I2"/>
  <c r="J2" s="1"/>
  <c r="J6" i="10"/>
  <c r="H6"/>
  <c r="E6"/>
  <c r="H5"/>
  <c r="J5" s="1"/>
  <c r="E5"/>
  <c r="J4"/>
  <c r="H4"/>
  <c r="E4"/>
  <c r="H3"/>
  <c r="J3" s="1"/>
  <c r="E3"/>
  <c r="J2"/>
  <c r="H2"/>
  <c r="E2"/>
  <c r="I5"/>
  <c r="I4"/>
  <c r="I3"/>
  <c r="I6"/>
  <c r="I2"/>
  <c r="K3" l="1"/>
  <c r="L3" s="1"/>
  <c r="K5"/>
  <c r="L5" s="1"/>
  <c r="K2"/>
  <c r="L2" s="1"/>
  <c r="K4"/>
  <c r="L4" s="1"/>
  <c r="K6"/>
  <c r="L6" s="1"/>
  <c r="H2" i="8"/>
  <c r="H3"/>
  <c r="H4"/>
  <c r="H5"/>
  <c r="E2"/>
  <c r="E3"/>
  <c r="E4"/>
  <c r="E5"/>
  <c r="C7" i="11" l="1"/>
  <c r="F7"/>
  <c r="G7"/>
  <c r="J7"/>
  <c r="D7"/>
  <c r="E7"/>
  <c r="H7"/>
  <c r="I7"/>
  <c r="K7"/>
  <c r="L7"/>
  <c r="M7"/>
  <c r="C2" l="1"/>
  <c r="G2"/>
  <c r="K2"/>
  <c r="D3"/>
  <c r="H3"/>
  <c r="L3"/>
  <c r="E4"/>
  <c r="I4"/>
  <c r="M4"/>
  <c r="F5"/>
  <c r="J5"/>
  <c r="B3"/>
  <c r="D2"/>
  <c r="H2"/>
  <c r="L2"/>
  <c r="E3"/>
  <c r="I3"/>
  <c r="M3"/>
  <c r="F4"/>
  <c r="J4"/>
  <c r="C5"/>
  <c r="G5"/>
  <c r="K5"/>
  <c r="B4"/>
  <c r="E2"/>
  <c r="I2"/>
  <c r="M2"/>
  <c r="F3"/>
  <c r="J3"/>
  <c r="C4"/>
  <c r="G4"/>
  <c r="K4"/>
  <c r="D5"/>
  <c r="H5"/>
  <c r="L5"/>
  <c r="B5"/>
  <c r="F2"/>
  <c r="F6" s="1"/>
  <c r="F8" s="1"/>
  <c r="F9" s="1"/>
  <c r="J2"/>
  <c r="C3"/>
  <c r="G3"/>
  <c r="K3"/>
  <c r="D4"/>
  <c r="H4"/>
  <c r="L4"/>
  <c r="L6" s="1"/>
  <c r="L8" s="1"/>
  <c r="L9" s="1"/>
  <c r="E5"/>
  <c r="E6" s="1"/>
  <c r="E8" s="1"/>
  <c r="E9" s="1"/>
  <c r="I5"/>
  <c r="M5"/>
  <c r="B2"/>
  <c r="B6" s="1"/>
  <c r="J6"/>
  <c r="J8" s="1"/>
  <c r="J9" s="1"/>
  <c r="H6"/>
  <c r="H8" s="1"/>
  <c r="H9" s="1"/>
  <c r="C6" l="1"/>
  <c r="C8" s="1"/>
  <c r="C9" s="1"/>
  <c r="D6"/>
  <c r="D8" s="1"/>
  <c r="D9" s="1"/>
  <c r="M6"/>
  <c r="M8" s="1"/>
  <c r="M9" s="1"/>
  <c r="I6"/>
  <c r="I8" s="1"/>
  <c r="I9" s="1"/>
  <c r="N5"/>
  <c r="N3"/>
  <c r="K6"/>
  <c r="K8" s="1"/>
  <c r="K9" s="1"/>
  <c r="N4"/>
  <c r="N2"/>
  <c r="G6"/>
  <c r="G8" s="1"/>
  <c r="G9" s="1"/>
  <c r="N6" l="1"/>
  <c r="B7" l="1"/>
  <c r="L28" i="7"/>
  <c r="L26"/>
  <c r="I22"/>
  <c r="I20"/>
  <c r="I19"/>
  <c r="G18"/>
  <c r="I16"/>
  <c r="I15"/>
  <c r="K12"/>
  <c r="K3"/>
  <c r="G12"/>
  <c r="G3" s="1"/>
  <c r="E10"/>
  <c r="E3" s="1"/>
  <c r="E4"/>
  <c r="F8"/>
  <c r="M3"/>
  <c r="J3"/>
  <c r="H3"/>
  <c r="F3"/>
  <c r="D3"/>
  <c r="C3"/>
  <c r="B3"/>
  <c r="L3"/>
  <c r="I3" l="1"/>
  <c r="B8" i="11"/>
  <c r="B9" s="1"/>
  <c r="N7"/>
  <c r="N8" s="1"/>
  <c r="N9" s="1"/>
</calcChain>
</file>

<file path=xl/sharedStrings.xml><?xml version="1.0" encoding="utf-8"?>
<sst xmlns="http://schemas.openxmlformats.org/spreadsheetml/2006/main" count="235" uniqueCount="117">
  <si>
    <t>CONSTANCE</t>
  </si>
  <si>
    <t>ALESIA</t>
  </si>
  <si>
    <t>TEMPLE</t>
  </si>
  <si>
    <t>POISSONNIERE</t>
  </si>
  <si>
    <t>NERVIL</t>
  </si>
  <si>
    <t>CHAMP DE MARS</t>
  </si>
  <si>
    <t>CANAL ST MARTIN</t>
  </si>
  <si>
    <t>RICHARD LENOIR</t>
  </si>
  <si>
    <t>ARSENAL GUY</t>
  </si>
  <si>
    <t>NICOLE</t>
  </si>
  <si>
    <t>TOUR EIFFEL</t>
  </si>
  <si>
    <t>ROOFTOP</t>
  </si>
  <si>
    <t>SAINT LOUIS</t>
  </si>
  <si>
    <t>BEAUMARCHAIS</t>
  </si>
  <si>
    <t>BATIGNOLLES</t>
  </si>
  <si>
    <t>MONTMARTRE</t>
  </si>
  <si>
    <t>ECOLES</t>
  </si>
  <si>
    <t>ORSAY</t>
  </si>
  <si>
    <t>PYRAMIDE 2</t>
  </si>
  <si>
    <t>PYRAMIDE</t>
  </si>
  <si>
    <t>DECEMBRE</t>
  </si>
  <si>
    <t>NOVEMBRE</t>
  </si>
  <si>
    <t>OCTOBRE</t>
  </si>
  <si>
    <t>SEPTEMBRE</t>
  </si>
  <si>
    <t>AOUT</t>
  </si>
  <si>
    <t>JUILLET</t>
  </si>
  <si>
    <t>JUIN</t>
  </si>
  <si>
    <t>MAI</t>
  </si>
  <si>
    <t>AVRIL</t>
  </si>
  <si>
    <t>MARS</t>
  </si>
  <si>
    <t>FEVRIER</t>
  </si>
  <si>
    <t>JANVIER</t>
  </si>
  <si>
    <t>CODE APPARTEMENT</t>
  </si>
  <si>
    <t>MONTMARTRE 2</t>
  </si>
  <si>
    <t>MARIQUE</t>
  </si>
  <si>
    <t>ODEON</t>
  </si>
  <si>
    <t>BRUNEL</t>
  </si>
  <si>
    <t>COLISEE</t>
  </si>
  <si>
    <t>LABORDE</t>
  </si>
  <si>
    <t>EVA</t>
  </si>
  <si>
    <t>VOLTAIRE</t>
  </si>
  <si>
    <t>THURIES</t>
  </si>
  <si>
    <t>Total par mois</t>
  </si>
  <si>
    <t>VAUGIRARD</t>
  </si>
  <si>
    <t>Code appartement</t>
  </si>
  <si>
    <t>TOTAL</t>
  </si>
  <si>
    <t>PORTE D'ORLEANS</t>
  </si>
  <si>
    <t>Loyer</t>
  </si>
  <si>
    <t>LAFAYETTE</t>
  </si>
  <si>
    <t>ORFILA</t>
  </si>
  <si>
    <t>CONVENTION</t>
  </si>
  <si>
    <t>D'ORSEL</t>
  </si>
  <si>
    <t>FELICITE</t>
  </si>
  <si>
    <t>Date d'arrivée</t>
  </si>
  <si>
    <t>Date de départ</t>
  </si>
  <si>
    <t>Nombre de nuits</t>
  </si>
  <si>
    <t>Prestations de services</t>
  </si>
  <si>
    <t>Plateforme</t>
  </si>
  <si>
    <t>Réservation</t>
  </si>
  <si>
    <t>Caution</t>
  </si>
  <si>
    <t>Annulation</t>
  </si>
  <si>
    <t>Type</t>
  </si>
  <si>
    <t>Nom Touriste</t>
  </si>
  <si>
    <t>Loyer / nuit</t>
  </si>
  <si>
    <t xml:space="preserve">Prix / nuit </t>
  </si>
  <si>
    <t>Coût / nuit</t>
  </si>
  <si>
    <t>Prestations services</t>
  </si>
  <si>
    <t>Mois</t>
  </si>
  <si>
    <t>Montant de la réservation net</t>
  </si>
  <si>
    <t>CA TOTAL</t>
  </si>
  <si>
    <t>MARGE OPERATIONNELLE</t>
  </si>
  <si>
    <t>Taux de marge</t>
  </si>
  <si>
    <t>Nuit</t>
  </si>
  <si>
    <t>LETALLE</t>
  </si>
  <si>
    <t>BROCHANT</t>
  </si>
  <si>
    <t>LEVIS</t>
  </si>
  <si>
    <t>Anthony Thiollier</t>
  </si>
  <si>
    <t>Jake Haynes</t>
  </si>
  <si>
    <t>熙 吴</t>
  </si>
  <si>
    <t>Lunar Nana</t>
  </si>
  <si>
    <t>Eric De BECDELIEVRE</t>
  </si>
  <si>
    <t>A</t>
  </si>
  <si>
    <t>Loyer reversé</t>
  </si>
  <si>
    <t>Nombre de nuits possibles</t>
  </si>
  <si>
    <t>Résultat brut 
(CA - Loyers)</t>
  </si>
  <si>
    <t>Taux de remplissage</t>
  </si>
  <si>
    <t>Total</t>
  </si>
  <si>
    <t>APPARTEMENTS</t>
  </si>
  <si>
    <t>REAUMUR</t>
  </si>
  <si>
    <t>JUGE</t>
  </si>
  <si>
    <t>MOUFFETARD</t>
  </si>
  <si>
    <t>ASILE</t>
  </si>
  <si>
    <t>CHRISTIANI</t>
  </si>
  <si>
    <t>LEPIC</t>
  </si>
  <si>
    <t>SAINT SAUVEUR</t>
  </si>
  <si>
    <t>D'ORSEL 2</t>
  </si>
  <si>
    <t>BERNARDINS</t>
  </si>
  <si>
    <t>PETITS CARREAUX</t>
  </si>
  <si>
    <t>LOBLIGEOIS</t>
  </si>
  <si>
    <t>INVALIDES</t>
  </si>
  <si>
    <t>SULTAN</t>
  </si>
  <si>
    <t>NAVARIN</t>
  </si>
  <si>
    <t>CHARENTON</t>
  </si>
  <si>
    <t>NAZARETH</t>
  </si>
  <si>
    <t>FRIEDLAND</t>
  </si>
  <si>
    <t>GRAVILLIERS</t>
  </si>
  <si>
    <t>ASSAS</t>
  </si>
  <si>
    <t>POINCARE</t>
  </si>
  <si>
    <t>MALESHERBES</t>
  </si>
  <si>
    <t>LORD BYRON</t>
  </si>
  <si>
    <t>QUENU</t>
  </si>
  <si>
    <t xml:space="preserve">Luxembourg </t>
  </si>
  <si>
    <t>COURRIER</t>
  </si>
  <si>
    <t>AMSTERDAM</t>
  </si>
  <si>
    <t>LERICHE</t>
  </si>
  <si>
    <t>SUFFREN</t>
  </si>
  <si>
    <t>MONCEAU</t>
  </si>
</sst>
</file>

<file path=xl/styles.xml><?xml version="1.0" encoding="utf-8"?>
<styleSheet xmlns="http://schemas.openxmlformats.org/spreadsheetml/2006/main">
  <numFmts count="5">
    <numFmt numFmtId="164" formatCode="_-* #,##0.00\ &quot;€&quot;_-;\-* #,##0.00\ &quot;€&quot;_-;_-* &quot;-&quot;??\ &quot;€&quot;_-;_-@_-"/>
    <numFmt numFmtId="165" formatCode="_-* #,##0.00\ _€_-;\-* #,##0.00\ _€_-;_-* &quot;-&quot;??\ _€_-;_-@_-"/>
    <numFmt numFmtId="166" formatCode="_-* #,##0\ _€_-;\-* #,##0\ _€_-;_-* &quot;-&quot;??\ _€_-;_-@_-"/>
    <numFmt numFmtId="167" formatCode="_-* #,##0\ &quot;€&quot;_-;\-* #,##0\ &quot;€&quot;_-;_-* &quot;-&quot;??\ &quot;€&quot;_-;_-@_-"/>
    <numFmt numFmtId="168" formatCode="#,##0\ &quot;€&quot;"/>
  </numFmts>
  <fonts count="1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theme="0"/>
      <name val="Verdana"/>
      <family val="2"/>
    </font>
    <font>
      <sz val="10"/>
      <color theme="0"/>
      <name val="Verdana"/>
      <family val="2"/>
    </font>
    <font>
      <sz val="10"/>
      <color theme="1"/>
      <name val="Verdana"/>
      <family val="2"/>
    </font>
    <font>
      <sz val="9"/>
      <color theme="0"/>
      <name val="Verdana"/>
      <family val="2"/>
    </font>
    <font>
      <b/>
      <sz val="9"/>
      <color rgb="FFFFFF00"/>
      <name val="Verdana"/>
      <family val="2"/>
    </font>
    <font>
      <sz val="9"/>
      <color theme="1"/>
      <name val="Verdana"/>
      <family val="2"/>
    </font>
    <font>
      <b/>
      <sz val="10"/>
      <color theme="1"/>
      <name val="Verdana"/>
      <family val="2"/>
    </font>
    <font>
      <sz val="12"/>
      <color theme="0"/>
      <name val="Verdana"/>
      <family val="2"/>
    </font>
  </fonts>
  <fills count="9">
    <fill>
      <patternFill patternType="none"/>
    </fill>
    <fill>
      <patternFill patternType="gray125"/>
    </fill>
    <fill>
      <patternFill patternType="darkUp"/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1F497D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7" tint="0.39997558519241921"/>
        <bgColor indexed="64"/>
      </patternFill>
    </fill>
  </fills>
  <borders count="22">
    <border>
      <left/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 style="medium">
        <color theme="1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theme="1"/>
      </bottom>
      <diagonal/>
    </border>
    <border>
      <left/>
      <right style="thin">
        <color indexed="64"/>
      </right>
      <top style="thin">
        <color indexed="64"/>
      </top>
      <bottom style="medium">
        <color theme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4">
    <xf numFmtId="0" fontId="0" fillId="0" borderId="0"/>
    <xf numFmtId="165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9" fontId="4" fillId="0" borderId="0" applyFont="0" applyFill="0" applyBorder="0" applyAlignment="0" applyProtection="0"/>
  </cellStyleXfs>
  <cellXfs count="94">
    <xf numFmtId="0" fontId="0" fillId="0" borderId="0" xfId="0"/>
    <xf numFmtId="0" fontId="0" fillId="0" borderId="0" xfId="0" applyFont="1"/>
    <xf numFmtId="0" fontId="0" fillId="0" borderId="1" xfId="0" applyFont="1" applyBorder="1"/>
    <xf numFmtId="0" fontId="0" fillId="0" borderId="0" xfId="0" applyFont="1" applyBorder="1"/>
    <xf numFmtId="0" fontId="0" fillId="0" borderId="2" xfId="0" applyFont="1" applyBorder="1"/>
    <xf numFmtId="0" fontId="0" fillId="2" borderId="0" xfId="0" applyFont="1" applyFill="1"/>
    <xf numFmtId="0" fontId="0" fillId="0" borderId="0" xfId="0" applyFill="1" applyBorder="1" applyAlignment="1">
      <alignment vertical="center" wrapText="1"/>
    </xf>
    <xf numFmtId="0" fontId="0" fillId="0" borderId="0" xfId="0" applyFont="1" applyFill="1" applyBorder="1"/>
    <xf numFmtId="0" fontId="0" fillId="0" borderId="0" xfId="0" applyBorder="1" applyAlignment="1">
      <alignment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0" fillId="0" borderId="0" xfId="0" applyFont="1" applyFill="1"/>
    <xf numFmtId="0" fontId="3" fillId="0" borderId="0" xfId="0" applyFont="1" applyFill="1"/>
    <xf numFmtId="0" fontId="2" fillId="3" borderId="0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4" borderId="0" xfId="0" applyFont="1" applyFill="1" applyBorder="1" applyAlignment="1">
      <alignment horizontal="center" vertical="center" wrapText="1"/>
    </xf>
    <xf numFmtId="166" fontId="1" fillId="3" borderId="0" xfId="1" applyNumberFormat="1" applyFont="1" applyFill="1" applyBorder="1" applyAlignment="1">
      <alignment horizontal="center" vertical="center" wrapText="1"/>
    </xf>
    <xf numFmtId="0" fontId="5" fillId="0" borderId="0" xfId="0" applyFont="1"/>
    <xf numFmtId="0" fontId="6" fillId="0" borderId="0" xfId="0" applyFont="1" applyFill="1" applyAlignment="1">
      <alignment horizontal="center" vertical="center" wrapText="1"/>
    </xf>
    <xf numFmtId="0" fontId="5" fillId="0" borderId="8" xfId="0" applyFont="1" applyBorder="1"/>
    <xf numFmtId="0" fontId="5" fillId="0" borderId="0" xfId="0" applyFont="1" applyBorder="1"/>
    <xf numFmtId="0" fontId="7" fillId="6" borderId="9" xfId="0" applyFont="1" applyFill="1" applyBorder="1" applyAlignment="1">
      <alignment horizontal="center" vertical="center"/>
    </xf>
    <xf numFmtId="0" fontId="5" fillId="0" borderId="13" xfId="0" applyFont="1" applyFill="1" applyBorder="1"/>
    <xf numFmtId="167" fontId="5" fillId="0" borderId="13" xfId="2" applyNumberFormat="1" applyFont="1" applyFill="1" applyBorder="1"/>
    <xf numFmtId="0" fontId="5" fillId="0" borderId="14" xfId="0" applyFont="1" applyFill="1" applyBorder="1"/>
    <xf numFmtId="167" fontId="5" fillId="0" borderId="14" xfId="2" applyNumberFormat="1" applyFont="1" applyFill="1" applyBorder="1"/>
    <xf numFmtId="0" fontId="6" fillId="0" borderId="0" xfId="0" applyFont="1" applyFill="1" applyBorder="1" applyAlignment="1">
      <alignment horizontal="center" vertical="center" wrapText="1"/>
    </xf>
    <xf numFmtId="0" fontId="7" fillId="7" borderId="10" xfId="0" applyFont="1" applyFill="1" applyBorder="1" applyAlignment="1">
      <alignment horizontal="center" vertical="center"/>
    </xf>
    <xf numFmtId="0" fontId="7" fillId="7" borderId="10" xfId="0" applyFont="1" applyFill="1" applyBorder="1" applyAlignment="1">
      <alignment vertical="center"/>
    </xf>
    <xf numFmtId="0" fontId="2" fillId="3" borderId="0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0" fillId="5" borderId="5" xfId="0" applyFont="1" applyFill="1" applyBorder="1" applyAlignment="1">
      <alignment horizontal="center"/>
    </xf>
    <xf numFmtId="0" fontId="0" fillId="5" borderId="3" xfId="0" applyFont="1" applyFill="1" applyBorder="1" applyAlignment="1">
      <alignment horizontal="center"/>
    </xf>
    <xf numFmtId="0" fontId="0" fillId="5" borderId="4" xfId="0" applyFont="1" applyFill="1" applyBorder="1" applyAlignment="1">
      <alignment horizontal="center"/>
    </xf>
    <xf numFmtId="0" fontId="0" fillId="4" borderId="6" xfId="0" applyFont="1" applyFill="1" applyBorder="1" applyAlignment="1">
      <alignment horizontal="center"/>
    </xf>
    <xf numFmtId="168" fontId="7" fillId="6" borderId="17" xfId="0" applyNumberFormat="1" applyFont="1" applyFill="1" applyBorder="1" applyAlignment="1">
      <alignment horizontal="center" vertical="center"/>
    </xf>
    <xf numFmtId="168" fontId="7" fillId="6" borderId="18" xfId="0" applyNumberFormat="1" applyFont="1" applyFill="1" applyBorder="1" applyAlignment="1">
      <alignment horizontal="center" vertical="center"/>
    </xf>
    <xf numFmtId="0" fontId="7" fillId="7" borderId="10" xfId="0" applyFont="1" applyFill="1" applyBorder="1" applyAlignment="1">
      <alignment horizontal="center" vertical="center"/>
    </xf>
    <xf numFmtId="0" fontId="7" fillId="7" borderId="15" xfId="0" applyFont="1" applyFill="1" applyBorder="1" applyAlignment="1">
      <alignment horizontal="center" vertical="center"/>
    </xf>
    <xf numFmtId="0" fontId="7" fillId="7" borderId="12" xfId="0" applyFont="1" applyFill="1" applyBorder="1" applyAlignment="1">
      <alignment horizontal="center" vertical="center"/>
    </xf>
    <xf numFmtId="0" fontId="7" fillId="7" borderId="16" xfId="0" applyFont="1" applyFill="1" applyBorder="1" applyAlignment="1">
      <alignment horizontal="center" vertical="center"/>
    </xf>
    <xf numFmtId="0" fontId="8" fillId="6" borderId="9" xfId="0" applyFont="1" applyFill="1" applyBorder="1" applyAlignment="1">
      <alignment horizontal="center" vertical="center" wrapText="1"/>
    </xf>
    <xf numFmtId="0" fontId="8" fillId="6" borderId="9" xfId="0" applyFont="1" applyFill="1" applyBorder="1" applyAlignment="1">
      <alignment horizontal="center" vertical="center"/>
    </xf>
    <xf numFmtId="0" fontId="8" fillId="7" borderId="9" xfId="0" applyFont="1" applyFill="1" applyBorder="1" applyAlignment="1">
      <alignment horizontal="center" vertical="center" wrapText="1"/>
    </xf>
    <xf numFmtId="0" fontId="10" fillId="6" borderId="9" xfId="0" applyFont="1" applyFill="1" applyBorder="1" applyAlignment="1">
      <alignment horizontal="center" vertical="center" wrapText="1"/>
    </xf>
    <xf numFmtId="0" fontId="10" fillId="7" borderId="9" xfId="0" applyFont="1" applyFill="1" applyBorder="1" applyAlignment="1">
      <alignment horizontal="center" vertical="center"/>
    </xf>
    <xf numFmtId="0" fontId="10" fillId="6" borderId="9" xfId="0" applyFont="1" applyFill="1" applyBorder="1" applyAlignment="1">
      <alignment horizontal="center" vertical="center"/>
    </xf>
    <xf numFmtId="0" fontId="10" fillId="7" borderId="9" xfId="0" applyFont="1" applyFill="1" applyBorder="1" applyAlignment="1">
      <alignment horizontal="center" vertical="center" wrapText="1"/>
    </xf>
    <xf numFmtId="14" fontId="10" fillId="7" borderId="9" xfId="0" applyNumberFormat="1" applyFont="1" applyFill="1" applyBorder="1" applyAlignment="1">
      <alignment horizontal="center" vertical="center" wrapText="1"/>
    </xf>
    <xf numFmtId="0" fontId="11" fillId="6" borderId="9" xfId="0" applyFont="1" applyFill="1" applyBorder="1" applyAlignment="1">
      <alignment horizontal="center" vertical="center"/>
    </xf>
    <xf numFmtId="164" fontId="10" fillId="6" borderId="9" xfId="2" applyFont="1" applyFill="1" applyBorder="1" applyAlignment="1">
      <alignment horizontal="center" vertical="center"/>
    </xf>
    <xf numFmtId="164" fontId="10" fillId="6" borderId="9" xfId="2" applyFont="1" applyFill="1" applyBorder="1" applyAlignment="1">
      <alignment horizontal="center" vertical="center" wrapText="1"/>
    </xf>
    <xf numFmtId="164" fontId="10" fillId="7" borderId="9" xfId="2" applyFont="1" applyFill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/>
    </xf>
    <xf numFmtId="14" fontId="12" fillId="0" borderId="9" xfId="0" applyNumberFormat="1" applyFont="1" applyBorder="1" applyAlignment="1">
      <alignment horizontal="center" vertical="center"/>
    </xf>
    <xf numFmtId="164" fontId="12" fillId="0" borderId="9" xfId="2" applyFont="1" applyBorder="1" applyAlignment="1">
      <alignment horizontal="center" vertical="center"/>
    </xf>
    <xf numFmtId="0" fontId="12" fillId="0" borderId="0" xfId="0" applyFont="1"/>
    <xf numFmtId="14" fontId="10" fillId="7" borderId="9" xfId="0" applyNumberFormat="1" applyFont="1" applyFill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13" fillId="0" borderId="0" xfId="0" applyFont="1"/>
    <xf numFmtId="0" fontId="9" fillId="0" borderId="0" xfId="0" applyFont="1"/>
    <xf numFmtId="167" fontId="9" fillId="0" borderId="10" xfId="0" applyNumberFormat="1" applyFont="1" applyBorder="1" applyAlignment="1">
      <alignment vertical="center"/>
    </xf>
    <xf numFmtId="167" fontId="8" fillId="7" borderId="9" xfId="0" applyNumberFormat="1" applyFont="1" applyFill="1" applyBorder="1" applyAlignment="1">
      <alignment horizontal="left" vertical="center" wrapText="1"/>
    </xf>
    <xf numFmtId="167" fontId="8" fillId="6" borderId="9" xfId="0" applyNumberFormat="1" applyFont="1" applyFill="1" applyBorder="1" applyAlignment="1">
      <alignment horizontal="center" vertical="center" wrapText="1"/>
    </xf>
    <xf numFmtId="167" fontId="9" fillId="0" borderId="11" xfId="0" applyNumberFormat="1" applyFont="1" applyBorder="1" applyAlignment="1">
      <alignment vertical="center"/>
    </xf>
    <xf numFmtId="9" fontId="9" fillId="0" borderId="9" xfId="3" applyFont="1" applyBorder="1" applyAlignment="1">
      <alignment horizontal="center" vertical="center"/>
    </xf>
    <xf numFmtId="9" fontId="9" fillId="0" borderId="12" xfId="3" applyFont="1" applyBorder="1" applyAlignment="1">
      <alignment horizontal="center" vertical="center"/>
    </xf>
    <xf numFmtId="9" fontId="8" fillId="7" borderId="9" xfId="3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8" fillId="7" borderId="12" xfId="0" applyFont="1" applyFill="1" applyBorder="1" applyAlignment="1">
      <alignment horizontal="center" vertical="center" wrapText="1"/>
    </xf>
    <xf numFmtId="167" fontId="9" fillId="8" borderId="21" xfId="2" applyNumberFormat="1" applyFont="1" applyFill="1" applyBorder="1" applyAlignment="1">
      <alignment horizontal="center" vertical="center" wrapText="1"/>
    </xf>
    <xf numFmtId="0" fontId="9" fillId="8" borderId="21" xfId="0" applyFont="1" applyFill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/>
    </xf>
    <xf numFmtId="167" fontId="13" fillId="0" borderId="19" xfId="2" applyNumberFormat="1" applyFont="1" applyBorder="1" applyAlignment="1">
      <alignment horizontal="center" vertical="center"/>
    </xf>
    <xf numFmtId="164" fontId="13" fillId="0" borderId="19" xfId="2" applyFont="1" applyBorder="1" applyAlignment="1">
      <alignment horizontal="center" vertical="center"/>
    </xf>
    <xf numFmtId="0" fontId="13" fillId="0" borderId="19" xfId="0" applyFont="1" applyBorder="1" applyAlignment="1">
      <alignment horizontal="center" vertical="center"/>
    </xf>
    <xf numFmtId="9" fontId="9" fillId="0" borderId="19" xfId="3" applyFont="1" applyBorder="1" applyAlignment="1">
      <alignment horizontal="center" vertical="center"/>
    </xf>
    <xf numFmtId="9" fontId="13" fillId="0" borderId="19" xfId="3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167" fontId="9" fillId="0" borderId="20" xfId="2" applyNumberFormat="1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9" fontId="9" fillId="0" borderId="20" xfId="3" applyFont="1" applyBorder="1" applyAlignment="1">
      <alignment horizontal="center" vertical="center"/>
    </xf>
    <xf numFmtId="9" fontId="13" fillId="0" borderId="20" xfId="3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167" fontId="9" fillId="0" borderId="0" xfId="2" applyNumberFormat="1" applyFont="1" applyAlignment="1">
      <alignment horizontal="center" vertical="center"/>
    </xf>
    <xf numFmtId="164" fontId="9" fillId="0" borderId="0" xfId="2" applyFont="1" applyAlignment="1">
      <alignment horizontal="center" vertical="center"/>
    </xf>
    <xf numFmtId="167" fontId="9" fillId="0" borderId="0" xfId="2" applyNumberFormat="1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14" fillId="6" borderId="9" xfId="0" applyFont="1" applyFill="1" applyBorder="1" applyAlignment="1">
      <alignment horizontal="center" vertical="center"/>
    </xf>
    <xf numFmtId="0" fontId="13" fillId="0" borderId="0" xfId="0" applyFont="1" applyAlignment="1">
      <alignment horizontal="center" vertical="center"/>
    </xf>
  </cellXfs>
  <cellStyles count="4">
    <cellStyle name="Comma" xfId="1" builtinId="3"/>
    <cellStyle name="Currency" xfId="2" builtinId="4"/>
    <cellStyle name="Normal" xfId="0" builtinId="0"/>
    <cellStyle name="Percent" xfId="3" builtinId="5"/>
  </cellStyles>
  <dxfs count="7">
    <dxf>
      <font>
        <color rgb="FF00B050"/>
      </font>
    </dxf>
    <dxf>
      <font>
        <color rgb="FFFF0000"/>
      </font>
    </dxf>
    <dxf>
      <font>
        <color rgb="FFFFC000"/>
      </font>
    </dxf>
    <dxf>
      <font>
        <color rgb="FF00B050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C000"/>
      </font>
      <fill>
        <patternFill>
          <bgColor theme="0"/>
        </patternFill>
      </fill>
    </dxf>
  </dxfs>
  <tableStyles count="0" defaultTableStyle="TableStyleMedium2" defaultPivotStyle="PivotStyleLight16"/>
  <colors>
    <mruColors>
      <color rgb="FFF0466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2"/>
  <dimension ref="A1:Y34"/>
  <sheetViews>
    <sheetView workbookViewId="0">
      <pane xSplit="1" ySplit="2" topLeftCell="B3" activePane="bottomRight" state="frozen"/>
      <selection pane="topRight" activeCell="C1" sqref="C1"/>
      <selection pane="bottomLeft" activeCell="A2" sqref="A2"/>
      <selection pane="bottomRight" sqref="A1:A2"/>
    </sheetView>
  </sheetViews>
  <sheetFormatPr defaultColWidth="11.42578125" defaultRowHeight="15"/>
  <cols>
    <col min="1" max="1" width="22.140625" customWidth="1"/>
    <col min="2" max="6" width="13.42578125" customWidth="1"/>
    <col min="7" max="7" width="11.42578125" style="4"/>
    <col min="8" max="9" width="11.42578125" style="3"/>
    <col min="10" max="10" width="14.42578125" style="3" customWidth="1"/>
    <col min="11" max="12" width="11.42578125" style="3"/>
    <col min="13" max="13" width="11.42578125" style="2"/>
    <col min="14" max="25" width="11.42578125" style="1"/>
  </cols>
  <sheetData>
    <row r="1" spans="1:25" ht="19.5" thickBot="1">
      <c r="A1" s="32" t="s">
        <v>32</v>
      </c>
      <c r="B1" s="16"/>
      <c r="C1" s="16"/>
      <c r="D1" s="16"/>
      <c r="E1" s="16"/>
      <c r="F1" s="16"/>
      <c r="G1" s="34">
        <v>2016</v>
      </c>
      <c r="H1" s="35"/>
      <c r="I1" s="35"/>
      <c r="J1" s="35"/>
      <c r="K1" s="35"/>
      <c r="L1" s="35"/>
      <c r="M1" s="36"/>
      <c r="N1" s="37">
        <v>2017</v>
      </c>
      <c r="O1" s="37"/>
      <c r="P1" s="37"/>
      <c r="Q1" s="37"/>
      <c r="R1" s="37"/>
      <c r="S1" s="37"/>
      <c r="T1" s="37"/>
      <c r="U1" s="37"/>
      <c r="V1" s="37"/>
      <c r="W1" s="37"/>
      <c r="X1" s="37"/>
      <c r="Y1" s="37"/>
    </row>
    <row r="2" spans="1:25" s="9" customFormat="1" ht="50.25" customHeight="1" thickBot="1">
      <c r="A2" s="33"/>
      <c r="B2" s="11" t="s">
        <v>31</v>
      </c>
      <c r="C2" s="11" t="s">
        <v>30</v>
      </c>
      <c r="D2" s="11" t="s">
        <v>29</v>
      </c>
      <c r="E2" s="11" t="s">
        <v>28</v>
      </c>
      <c r="F2" s="11" t="s">
        <v>27</v>
      </c>
      <c r="G2" s="11" t="s">
        <v>26</v>
      </c>
      <c r="H2" s="17" t="s">
        <v>25</v>
      </c>
      <c r="I2" s="17" t="s">
        <v>24</v>
      </c>
      <c r="J2" s="17" t="s">
        <v>23</v>
      </c>
      <c r="K2" s="17" t="s">
        <v>22</v>
      </c>
      <c r="L2" s="17" t="s">
        <v>21</v>
      </c>
      <c r="M2" s="10" t="s">
        <v>20</v>
      </c>
      <c r="N2" s="15" t="s">
        <v>31</v>
      </c>
      <c r="O2" s="15" t="s">
        <v>30</v>
      </c>
      <c r="P2" s="15" t="s">
        <v>29</v>
      </c>
      <c r="Q2" s="15" t="s">
        <v>28</v>
      </c>
      <c r="R2" s="15" t="s">
        <v>27</v>
      </c>
      <c r="S2" s="15" t="s">
        <v>26</v>
      </c>
      <c r="T2" s="15" t="s">
        <v>25</v>
      </c>
      <c r="U2" s="15" t="s">
        <v>24</v>
      </c>
      <c r="V2" s="15" t="s">
        <v>23</v>
      </c>
      <c r="W2" s="15" t="s">
        <v>22</v>
      </c>
      <c r="X2" s="15" t="s">
        <v>21</v>
      </c>
      <c r="Y2" s="15" t="s">
        <v>20</v>
      </c>
    </row>
    <row r="3" spans="1:25" s="14" customFormat="1" ht="50.25" customHeight="1">
      <c r="A3" s="14" t="s">
        <v>42</v>
      </c>
      <c r="B3" s="19">
        <f>SUM(B4:B68)</f>
        <v>1350</v>
      </c>
      <c r="C3" s="19">
        <f t="shared" ref="C3:M3" si="0">SUM(C4:C68)</f>
        <v>0</v>
      </c>
      <c r="D3" s="19">
        <f t="shared" si="0"/>
        <v>1283</v>
      </c>
      <c r="E3" s="19">
        <f t="shared" si="0"/>
        <v>3845</v>
      </c>
      <c r="F3" s="19">
        <f t="shared" si="0"/>
        <v>10196</v>
      </c>
      <c r="G3" s="19">
        <f t="shared" si="0"/>
        <v>14064.4</v>
      </c>
      <c r="H3" s="19">
        <f t="shared" si="0"/>
        <v>13842</v>
      </c>
      <c r="I3" s="19">
        <f t="shared" si="0"/>
        <v>18596.09</v>
      </c>
      <c r="J3" s="19">
        <f t="shared" si="0"/>
        <v>17344</v>
      </c>
      <c r="K3" s="19">
        <f t="shared" si="0"/>
        <v>18527</v>
      </c>
      <c r="L3" s="19">
        <f t="shared" si="0"/>
        <v>19211</v>
      </c>
      <c r="M3" s="19">
        <f t="shared" si="0"/>
        <v>25515</v>
      </c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</row>
    <row r="4" spans="1:25">
      <c r="A4" s="8" t="s">
        <v>19</v>
      </c>
      <c r="B4" s="5"/>
      <c r="C4" s="5"/>
      <c r="D4" s="5"/>
      <c r="E4">
        <f>0.63*900</f>
        <v>567</v>
      </c>
      <c r="F4">
        <v>900</v>
      </c>
      <c r="G4" s="4">
        <v>900</v>
      </c>
      <c r="H4" s="3">
        <v>900</v>
      </c>
      <c r="I4" s="7">
        <v>900</v>
      </c>
      <c r="J4" s="7">
        <v>900</v>
      </c>
      <c r="K4" s="7">
        <v>900</v>
      </c>
      <c r="L4" s="7">
        <v>900</v>
      </c>
      <c r="M4" s="2">
        <v>900</v>
      </c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</row>
    <row r="5" spans="1:25">
      <c r="A5" s="8" t="s">
        <v>18</v>
      </c>
      <c r="B5" s="5"/>
      <c r="C5" s="5"/>
      <c r="D5" s="5"/>
      <c r="E5" s="5"/>
      <c r="F5" s="5"/>
      <c r="G5" s="5"/>
      <c r="H5" s="5"/>
      <c r="I5" s="3">
        <v>900</v>
      </c>
      <c r="J5" s="7">
        <v>850</v>
      </c>
      <c r="K5" s="7">
        <v>1100</v>
      </c>
      <c r="L5" s="7">
        <v>850</v>
      </c>
      <c r="M5" s="7">
        <v>800</v>
      </c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</row>
    <row r="6" spans="1:25">
      <c r="A6" s="8" t="s">
        <v>17</v>
      </c>
      <c r="B6" s="5"/>
      <c r="C6" s="5"/>
      <c r="D6" s="5"/>
      <c r="E6" s="5"/>
      <c r="F6">
        <v>407</v>
      </c>
      <c r="G6" s="4">
        <v>407</v>
      </c>
      <c r="H6" s="3">
        <v>407</v>
      </c>
      <c r="I6" s="7">
        <v>407</v>
      </c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</row>
    <row r="7" spans="1:25">
      <c r="A7" s="8" t="s">
        <v>16</v>
      </c>
      <c r="B7" s="5"/>
      <c r="C7" s="5"/>
      <c r="D7" s="5"/>
      <c r="E7">
        <v>1500</v>
      </c>
      <c r="F7">
        <v>1500</v>
      </c>
      <c r="G7" s="4">
        <v>1500</v>
      </c>
      <c r="H7" s="3">
        <v>1500</v>
      </c>
      <c r="I7" s="7">
        <v>1500</v>
      </c>
      <c r="J7" s="7">
        <v>1800</v>
      </c>
      <c r="K7" s="7">
        <v>900</v>
      </c>
      <c r="L7" s="5"/>
      <c r="M7" s="2">
        <v>1800</v>
      </c>
      <c r="Y7" s="5"/>
    </row>
    <row r="8" spans="1:25">
      <c r="A8" s="8" t="s">
        <v>15</v>
      </c>
      <c r="B8" s="5"/>
      <c r="C8" s="5"/>
      <c r="D8" s="5"/>
      <c r="E8" s="5"/>
      <c r="F8">
        <f>0.67*1800</f>
        <v>1206</v>
      </c>
      <c r="G8" s="4">
        <v>1800</v>
      </c>
      <c r="H8" s="3">
        <v>1800</v>
      </c>
      <c r="I8" s="7">
        <v>1800</v>
      </c>
      <c r="J8" s="7">
        <v>1800</v>
      </c>
      <c r="K8" s="7">
        <v>1800</v>
      </c>
      <c r="L8" s="7">
        <v>1800</v>
      </c>
      <c r="M8" s="7">
        <v>1800</v>
      </c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</row>
    <row r="9" spans="1:25">
      <c r="A9" s="8" t="s">
        <v>14</v>
      </c>
      <c r="B9" s="5"/>
      <c r="C9" s="5"/>
      <c r="D9" s="5"/>
      <c r="E9" s="5"/>
      <c r="F9" s="5"/>
      <c r="G9" s="4">
        <v>950</v>
      </c>
      <c r="H9" s="3">
        <v>950</v>
      </c>
      <c r="I9" s="7">
        <v>950</v>
      </c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</row>
    <row r="10" spans="1:25">
      <c r="A10" s="8" t="s">
        <v>13</v>
      </c>
      <c r="B10" s="5"/>
      <c r="C10" s="5"/>
      <c r="D10" s="5"/>
      <c r="E10">
        <f>0.33*1500</f>
        <v>495</v>
      </c>
      <c r="F10">
        <v>1500</v>
      </c>
      <c r="G10" s="4">
        <v>1500</v>
      </c>
      <c r="H10" s="7">
        <v>1500</v>
      </c>
      <c r="I10" s="7">
        <v>1500</v>
      </c>
      <c r="J10" s="7">
        <v>1500</v>
      </c>
      <c r="K10" s="3">
        <v>1500</v>
      </c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</row>
    <row r="11" spans="1:25">
      <c r="A11" s="8" t="s">
        <v>12</v>
      </c>
      <c r="B11" s="5"/>
      <c r="C11" s="5"/>
      <c r="D11" s="5"/>
      <c r="E11" s="5"/>
      <c r="F11">
        <v>1400</v>
      </c>
      <c r="G11" s="4">
        <v>1400</v>
      </c>
      <c r="H11" s="3">
        <v>1400</v>
      </c>
      <c r="I11" s="7">
        <v>1400</v>
      </c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</row>
    <row r="12" spans="1:25">
      <c r="A12" s="8" t="s">
        <v>11</v>
      </c>
      <c r="B12" s="5"/>
      <c r="C12" s="5"/>
      <c r="D12" s="5"/>
      <c r="G12" s="4">
        <f>0.8*800</f>
        <v>640</v>
      </c>
      <c r="H12" s="7">
        <v>800</v>
      </c>
      <c r="I12" s="7">
        <v>800</v>
      </c>
      <c r="J12" s="7">
        <v>800</v>
      </c>
      <c r="K12" s="7">
        <f>0.2*800</f>
        <v>160</v>
      </c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</row>
    <row r="13" spans="1:25">
      <c r="A13" s="8" t="s">
        <v>10</v>
      </c>
      <c r="B13" s="5"/>
      <c r="C13" s="5"/>
      <c r="D13" s="5"/>
      <c r="E13" s="5"/>
      <c r="F13" s="5"/>
      <c r="G13" s="4">
        <v>900</v>
      </c>
      <c r="H13" s="3">
        <v>900</v>
      </c>
      <c r="I13" s="7">
        <v>900</v>
      </c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</row>
    <row r="14" spans="1:25">
      <c r="A14" s="8" t="s">
        <v>9</v>
      </c>
      <c r="B14" s="5"/>
      <c r="C14" s="5"/>
      <c r="D14" s="5"/>
      <c r="E14" s="5"/>
      <c r="F14">
        <v>2000</v>
      </c>
      <c r="G14" s="4">
        <v>2000</v>
      </c>
      <c r="H14" s="7">
        <v>2000</v>
      </c>
      <c r="I14" s="7">
        <v>2000</v>
      </c>
      <c r="J14" s="7">
        <v>1800</v>
      </c>
      <c r="K14" s="12">
        <v>1800</v>
      </c>
      <c r="L14" s="13">
        <v>1800</v>
      </c>
      <c r="M14" s="12">
        <v>1800</v>
      </c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</row>
    <row r="15" spans="1:25">
      <c r="A15" s="8" t="s">
        <v>8</v>
      </c>
      <c r="B15" s="5"/>
      <c r="C15" s="5"/>
      <c r="D15" s="5"/>
      <c r="E15" s="5"/>
      <c r="F15" s="5"/>
      <c r="G15" s="5"/>
      <c r="H15" s="5"/>
      <c r="I15" s="7">
        <f>0.67*960</f>
        <v>643.20000000000005</v>
      </c>
      <c r="J15" s="3">
        <v>960</v>
      </c>
      <c r="K15" s="3">
        <v>960</v>
      </c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</row>
    <row r="16" spans="1:25">
      <c r="A16" s="8" t="s">
        <v>7</v>
      </c>
      <c r="B16" s="5"/>
      <c r="C16" s="5"/>
      <c r="D16" s="5"/>
      <c r="E16" s="5"/>
      <c r="F16" s="5"/>
      <c r="G16" s="5"/>
      <c r="H16" s="5"/>
      <c r="I16" s="7">
        <f>0.67*987</f>
        <v>661.29000000000008</v>
      </c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</row>
    <row r="17" spans="1:25">
      <c r="A17" s="8" t="s">
        <v>6</v>
      </c>
      <c r="B17" s="5"/>
      <c r="C17" s="5"/>
      <c r="D17" s="5"/>
      <c r="E17" s="5"/>
      <c r="F17" s="5"/>
      <c r="G17" s="5"/>
      <c r="H17" s="7">
        <v>625</v>
      </c>
      <c r="I17" s="3">
        <v>625</v>
      </c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</row>
    <row r="18" spans="1:25">
      <c r="A18" s="8" t="s">
        <v>5</v>
      </c>
      <c r="B18" s="5"/>
      <c r="C18" s="5"/>
      <c r="D18" s="5"/>
      <c r="E18" s="5"/>
      <c r="F18" s="5"/>
      <c r="G18" s="4">
        <f>0.74*1060</f>
        <v>784.4</v>
      </c>
      <c r="H18" s="3">
        <v>1060</v>
      </c>
      <c r="I18" s="7">
        <v>1060</v>
      </c>
      <c r="J18" s="7">
        <v>1060</v>
      </c>
      <c r="K18" s="3">
        <v>1060</v>
      </c>
      <c r="L18" s="7">
        <v>1060</v>
      </c>
      <c r="M18" s="2">
        <v>1060</v>
      </c>
      <c r="T18" s="5"/>
      <c r="U18" s="5"/>
      <c r="V18" s="5"/>
      <c r="W18" s="5"/>
      <c r="X18" s="5"/>
      <c r="Y18" s="5"/>
    </row>
    <row r="19" spans="1:25">
      <c r="A19" s="6" t="s">
        <v>4</v>
      </c>
      <c r="B19" s="5"/>
      <c r="C19" s="5"/>
      <c r="D19" s="5"/>
      <c r="E19" s="5"/>
      <c r="F19" s="5"/>
      <c r="G19" s="5"/>
      <c r="H19" s="5"/>
      <c r="I19" s="7">
        <f>0.3*1500</f>
        <v>450</v>
      </c>
      <c r="J19" s="7">
        <v>1500</v>
      </c>
      <c r="K19" s="7">
        <v>1500</v>
      </c>
      <c r="L19" s="7">
        <v>1500</v>
      </c>
      <c r="M19" s="2">
        <v>1500</v>
      </c>
    </row>
    <row r="20" spans="1:25">
      <c r="A20" s="6" t="s">
        <v>3</v>
      </c>
      <c r="B20" s="5"/>
      <c r="C20" s="5"/>
      <c r="D20" s="5"/>
      <c r="E20" s="5"/>
      <c r="F20" s="5"/>
      <c r="G20" s="5"/>
      <c r="H20" s="5"/>
      <c r="I20" s="3">
        <f>0.67*1380</f>
        <v>924.6</v>
      </c>
      <c r="J20" s="7">
        <v>1380</v>
      </c>
      <c r="K20" s="3">
        <v>1380</v>
      </c>
      <c r="L20" s="7">
        <v>1380</v>
      </c>
      <c r="M20" s="2">
        <v>1380</v>
      </c>
    </row>
    <row r="21" spans="1:25">
      <c r="A21" s="6" t="s">
        <v>2</v>
      </c>
      <c r="B21" s="5"/>
      <c r="C21" s="5"/>
      <c r="D21" s="5"/>
      <c r="E21" s="5"/>
      <c r="F21" s="5"/>
      <c r="G21" s="5"/>
      <c r="H21" s="5"/>
      <c r="I21" s="7">
        <v>967</v>
      </c>
      <c r="J21" s="7">
        <v>967</v>
      </c>
      <c r="K21" s="7">
        <v>967</v>
      </c>
      <c r="L21" s="7">
        <v>967</v>
      </c>
      <c r="M21" s="2">
        <v>967</v>
      </c>
    </row>
    <row r="22" spans="1:25">
      <c r="A22" s="6" t="s">
        <v>1</v>
      </c>
      <c r="B22" s="5"/>
      <c r="C22" s="5"/>
      <c r="D22" s="5"/>
      <c r="E22" s="5"/>
      <c r="F22" s="5"/>
      <c r="G22" s="5"/>
      <c r="H22" s="5"/>
      <c r="I22" s="7">
        <f>0.26*800</f>
        <v>208</v>
      </c>
      <c r="J22" s="7">
        <v>800</v>
      </c>
      <c r="K22" s="7">
        <v>800</v>
      </c>
      <c r="L22" s="7">
        <v>800</v>
      </c>
      <c r="M22" s="2">
        <v>800</v>
      </c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</row>
    <row r="23" spans="1:25">
      <c r="A23" s="6" t="s">
        <v>0</v>
      </c>
      <c r="B23" s="5"/>
      <c r="C23" s="5"/>
      <c r="D23" s="5"/>
      <c r="E23" s="5"/>
      <c r="F23" s="5"/>
      <c r="G23" s="5"/>
      <c r="H23" s="5"/>
      <c r="I23" s="5"/>
      <c r="J23" s="7">
        <v>627</v>
      </c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</row>
    <row r="24" spans="1:25">
      <c r="A24" s="6" t="s">
        <v>33</v>
      </c>
      <c r="B24" s="5"/>
      <c r="C24" s="5"/>
      <c r="D24" s="5"/>
      <c r="E24" s="5"/>
      <c r="F24" s="5"/>
      <c r="G24" s="5"/>
      <c r="H24" s="5"/>
      <c r="I24" s="5"/>
      <c r="J24" s="7">
        <v>600</v>
      </c>
      <c r="K24" s="7">
        <v>1200</v>
      </c>
      <c r="L24" s="7">
        <v>1200</v>
      </c>
      <c r="M24" s="2">
        <v>1200</v>
      </c>
    </row>
    <row r="25" spans="1:25">
      <c r="A25" s="6" t="s">
        <v>34</v>
      </c>
      <c r="B25" s="5"/>
      <c r="C25" s="5"/>
      <c r="D25" s="5"/>
      <c r="E25" s="5"/>
      <c r="F25" s="5"/>
      <c r="G25" s="5"/>
      <c r="H25" s="5"/>
      <c r="I25" s="5"/>
      <c r="J25" s="5"/>
      <c r="K25" s="7">
        <v>900</v>
      </c>
      <c r="L25" s="7">
        <v>900</v>
      </c>
      <c r="M25" s="2">
        <v>900</v>
      </c>
      <c r="O25" s="5"/>
      <c r="P25" s="5"/>
      <c r="Q25" s="5"/>
    </row>
    <row r="26" spans="1:25">
      <c r="A26" s="6" t="s">
        <v>35</v>
      </c>
      <c r="B26" s="5"/>
      <c r="C26" s="5"/>
      <c r="D26" s="5"/>
      <c r="E26" s="5"/>
      <c r="F26" s="5"/>
      <c r="G26" s="5"/>
      <c r="H26" s="5"/>
      <c r="I26" s="5"/>
      <c r="J26" s="5"/>
      <c r="K26" s="7">
        <v>1600</v>
      </c>
      <c r="L26" s="7">
        <f>0.67*1400</f>
        <v>938</v>
      </c>
      <c r="M26" s="2">
        <v>613</v>
      </c>
      <c r="O26" s="5"/>
      <c r="P26" s="5"/>
      <c r="Q26" s="5"/>
    </row>
    <row r="27" spans="1:25">
      <c r="A27" s="6" t="s">
        <v>36</v>
      </c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</row>
    <row r="28" spans="1:25">
      <c r="A28" s="6" t="s">
        <v>37</v>
      </c>
      <c r="B28" s="5"/>
      <c r="C28" s="5"/>
      <c r="D28" s="5"/>
      <c r="E28" s="5"/>
      <c r="F28" s="5"/>
      <c r="G28" s="5"/>
      <c r="H28" s="5"/>
      <c r="I28" s="5"/>
      <c r="J28" s="5"/>
      <c r="K28" s="5"/>
      <c r="L28" s="3">
        <f>0.67*4800</f>
        <v>3216</v>
      </c>
      <c r="M28" s="2">
        <v>4800</v>
      </c>
    </row>
    <row r="29" spans="1:25">
      <c r="A29" s="6" t="s">
        <v>38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7">
        <v>1900</v>
      </c>
      <c r="M29" s="2">
        <v>3800</v>
      </c>
      <c r="N29" s="5"/>
    </row>
    <row r="30" spans="1:25">
      <c r="A30" s="6" t="s">
        <v>39</v>
      </c>
      <c r="B30">
        <v>1350</v>
      </c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</row>
    <row r="31" spans="1:25">
      <c r="A31" s="6" t="s">
        <v>40</v>
      </c>
      <c r="B31" s="5"/>
      <c r="C31" s="5"/>
      <c r="D31">
        <v>765</v>
      </c>
      <c r="E31">
        <v>765</v>
      </c>
      <c r="F31">
        <v>765</v>
      </c>
      <c r="G31" s="4">
        <v>765</v>
      </c>
      <c r="H31" s="5"/>
      <c r="I31" s="5"/>
      <c r="J31" s="5"/>
      <c r="K31" s="5"/>
      <c r="L31" s="5"/>
      <c r="M31" s="5"/>
      <c r="N31" s="5"/>
    </row>
    <row r="32" spans="1:25">
      <c r="A32" s="6" t="s">
        <v>41</v>
      </c>
      <c r="B32" s="5"/>
      <c r="C32" s="5"/>
      <c r="D32">
        <v>518</v>
      </c>
      <c r="E32">
        <v>518</v>
      </c>
      <c r="F32">
        <v>518</v>
      </c>
      <c r="G32" s="4">
        <v>518</v>
      </c>
      <c r="H32" s="5"/>
      <c r="I32" s="5"/>
      <c r="J32" s="5"/>
      <c r="K32" s="5"/>
      <c r="L32" s="5"/>
      <c r="M32" s="5"/>
      <c r="N32" s="5"/>
    </row>
    <row r="33" spans="1:19">
      <c r="A33" s="6" t="s">
        <v>43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2">
        <v>1195</v>
      </c>
      <c r="N33" s="1">
        <v>956</v>
      </c>
    </row>
    <row r="34" spans="1:19">
      <c r="A34" s="6" t="s">
        <v>46</v>
      </c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2">
        <v>200</v>
      </c>
      <c r="O34" s="5"/>
      <c r="P34" s="5"/>
      <c r="Q34" s="5"/>
      <c r="R34" s="5"/>
      <c r="S34" s="5"/>
    </row>
  </sheetData>
  <mergeCells count="3">
    <mergeCell ref="A1:A2"/>
    <mergeCell ref="G1:M1"/>
    <mergeCell ref="N1:Y1"/>
  </mergeCells>
  <pageMargins left="0.7" right="0.7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3"/>
  <dimension ref="A1:AL7"/>
  <sheetViews>
    <sheetView showGridLines="0" zoomScaleNormal="100" zoomScalePageLayoutView="80" workbookViewId="0">
      <pane xSplit="1" ySplit="2" topLeftCell="B3" activePane="bottomRight" state="frozen"/>
      <selection pane="topRight" activeCell="D1" sqref="D1"/>
      <selection pane="bottomLeft" activeCell="A4" sqref="A4"/>
      <selection pane="bottomRight" activeCell="A4" sqref="A4"/>
    </sheetView>
  </sheetViews>
  <sheetFormatPr defaultColWidth="11.42578125" defaultRowHeight="15"/>
  <cols>
    <col min="1" max="1" width="20.28515625" style="20" customWidth="1"/>
    <col min="2" max="25" width="11.42578125" style="20"/>
    <col min="26" max="38" width="11.42578125" style="23"/>
    <col min="39" max="16384" width="11.42578125" style="20"/>
  </cols>
  <sheetData>
    <row r="1" spans="1:38" ht="18.75" customHeight="1">
      <c r="A1" s="40" t="s">
        <v>44</v>
      </c>
      <c r="B1" s="42" t="s">
        <v>31</v>
      </c>
      <c r="C1" s="43"/>
      <c r="D1" s="42" t="s">
        <v>30</v>
      </c>
      <c r="E1" s="43"/>
      <c r="F1" s="42" t="s">
        <v>29</v>
      </c>
      <c r="G1" s="43"/>
      <c r="H1" s="42" t="s">
        <v>28</v>
      </c>
      <c r="I1" s="43"/>
      <c r="J1" s="42" t="s">
        <v>27</v>
      </c>
      <c r="K1" s="43"/>
      <c r="L1" s="42" t="s">
        <v>26</v>
      </c>
      <c r="M1" s="43"/>
      <c r="N1" s="42" t="s">
        <v>25</v>
      </c>
      <c r="O1" s="43"/>
      <c r="P1" s="42" t="s">
        <v>24</v>
      </c>
      <c r="Q1" s="43"/>
      <c r="R1" s="42" t="s">
        <v>23</v>
      </c>
      <c r="S1" s="43"/>
      <c r="T1" s="42" t="s">
        <v>22</v>
      </c>
      <c r="U1" s="43"/>
      <c r="V1" s="42" t="s">
        <v>21</v>
      </c>
      <c r="W1" s="43"/>
      <c r="X1" s="42" t="s">
        <v>20</v>
      </c>
      <c r="Y1" s="43"/>
    </row>
    <row r="2" spans="1:38" s="21" customFormat="1" ht="14.45" customHeight="1">
      <c r="A2" s="41"/>
      <c r="B2" s="30" t="s">
        <v>72</v>
      </c>
      <c r="C2" s="30" t="s">
        <v>47</v>
      </c>
      <c r="D2" s="30" t="s">
        <v>72</v>
      </c>
      <c r="E2" s="30" t="s">
        <v>47</v>
      </c>
      <c r="F2" s="30" t="s">
        <v>72</v>
      </c>
      <c r="G2" s="30" t="s">
        <v>47</v>
      </c>
      <c r="H2" s="30" t="s">
        <v>72</v>
      </c>
      <c r="I2" s="30" t="s">
        <v>47</v>
      </c>
      <c r="J2" s="30" t="s">
        <v>72</v>
      </c>
      <c r="K2" s="30" t="s">
        <v>47</v>
      </c>
      <c r="L2" s="30" t="s">
        <v>72</v>
      </c>
      <c r="M2" s="30" t="s">
        <v>47</v>
      </c>
      <c r="N2" s="30" t="s">
        <v>72</v>
      </c>
      <c r="O2" s="30" t="s">
        <v>47</v>
      </c>
      <c r="P2" s="30" t="s">
        <v>72</v>
      </c>
      <c r="Q2" s="30" t="s">
        <v>47</v>
      </c>
      <c r="R2" s="30" t="s">
        <v>72</v>
      </c>
      <c r="S2" s="30" t="s">
        <v>47</v>
      </c>
      <c r="T2" s="30" t="s">
        <v>72</v>
      </c>
      <c r="U2" s="30" t="s">
        <v>47</v>
      </c>
      <c r="V2" s="30" t="s">
        <v>72</v>
      </c>
      <c r="W2" s="30" t="s">
        <v>47</v>
      </c>
      <c r="X2" s="30" t="s">
        <v>72</v>
      </c>
      <c r="Y2" s="30" t="s">
        <v>47</v>
      </c>
      <c r="Z2" s="29"/>
      <c r="AA2" s="29"/>
      <c r="AB2" s="29"/>
      <c r="AC2" s="29"/>
      <c r="AD2" s="29"/>
      <c r="AE2" s="29"/>
      <c r="AF2" s="29"/>
      <c r="AG2" s="29"/>
      <c r="AH2" s="29"/>
      <c r="AI2" s="29"/>
      <c r="AJ2" s="29"/>
      <c r="AK2" s="29"/>
      <c r="AL2" s="29"/>
    </row>
    <row r="3" spans="1:38" s="21" customFormat="1" ht="26.1" customHeight="1" thickBot="1">
      <c r="A3" s="24" t="s">
        <v>45</v>
      </c>
      <c r="B3" s="38">
        <f>SUM(C4:C7)</f>
        <v>2850</v>
      </c>
      <c r="C3" s="39"/>
      <c r="D3" s="38">
        <f>SUM(E4:E7)</f>
        <v>3450</v>
      </c>
      <c r="E3" s="39"/>
      <c r="F3" s="38">
        <f>SUM(G4:G7)</f>
        <v>5057.7964516129032</v>
      </c>
      <c r="G3" s="39"/>
      <c r="H3" s="38">
        <f>SUM(I4:I7)</f>
        <v>5057.7964516129032</v>
      </c>
      <c r="I3" s="39"/>
      <c r="J3" s="38">
        <f>SUM(K4:K7)</f>
        <v>5057.7964516129032</v>
      </c>
      <c r="K3" s="39"/>
      <c r="L3" s="38">
        <f>SUM(M4:M7)</f>
        <v>5057.7964516129032</v>
      </c>
      <c r="M3" s="39"/>
      <c r="N3" s="38">
        <f>SUM(O4:O7)</f>
        <v>5057.7964516129032</v>
      </c>
      <c r="O3" s="39"/>
      <c r="P3" s="38">
        <f>SUM(Q4:Q7)</f>
        <v>4231.99</v>
      </c>
      <c r="Q3" s="39"/>
      <c r="R3" s="38">
        <f>SUM(S4:S7)</f>
        <v>3881.99</v>
      </c>
      <c r="S3" s="39"/>
      <c r="T3" s="38">
        <f>SUM(U4:U7)</f>
        <v>3881.99</v>
      </c>
      <c r="U3" s="39"/>
      <c r="V3" s="38">
        <f>SUM(W4:W7)</f>
        <v>2850</v>
      </c>
      <c r="W3" s="39"/>
      <c r="X3" s="38">
        <f>SUM(Y4:Y7)</f>
        <v>1750</v>
      </c>
      <c r="Y3" s="39"/>
      <c r="Z3" s="29"/>
      <c r="AA3" s="29"/>
      <c r="AB3" s="29"/>
      <c r="AC3" s="29"/>
      <c r="AD3" s="29"/>
      <c r="AE3" s="29"/>
      <c r="AF3" s="29"/>
      <c r="AG3" s="29"/>
      <c r="AH3" s="29"/>
      <c r="AI3" s="29"/>
      <c r="AJ3" s="29"/>
      <c r="AK3" s="29"/>
      <c r="AL3" s="29"/>
    </row>
    <row r="4" spans="1:38" s="22" customFormat="1" ht="17.25" customHeight="1">
      <c r="A4" s="31" t="s">
        <v>49</v>
      </c>
      <c r="B4" s="25">
        <v>31</v>
      </c>
      <c r="C4" s="26">
        <v>1250</v>
      </c>
      <c r="D4" s="25">
        <v>31</v>
      </c>
      <c r="E4" s="26">
        <v>1250</v>
      </c>
      <c r="F4" s="25">
        <v>31</v>
      </c>
      <c r="G4" s="26">
        <v>1250</v>
      </c>
      <c r="H4" s="25">
        <v>31</v>
      </c>
      <c r="I4" s="26">
        <v>1250</v>
      </c>
      <c r="J4" s="25">
        <v>31</v>
      </c>
      <c r="K4" s="26">
        <v>1250</v>
      </c>
      <c r="L4" s="25">
        <v>31</v>
      </c>
      <c r="M4" s="26">
        <v>1250</v>
      </c>
      <c r="N4" s="25">
        <v>31</v>
      </c>
      <c r="O4" s="26">
        <v>1250</v>
      </c>
      <c r="P4" s="25">
        <v>31</v>
      </c>
      <c r="Q4" s="26">
        <v>1250</v>
      </c>
      <c r="R4" s="25">
        <v>31</v>
      </c>
      <c r="S4" s="26">
        <v>1250</v>
      </c>
      <c r="T4" s="25">
        <v>31</v>
      </c>
      <c r="U4" s="26">
        <v>1250</v>
      </c>
      <c r="V4" s="25">
        <v>31</v>
      </c>
      <c r="W4" s="26">
        <v>1250</v>
      </c>
      <c r="X4" s="25">
        <v>31</v>
      </c>
      <c r="Y4" s="26">
        <v>1250</v>
      </c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</row>
    <row r="5" spans="1:38" s="22" customFormat="1" ht="17.25" customHeight="1">
      <c r="A5" s="31" t="s">
        <v>50</v>
      </c>
      <c r="B5" s="27">
        <v>20</v>
      </c>
      <c r="C5" s="28">
        <v>1600</v>
      </c>
      <c r="D5" s="27">
        <v>31</v>
      </c>
      <c r="E5" s="28">
        <v>1600</v>
      </c>
      <c r="F5" s="27">
        <v>31</v>
      </c>
      <c r="G5" s="28">
        <v>1600</v>
      </c>
      <c r="H5" s="27">
        <v>31</v>
      </c>
      <c r="I5" s="28">
        <v>1600</v>
      </c>
      <c r="J5" s="27">
        <v>31</v>
      </c>
      <c r="K5" s="28">
        <v>1600</v>
      </c>
      <c r="L5" s="27">
        <v>31</v>
      </c>
      <c r="M5" s="28">
        <v>1600</v>
      </c>
      <c r="N5" s="27">
        <v>31</v>
      </c>
      <c r="O5" s="28">
        <v>1600</v>
      </c>
      <c r="P5" s="27">
        <v>31</v>
      </c>
      <c r="Q5" s="28">
        <v>1600</v>
      </c>
      <c r="R5" s="27">
        <v>31</v>
      </c>
      <c r="S5" s="28">
        <v>1600</v>
      </c>
      <c r="T5" s="27">
        <v>31</v>
      </c>
      <c r="U5" s="28">
        <v>1600</v>
      </c>
      <c r="V5" s="27">
        <v>31</v>
      </c>
      <c r="W5" s="28">
        <v>1600</v>
      </c>
      <c r="X5" s="27">
        <v>10</v>
      </c>
      <c r="Y5" s="28">
        <v>500</v>
      </c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</row>
    <row r="6" spans="1:38" s="22" customFormat="1" ht="17.25" customHeight="1">
      <c r="A6" s="31" t="s">
        <v>51</v>
      </c>
      <c r="B6" s="27">
        <v>0</v>
      </c>
      <c r="C6" s="28">
        <v>0</v>
      </c>
      <c r="D6" s="27">
        <v>15</v>
      </c>
      <c r="E6" s="28">
        <v>600</v>
      </c>
      <c r="F6" s="27">
        <v>31</v>
      </c>
      <c r="G6" s="28">
        <f>1350*27/31</f>
        <v>1175.8064516129032</v>
      </c>
      <c r="H6" s="27">
        <v>31</v>
      </c>
      <c r="I6" s="28">
        <f>1350*27/31</f>
        <v>1175.8064516129032</v>
      </c>
      <c r="J6" s="27">
        <v>31</v>
      </c>
      <c r="K6" s="28">
        <f>1350*27/31</f>
        <v>1175.8064516129032</v>
      </c>
      <c r="L6" s="27">
        <v>31</v>
      </c>
      <c r="M6" s="28">
        <f>1350*27/31</f>
        <v>1175.8064516129032</v>
      </c>
      <c r="N6" s="27">
        <v>31</v>
      </c>
      <c r="O6" s="28">
        <f>1350*27/31</f>
        <v>1175.8064516129032</v>
      </c>
      <c r="P6" s="27">
        <v>10</v>
      </c>
      <c r="Q6" s="28">
        <v>350</v>
      </c>
      <c r="R6" s="27">
        <v>0</v>
      </c>
      <c r="S6" s="28">
        <v>0</v>
      </c>
      <c r="T6" s="27">
        <v>0</v>
      </c>
      <c r="U6" s="28">
        <v>0</v>
      </c>
      <c r="V6" s="27">
        <v>0</v>
      </c>
      <c r="W6" s="28">
        <v>0</v>
      </c>
      <c r="X6" s="27">
        <v>0</v>
      </c>
      <c r="Y6" s="28">
        <v>0</v>
      </c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</row>
    <row r="7" spans="1:38" s="22" customFormat="1" ht="17.25" customHeight="1">
      <c r="A7" s="31" t="s">
        <v>52</v>
      </c>
      <c r="B7" s="27">
        <v>0</v>
      </c>
      <c r="C7" s="28">
        <v>0</v>
      </c>
      <c r="D7" s="27">
        <v>0</v>
      </c>
      <c r="E7" s="28">
        <v>0</v>
      </c>
      <c r="F7" s="27">
        <v>15</v>
      </c>
      <c r="G7" s="28">
        <v>1031.99</v>
      </c>
      <c r="H7" s="27">
        <v>31</v>
      </c>
      <c r="I7" s="28">
        <v>1031.99</v>
      </c>
      <c r="J7" s="27">
        <v>31</v>
      </c>
      <c r="K7" s="28">
        <v>1031.99</v>
      </c>
      <c r="L7" s="27">
        <v>31</v>
      </c>
      <c r="M7" s="28">
        <v>1031.99</v>
      </c>
      <c r="N7" s="27">
        <v>31</v>
      </c>
      <c r="O7" s="28">
        <v>1031.99</v>
      </c>
      <c r="P7" s="27">
        <v>31</v>
      </c>
      <c r="Q7" s="28">
        <v>1031.99</v>
      </c>
      <c r="R7" s="27">
        <v>31</v>
      </c>
      <c r="S7" s="28">
        <v>1031.99</v>
      </c>
      <c r="T7" s="27">
        <v>31</v>
      </c>
      <c r="U7" s="28">
        <v>1031.99</v>
      </c>
      <c r="V7" s="27">
        <v>0</v>
      </c>
      <c r="W7" s="28">
        <v>0</v>
      </c>
      <c r="X7" s="27">
        <v>0</v>
      </c>
      <c r="Y7" s="28">
        <v>0</v>
      </c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</row>
  </sheetData>
  <autoFilter ref="A1:Y7">
    <filterColumn colId="1" showButton="0"/>
    <filterColumn colId="3" showButton="0"/>
    <filterColumn colId="5" showButton="0"/>
    <filterColumn colId="7" showButton="0"/>
    <filterColumn colId="9" showButton="0"/>
    <filterColumn colId="11" showButton="0"/>
    <filterColumn colId="13" showButton="0"/>
    <filterColumn colId="15" showButton="0"/>
    <filterColumn colId="17" showButton="0"/>
    <filterColumn colId="19" showButton="0"/>
    <filterColumn colId="21" showButton="0"/>
    <filterColumn colId="23" showButton="0"/>
  </autoFilter>
  <mergeCells count="25">
    <mergeCell ref="X1:Y1"/>
    <mergeCell ref="V1:W1"/>
    <mergeCell ref="B1:C1"/>
    <mergeCell ref="T1:U1"/>
    <mergeCell ref="R1:S1"/>
    <mergeCell ref="P1:Q1"/>
    <mergeCell ref="N1:O1"/>
    <mergeCell ref="L1:M1"/>
    <mergeCell ref="J1:K1"/>
    <mergeCell ref="H1:I1"/>
    <mergeCell ref="F1:G1"/>
    <mergeCell ref="D1:E1"/>
    <mergeCell ref="B3:C3"/>
    <mergeCell ref="D3:E3"/>
    <mergeCell ref="F3:G3"/>
    <mergeCell ref="H3:I3"/>
    <mergeCell ref="A1:A2"/>
    <mergeCell ref="T3:U3"/>
    <mergeCell ref="V3:W3"/>
    <mergeCell ref="X3:Y3"/>
    <mergeCell ref="J3:K3"/>
    <mergeCell ref="L3:M3"/>
    <mergeCell ref="N3:O3"/>
    <mergeCell ref="P3:Q3"/>
    <mergeCell ref="R3:S3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1"/>
  <dimension ref="A1:J5"/>
  <sheetViews>
    <sheetView showGridLines="0" zoomScaleNormal="100" workbookViewId="0">
      <selection activeCell="E2" sqref="E2"/>
    </sheetView>
  </sheetViews>
  <sheetFormatPr defaultColWidth="12.28515625" defaultRowHeight="11.25"/>
  <cols>
    <col min="1" max="1" width="17.42578125" style="60" customWidth="1"/>
    <col min="2" max="2" width="17.5703125" style="60" bestFit="1" customWidth="1"/>
    <col min="3" max="3" width="11" style="60" customWidth="1"/>
    <col min="4" max="4" width="29" style="60" customWidth="1"/>
    <col min="5" max="5" width="10.7109375" style="60" bestFit="1" customWidth="1"/>
    <col min="6" max="6" width="14.28515625" style="60" customWidth="1"/>
    <col min="7" max="7" width="19.42578125" style="60" bestFit="1" customWidth="1"/>
    <col min="8" max="8" width="17.140625" style="60" customWidth="1"/>
    <col min="9" max="9" width="18" style="60" customWidth="1"/>
    <col min="10" max="10" width="7.7109375" style="62" customWidth="1"/>
    <col min="11" max="16384" width="12.28515625" style="60"/>
  </cols>
  <sheetData>
    <row r="1" spans="1:9" ht="42" customHeight="1">
      <c r="A1" s="48" t="s">
        <v>44</v>
      </c>
      <c r="B1" s="48" t="s">
        <v>61</v>
      </c>
      <c r="C1" s="48" t="s">
        <v>57</v>
      </c>
      <c r="D1" s="48" t="s">
        <v>62</v>
      </c>
      <c r="E1" s="49" t="s">
        <v>67</v>
      </c>
      <c r="F1" s="48" t="s">
        <v>53</v>
      </c>
      <c r="G1" s="61" t="s">
        <v>54</v>
      </c>
      <c r="H1" s="49" t="s">
        <v>55</v>
      </c>
      <c r="I1" s="55" t="s">
        <v>68</v>
      </c>
    </row>
    <row r="2" spans="1:9">
      <c r="A2" s="56" t="s">
        <v>49</v>
      </c>
      <c r="B2" s="56" t="s">
        <v>58</v>
      </c>
      <c r="C2" s="57" t="s">
        <v>81</v>
      </c>
      <c r="D2" s="56" t="s">
        <v>76</v>
      </c>
      <c r="E2" s="56" t="str">
        <f t="shared" ref="E2:E5" si="0">CHOOSE(MONTH(G2),"JANVIER","FEVRIER","MARS","AVRIL","MAI","JUIN","JUILLET","AOUT","SEPTEMBRE","OCTOBRE","NOVEMBRE","DECEMBRE")</f>
        <v>DECEMBRE</v>
      </c>
      <c r="F2" s="58">
        <v>43067</v>
      </c>
      <c r="G2" s="58">
        <v>43070</v>
      </c>
      <c r="H2" s="56">
        <f t="shared" ref="H2:H5" si="1">G2-F2</f>
        <v>3</v>
      </c>
      <c r="I2" s="59">
        <v>232.8</v>
      </c>
    </row>
    <row r="3" spans="1:9">
      <c r="A3" s="56" t="s">
        <v>50</v>
      </c>
      <c r="B3" s="56" t="s">
        <v>59</v>
      </c>
      <c r="C3" s="57" t="s">
        <v>81</v>
      </c>
      <c r="D3" s="56" t="s">
        <v>77</v>
      </c>
      <c r="E3" s="56" t="str">
        <f t="shared" si="0"/>
        <v>DECEMBRE</v>
      </c>
      <c r="F3" s="58">
        <v>43069</v>
      </c>
      <c r="G3" s="58">
        <v>43072</v>
      </c>
      <c r="H3" s="56">
        <f t="shared" si="1"/>
        <v>3</v>
      </c>
      <c r="I3" s="59">
        <v>232.8</v>
      </c>
    </row>
    <row r="4" spans="1:9">
      <c r="A4" s="56" t="s">
        <v>51</v>
      </c>
      <c r="B4" s="56" t="s">
        <v>58</v>
      </c>
      <c r="C4" s="57" t="s">
        <v>81</v>
      </c>
      <c r="D4" s="56" t="s">
        <v>78</v>
      </c>
      <c r="E4" s="56" t="str">
        <f t="shared" si="0"/>
        <v>DECEMBRE</v>
      </c>
      <c r="F4" s="58">
        <v>43069</v>
      </c>
      <c r="G4" s="58">
        <v>43072</v>
      </c>
      <c r="H4" s="56">
        <f t="shared" si="1"/>
        <v>3</v>
      </c>
      <c r="I4" s="59">
        <v>237.65</v>
      </c>
    </row>
    <row r="5" spans="1:9">
      <c r="A5" s="56" t="s">
        <v>52</v>
      </c>
      <c r="B5" s="56" t="s">
        <v>58</v>
      </c>
      <c r="C5" s="57" t="s">
        <v>81</v>
      </c>
      <c r="D5" s="56" t="s">
        <v>79</v>
      </c>
      <c r="E5" s="56" t="str">
        <f t="shared" si="0"/>
        <v>DECEMBRE</v>
      </c>
      <c r="F5" s="58">
        <v>43077</v>
      </c>
      <c r="G5" s="58">
        <v>43080</v>
      </c>
      <c r="H5" s="56">
        <f t="shared" si="1"/>
        <v>3</v>
      </c>
      <c r="I5" s="59">
        <v>238.62</v>
      </c>
    </row>
  </sheetData>
  <autoFilter ref="A1:I1"/>
  <pageMargins left="0.7" right="0.7" top="0.75" bottom="0.75" header="0.3" footer="0.3"/>
  <legacyDrawing r:id="rId1"/>
  <controls>
    <control shapeId="2049" r:id="rId2" name="CommandButton1"/>
  </controls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4"/>
  <dimension ref="A1:M6"/>
  <sheetViews>
    <sheetView showGridLines="0" zoomScaleNormal="100" workbookViewId="0">
      <selection activeCell="I2" sqref="I2"/>
    </sheetView>
  </sheetViews>
  <sheetFormatPr defaultColWidth="11.42578125" defaultRowHeight="11.25"/>
  <cols>
    <col min="1" max="1" width="16.7109375" style="60" bestFit="1" customWidth="1"/>
    <col min="2" max="2" width="17.5703125" style="60" customWidth="1"/>
    <col min="3" max="3" width="13.42578125" style="60" customWidth="1"/>
    <col min="4" max="4" width="34.5703125" style="60" bestFit="1" customWidth="1"/>
    <col min="5" max="8" width="11.42578125" style="60"/>
    <col min="9" max="9" width="12.5703125" style="60" bestFit="1" customWidth="1"/>
    <col min="10" max="11" width="11.42578125" style="60"/>
    <col min="12" max="12" width="12.42578125" style="60" customWidth="1"/>
    <col min="13" max="13" width="12" style="60" customWidth="1"/>
    <col min="14" max="14" width="11.42578125" style="60"/>
    <col min="15" max="17" width="3" style="60" bestFit="1" customWidth="1"/>
    <col min="18" max="16384" width="11.42578125" style="60"/>
  </cols>
  <sheetData>
    <row r="1" spans="1:13" ht="45">
      <c r="A1" s="47" t="s">
        <v>44</v>
      </c>
      <c r="B1" s="48" t="s">
        <v>61</v>
      </c>
      <c r="C1" s="48" t="s">
        <v>57</v>
      </c>
      <c r="D1" s="48" t="s">
        <v>62</v>
      </c>
      <c r="E1" s="49" t="s">
        <v>67</v>
      </c>
      <c r="F1" s="50" t="s">
        <v>53</v>
      </c>
      <c r="G1" s="51" t="s">
        <v>54</v>
      </c>
      <c r="H1" s="47" t="s">
        <v>55</v>
      </c>
      <c r="I1" s="52" t="s">
        <v>65</v>
      </c>
      <c r="J1" s="53" t="s">
        <v>64</v>
      </c>
      <c r="K1" s="53" t="s">
        <v>63</v>
      </c>
      <c r="L1" s="54" t="s">
        <v>56</v>
      </c>
      <c r="M1" s="55" t="s">
        <v>68</v>
      </c>
    </row>
    <row r="2" spans="1:13">
      <c r="A2" s="56" t="s">
        <v>74</v>
      </c>
      <c r="B2" s="56" t="s">
        <v>58</v>
      </c>
      <c r="C2" s="57" t="s">
        <v>81</v>
      </c>
      <c r="D2" s="56" t="s">
        <v>76</v>
      </c>
      <c r="E2" s="56" t="str">
        <f t="shared" ref="E2:E6" si="0">CHOOSE(MONTH(G2),"JANVIER","FEVRIER","MARS","AVRIL","MAI","JUIN","JUILLET","AOUT","SEPTEMBRE","OCTOBRE","NOVEMBRE","DECEMBRE")</f>
        <v>DECEMBRE</v>
      </c>
      <c r="F2" s="58">
        <v>43067</v>
      </c>
      <c r="G2" s="58">
        <v>43070</v>
      </c>
      <c r="H2" s="56">
        <f t="shared" ref="H2:H6" si="1">G2-F2</f>
        <v>3</v>
      </c>
      <c r="I2" s="59">
        <f ca="1">IFERROR(INDIRECT("'Récaptitulatif Loyer Paris'!"&amp;ADDRESS(MATCH(A2,'Récaptitulatif Loyer Paris'!A:A,0),MATCH(E2,'Récaptitulatif Loyer Paris'!$1:$1,0)+1,4))/INDIRECT("'Récaptitulatif Loyer Paris'!"&amp;ADDRESS(MATCH(A2,'Récaptitulatif Loyer Paris'!A:A,0),MATCH(E2,'Récaptitulatif Loyer Paris'!$1:$1,0),4)),0)</f>
        <v>0</v>
      </c>
      <c r="J2" s="59">
        <f>M2/H2</f>
        <v>77.600000000000009</v>
      </c>
      <c r="K2" s="59">
        <f ca="1">I2*H2</f>
        <v>0</v>
      </c>
      <c r="L2" s="59">
        <f ca="1">M2-K2</f>
        <v>232.8</v>
      </c>
      <c r="M2" s="59">
        <v>232.8</v>
      </c>
    </row>
    <row r="3" spans="1:13">
      <c r="A3" s="56" t="s">
        <v>75</v>
      </c>
      <c r="B3" s="56" t="s">
        <v>58</v>
      </c>
      <c r="C3" s="57" t="s">
        <v>81</v>
      </c>
      <c r="D3" s="56" t="s">
        <v>77</v>
      </c>
      <c r="E3" s="56" t="str">
        <f t="shared" si="0"/>
        <v>DECEMBRE</v>
      </c>
      <c r="F3" s="58">
        <v>43069</v>
      </c>
      <c r="G3" s="58">
        <v>43072</v>
      </c>
      <c r="H3" s="56">
        <f t="shared" si="1"/>
        <v>3</v>
      </c>
      <c r="I3" s="59">
        <f ca="1">IFERROR(INDIRECT("'Récaptitulatif Loyer Paris'!"&amp;ADDRESS(MATCH(A3,'Récaptitulatif Loyer Paris'!A:A,0),MATCH(E3,'Récaptitulatif Loyer Paris'!$1:$1,0)+1,4))/INDIRECT("'Récaptitulatif Loyer Paris'!"&amp;ADDRESS(MATCH(A3,'Récaptitulatif Loyer Paris'!A:A,0),MATCH(E3,'Récaptitulatif Loyer Paris'!$1:$1,0),4)),0)</f>
        <v>0</v>
      </c>
      <c r="J3" s="59">
        <f>M3/H3</f>
        <v>77.600000000000009</v>
      </c>
      <c r="K3" s="59">
        <f ca="1">I3*H3</f>
        <v>0</v>
      </c>
      <c r="L3" s="59">
        <f ca="1">M3-K3</f>
        <v>232.8</v>
      </c>
      <c r="M3" s="59">
        <v>232.8</v>
      </c>
    </row>
    <row r="4" spans="1:13">
      <c r="A4" s="56" t="s">
        <v>48</v>
      </c>
      <c r="B4" s="56" t="s">
        <v>58</v>
      </c>
      <c r="C4" s="57" t="s">
        <v>81</v>
      </c>
      <c r="D4" s="56" t="s">
        <v>78</v>
      </c>
      <c r="E4" s="56" t="str">
        <f t="shared" si="0"/>
        <v>DECEMBRE</v>
      </c>
      <c r="F4" s="58">
        <v>43069</v>
      </c>
      <c r="G4" s="58">
        <v>43072</v>
      </c>
      <c r="H4" s="56">
        <f t="shared" si="1"/>
        <v>3</v>
      </c>
      <c r="I4" s="59">
        <f ca="1">IFERROR(INDIRECT("'Récaptitulatif Loyer Paris'!"&amp;ADDRESS(MATCH(A4,'Récaptitulatif Loyer Paris'!A:A,0),MATCH(E4,'Récaptitulatif Loyer Paris'!$1:$1,0)+1,4))/INDIRECT("'Récaptitulatif Loyer Paris'!"&amp;ADDRESS(MATCH(A4,'Récaptitulatif Loyer Paris'!A:A,0),MATCH(E4,'Récaptitulatif Loyer Paris'!$1:$1,0),4)),0)</f>
        <v>0</v>
      </c>
      <c r="J4" s="59">
        <f>M4/H4</f>
        <v>79.216666666666669</v>
      </c>
      <c r="K4" s="59">
        <f ca="1">I4*H4</f>
        <v>0</v>
      </c>
      <c r="L4" s="59">
        <f ca="1">M4-K4</f>
        <v>237.65</v>
      </c>
      <c r="M4" s="59">
        <v>237.65</v>
      </c>
    </row>
    <row r="5" spans="1:13">
      <c r="A5" s="56" t="s">
        <v>73</v>
      </c>
      <c r="B5" s="56" t="s">
        <v>58</v>
      </c>
      <c r="C5" s="57" t="s">
        <v>81</v>
      </c>
      <c r="D5" s="56" t="s">
        <v>79</v>
      </c>
      <c r="E5" s="56" t="str">
        <f t="shared" si="0"/>
        <v>DECEMBRE</v>
      </c>
      <c r="F5" s="58">
        <v>43077</v>
      </c>
      <c r="G5" s="58">
        <v>43080</v>
      </c>
      <c r="H5" s="56">
        <f t="shared" si="1"/>
        <v>3</v>
      </c>
      <c r="I5" s="59">
        <f ca="1">IFERROR(INDIRECT("'Récaptitulatif Loyer Paris'!"&amp;ADDRESS(MATCH(A5,'Récaptitulatif Loyer Paris'!A:A,0),MATCH(E5,'Récaptitulatif Loyer Paris'!$1:$1,0)+1,4))/INDIRECT("'Récaptitulatif Loyer Paris'!"&amp;ADDRESS(MATCH(A5,'Récaptitulatif Loyer Paris'!A:A,0),MATCH(E5,'Récaptitulatif Loyer Paris'!$1:$1,0),4)),0)</f>
        <v>0</v>
      </c>
      <c r="J5" s="59">
        <f>M5/H5</f>
        <v>79.540000000000006</v>
      </c>
      <c r="K5" s="59">
        <f ca="1">I5*H5</f>
        <v>0</v>
      </c>
      <c r="L5" s="59">
        <f ca="1">M5-K5</f>
        <v>238.62</v>
      </c>
      <c r="M5" s="59">
        <v>238.62</v>
      </c>
    </row>
    <row r="6" spans="1:13">
      <c r="A6" s="56" t="s">
        <v>48</v>
      </c>
      <c r="B6" s="56" t="s">
        <v>58</v>
      </c>
      <c r="C6" s="57" t="s">
        <v>81</v>
      </c>
      <c r="D6" s="56" t="s">
        <v>80</v>
      </c>
      <c r="E6" s="56" t="str">
        <f t="shared" si="0"/>
        <v>DECEMBRE</v>
      </c>
      <c r="F6" s="58">
        <v>43083</v>
      </c>
      <c r="G6" s="58">
        <v>43086</v>
      </c>
      <c r="H6" s="56">
        <f t="shared" si="1"/>
        <v>3</v>
      </c>
      <c r="I6" s="59">
        <f ca="1">IFERROR(INDIRECT("'Récaptitulatif Loyer Paris'!"&amp;ADDRESS(MATCH(A6,'Récaptitulatif Loyer Paris'!A:A,0),MATCH(E6,'Récaptitulatif Loyer Paris'!$1:$1,0)+1,4))/INDIRECT("'Récaptitulatif Loyer Paris'!"&amp;ADDRESS(MATCH(A6,'Récaptitulatif Loyer Paris'!A:A,0),MATCH(E6,'Récaptitulatif Loyer Paris'!$1:$1,0),4)),0)</f>
        <v>0</v>
      </c>
      <c r="J6" s="59">
        <f>M6/H6</f>
        <v>79.86333333333333</v>
      </c>
      <c r="K6" s="59">
        <f ca="1">I6*H6</f>
        <v>0</v>
      </c>
      <c r="L6" s="59">
        <f ca="1">M6-K6</f>
        <v>239.59</v>
      </c>
      <c r="M6" s="59">
        <v>239.59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5"/>
  <dimension ref="A1:N9"/>
  <sheetViews>
    <sheetView showGridLines="0" zoomScaleNormal="100" workbookViewId="0"/>
  </sheetViews>
  <sheetFormatPr defaultColWidth="11.42578125" defaultRowHeight="12.75"/>
  <cols>
    <col min="1" max="1" width="23.42578125" style="64" customWidth="1"/>
    <col min="2" max="13" width="12.5703125" style="64" customWidth="1"/>
    <col min="14" max="14" width="13.7109375" style="64" customWidth="1"/>
    <col min="15" max="16384" width="11.42578125" style="64"/>
  </cols>
  <sheetData>
    <row r="1" spans="1:14">
      <c r="A1" s="63"/>
      <c r="B1" s="45" t="s">
        <v>31</v>
      </c>
      <c r="C1" s="45" t="s">
        <v>30</v>
      </c>
      <c r="D1" s="45" t="s">
        <v>29</v>
      </c>
      <c r="E1" s="45" t="s">
        <v>28</v>
      </c>
      <c r="F1" s="45" t="s">
        <v>27</v>
      </c>
      <c r="G1" s="45" t="s">
        <v>26</v>
      </c>
      <c r="H1" s="45" t="s">
        <v>25</v>
      </c>
      <c r="I1" s="45" t="s">
        <v>24</v>
      </c>
      <c r="J1" s="45" t="s">
        <v>23</v>
      </c>
      <c r="K1" s="45" t="s">
        <v>22</v>
      </c>
      <c r="L1" s="45" t="s">
        <v>21</v>
      </c>
      <c r="M1" s="45" t="s">
        <v>20</v>
      </c>
      <c r="N1" s="44" t="s">
        <v>45</v>
      </c>
    </row>
    <row r="2" spans="1:14" ht="29.1" customHeight="1">
      <c r="A2" s="46" t="s">
        <v>58</v>
      </c>
      <c r="B2" s="65">
        <f>SUMPRODUCT(('Récaptitulatif Resa PARIS 2018'!$E$2:$E$388=B$1)*('Récaptitulatif Resa PARIS 2018'!$B$2:$B$388='Analyse Global PARIS '!$A2)*('Récaptitulatif Resa PARIS 2018'!$I$2:$I$388))</f>
        <v>0</v>
      </c>
      <c r="C2" s="65">
        <f>SUMPRODUCT(('Récaptitulatif Resa PARIS 2018'!$E$2:$E$388=C$1)*('Récaptitulatif Resa PARIS 2018'!$B$2:$B$388='Analyse Global PARIS '!$A2)*('Récaptitulatif Resa PARIS 2018'!$I$2:$I$388))</f>
        <v>0</v>
      </c>
      <c r="D2" s="65">
        <f>SUMPRODUCT(('Récaptitulatif Resa PARIS 2018'!$E$2:$E$388=D$1)*('Récaptitulatif Resa PARIS 2018'!$B$2:$B$388='Analyse Global PARIS '!$A2)*('Récaptitulatif Resa PARIS 2018'!$I$2:$I$388))</f>
        <v>0</v>
      </c>
      <c r="E2" s="65">
        <f>SUMPRODUCT(('Récaptitulatif Resa PARIS 2018'!$E$2:$E$388=E$1)*('Récaptitulatif Resa PARIS 2018'!$B$2:$B$388='Analyse Global PARIS '!$A2)*('Récaptitulatif Resa PARIS 2018'!$I$2:$I$388))</f>
        <v>0</v>
      </c>
      <c r="F2" s="65">
        <f>SUMPRODUCT(('Récaptitulatif Resa PARIS 2018'!$E$2:$E$388=F$1)*('Récaptitulatif Resa PARIS 2018'!$B$2:$B$388='Analyse Global PARIS '!$A2)*('Récaptitulatif Resa PARIS 2018'!$I$2:$I$388))</f>
        <v>0</v>
      </c>
      <c r="G2" s="65">
        <f>SUMPRODUCT(('Récaptitulatif Resa PARIS 2018'!$E$2:$E$388=G$1)*('Récaptitulatif Resa PARIS 2018'!$B$2:$B$388='Analyse Global PARIS '!$A2)*('Récaptitulatif Resa PARIS 2018'!$I$2:$I$388))</f>
        <v>0</v>
      </c>
      <c r="H2" s="65">
        <f>SUMPRODUCT(('Récaptitulatif Resa PARIS 2018'!$E$2:$E$388=H$1)*('Récaptitulatif Resa PARIS 2018'!$B$2:$B$388='Analyse Global PARIS '!$A2)*('Récaptitulatif Resa PARIS 2018'!$I$2:$I$388))</f>
        <v>0</v>
      </c>
      <c r="I2" s="65">
        <f>SUMPRODUCT(('Récaptitulatif Resa PARIS 2018'!$E$2:$E$388=I$1)*('Récaptitulatif Resa PARIS 2018'!$B$2:$B$388='Analyse Global PARIS '!$A2)*('Récaptitulatif Resa PARIS 2018'!$I$2:$I$388))</f>
        <v>0</v>
      </c>
      <c r="J2" s="65">
        <f>SUMPRODUCT(('Récaptitulatif Resa PARIS 2018'!$E$2:$E$388=J$1)*('Récaptitulatif Resa PARIS 2018'!$B$2:$B$388='Analyse Global PARIS '!$A2)*('Récaptitulatif Resa PARIS 2018'!$I$2:$I$388))</f>
        <v>0</v>
      </c>
      <c r="K2" s="65">
        <f>SUMPRODUCT(('Récaptitulatif Resa PARIS 2018'!$E$2:$E$388=K$1)*('Récaptitulatif Resa PARIS 2018'!$B$2:$B$388='Analyse Global PARIS '!$A2)*('Récaptitulatif Resa PARIS 2018'!$I$2:$I$388))</f>
        <v>0</v>
      </c>
      <c r="L2" s="65">
        <f>SUMPRODUCT(('Récaptitulatif Resa PARIS 2018'!$E$2:$E$388=L$1)*('Récaptitulatif Resa PARIS 2018'!$B$2:$B$388='Analyse Global PARIS '!$A2)*('Récaptitulatif Resa PARIS 2018'!$I$2:$I$388))</f>
        <v>0</v>
      </c>
      <c r="M2" s="65">
        <f>SUMPRODUCT(('Récaptitulatif Resa PARIS 2018'!$E$2:$E$388=M$1)*('Récaptitulatif Resa PARIS 2018'!$B$2:$B$388='Analyse Global PARIS '!$A2)*('Récaptitulatif Resa PARIS 2018'!$I$2:$I$388))</f>
        <v>709.07</v>
      </c>
      <c r="N2" s="66">
        <f>SUM(B2:M2)</f>
        <v>709.07</v>
      </c>
    </row>
    <row r="3" spans="1:14" ht="29.1" customHeight="1">
      <c r="A3" s="46" t="s">
        <v>60</v>
      </c>
      <c r="B3" s="65">
        <f>SUMPRODUCT(('Récaptitulatif Resa PARIS 2018'!$E$2:$E$388=B$1)*('Récaptitulatif Resa PARIS 2018'!$B$2:$B$388='Analyse Global PARIS '!$A3)*('Récaptitulatif Resa PARIS 2018'!$I$2:$I$388))</f>
        <v>0</v>
      </c>
      <c r="C3" s="65">
        <f>SUMPRODUCT(('Récaptitulatif Resa PARIS 2018'!$E$2:$E$388=C$1)*('Récaptitulatif Resa PARIS 2018'!$B$2:$B$388='Analyse Global PARIS '!$A3)*('Récaptitulatif Resa PARIS 2018'!$I$2:$I$388))</f>
        <v>0</v>
      </c>
      <c r="D3" s="65">
        <f>SUMPRODUCT(('Récaptitulatif Resa PARIS 2018'!$E$2:$E$388=D$1)*('Récaptitulatif Resa PARIS 2018'!$B$2:$B$388='Analyse Global PARIS '!$A3)*('Récaptitulatif Resa PARIS 2018'!$I$2:$I$388))</f>
        <v>0</v>
      </c>
      <c r="E3" s="65">
        <f>SUMPRODUCT(('Récaptitulatif Resa PARIS 2018'!$E$2:$E$388=E$1)*('Récaptitulatif Resa PARIS 2018'!$B$2:$B$388='Analyse Global PARIS '!$A3)*('Récaptitulatif Resa PARIS 2018'!$I$2:$I$388))</f>
        <v>0</v>
      </c>
      <c r="F3" s="65">
        <f>SUMPRODUCT(('Récaptitulatif Resa PARIS 2018'!$E$2:$E$388=F$1)*('Récaptitulatif Resa PARIS 2018'!$B$2:$B$388='Analyse Global PARIS '!$A3)*('Récaptitulatif Resa PARIS 2018'!$I$2:$I$388))</f>
        <v>0</v>
      </c>
      <c r="G3" s="65">
        <f>SUMPRODUCT(('Récaptitulatif Resa PARIS 2018'!$E$2:$E$388=G$1)*('Récaptitulatif Resa PARIS 2018'!$B$2:$B$388='Analyse Global PARIS '!$A3)*('Récaptitulatif Resa PARIS 2018'!$I$2:$I$388))</f>
        <v>0</v>
      </c>
      <c r="H3" s="65">
        <f>SUMPRODUCT(('Récaptitulatif Resa PARIS 2018'!$E$2:$E$388=H$1)*('Récaptitulatif Resa PARIS 2018'!$B$2:$B$388='Analyse Global PARIS '!$A3)*('Récaptitulatif Resa PARIS 2018'!$I$2:$I$388))</f>
        <v>0</v>
      </c>
      <c r="I3" s="65">
        <f>SUMPRODUCT(('Récaptitulatif Resa PARIS 2018'!$E$2:$E$388=I$1)*('Récaptitulatif Resa PARIS 2018'!$B$2:$B$388='Analyse Global PARIS '!$A3)*('Récaptitulatif Resa PARIS 2018'!$I$2:$I$388))</f>
        <v>0</v>
      </c>
      <c r="J3" s="65">
        <f>SUMPRODUCT(('Récaptitulatif Resa PARIS 2018'!$E$2:$E$388=J$1)*('Récaptitulatif Resa PARIS 2018'!$B$2:$B$388='Analyse Global PARIS '!$A3)*('Récaptitulatif Resa PARIS 2018'!$I$2:$I$388))</f>
        <v>0</v>
      </c>
      <c r="K3" s="65">
        <f>SUMPRODUCT(('Récaptitulatif Resa PARIS 2018'!$E$2:$E$388=K$1)*('Récaptitulatif Resa PARIS 2018'!$B$2:$B$388='Analyse Global PARIS '!$A3)*('Récaptitulatif Resa PARIS 2018'!$I$2:$I$388))</f>
        <v>0</v>
      </c>
      <c r="L3" s="65">
        <f>SUMPRODUCT(('Récaptitulatif Resa PARIS 2018'!$E$2:$E$388=L$1)*('Récaptitulatif Resa PARIS 2018'!$B$2:$B$388='Analyse Global PARIS '!$A3)*('Récaptitulatif Resa PARIS 2018'!$I$2:$I$388))</f>
        <v>0</v>
      </c>
      <c r="M3" s="65">
        <f>SUMPRODUCT(('Récaptitulatif Resa PARIS 2018'!$E$2:$E$388=M$1)*('Récaptitulatif Resa PARIS 2018'!$B$2:$B$388='Analyse Global PARIS '!$A3)*('Récaptitulatif Resa PARIS 2018'!$I$2:$I$388))</f>
        <v>0</v>
      </c>
      <c r="N3" s="66">
        <f t="shared" ref="N3:N5" si="0">SUM(B3:M3)</f>
        <v>0</v>
      </c>
    </row>
    <row r="4" spans="1:14" ht="29.1" customHeight="1">
      <c r="A4" s="46" t="s">
        <v>59</v>
      </c>
      <c r="B4" s="65">
        <f>SUMPRODUCT(('Récaptitulatif Resa PARIS 2018'!$E$2:$E$388=B$1)*('Récaptitulatif Resa PARIS 2018'!$B$2:$B$388='Analyse Global PARIS '!$A4)*('Récaptitulatif Resa PARIS 2018'!$I$2:$I$388))</f>
        <v>0</v>
      </c>
      <c r="C4" s="65">
        <f>SUMPRODUCT(('Récaptitulatif Resa PARIS 2018'!$E$2:$E$388=C$1)*('Récaptitulatif Resa PARIS 2018'!$B$2:$B$388='Analyse Global PARIS '!$A4)*('Récaptitulatif Resa PARIS 2018'!$I$2:$I$388))</f>
        <v>0</v>
      </c>
      <c r="D4" s="65">
        <f>SUMPRODUCT(('Récaptitulatif Resa PARIS 2018'!$E$2:$E$388=D$1)*('Récaptitulatif Resa PARIS 2018'!$B$2:$B$388='Analyse Global PARIS '!$A4)*('Récaptitulatif Resa PARIS 2018'!$I$2:$I$388))</f>
        <v>0</v>
      </c>
      <c r="E4" s="65">
        <f>SUMPRODUCT(('Récaptitulatif Resa PARIS 2018'!$E$2:$E$388=E$1)*('Récaptitulatif Resa PARIS 2018'!$B$2:$B$388='Analyse Global PARIS '!$A4)*('Récaptitulatif Resa PARIS 2018'!$I$2:$I$388))</f>
        <v>0</v>
      </c>
      <c r="F4" s="65">
        <f>SUMPRODUCT(('Récaptitulatif Resa PARIS 2018'!$E$2:$E$388=F$1)*('Récaptitulatif Resa PARIS 2018'!$B$2:$B$388='Analyse Global PARIS '!$A4)*('Récaptitulatif Resa PARIS 2018'!$I$2:$I$388))</f>
        <v>0</v>
      </c>
      <c r="G4" s="65">
        <f>SUMPRODUCT(('Récaptitulatif Resa PARIS 2018'!$E$2:$E$388=G$1)*('Récaptitulatif Resa PARIS 2018'!$B$2:$B$388='Analyse Global PARIS '!$A4)*('Récaptitulatif Resa PARIS 2018'!$I$2:$I$388))</f>
        <v>0</v>
      </c>
      <c r="H4" s="65">
        <f>SUMPRODUCT(('Récaptitulatif Resa PARIS 2018'!$E$2:$E$388=H$1)*('Récaptitulatif Resa PARIS 2018'!$B$2:$B$388='Analyse Global PARIS '!$A4)*('Récaptitulatif Resa PARIS 2018'!$I$2:$I$388))</f>
        <v>0</v>
      </c>
      <c r="I4" s="65">
        <f>SUMPRODUCT(('Récaptitulatif Resa PARIS 2018'!$E$2:$E$388=I$1)*('Récaptitulatif Resa PARIS 2018'!$B$2:$B$388='Analyse Global PARIS '!$A4)*('Récaptitulatif Resa PARIS 2018'!$I$2:$I$388))</f>
        <v>0</v>
      </c>
      <c r="J4" s="65">
        <f>SUMPRODUCT(('Récaptitulatif Resa PARIS 2018'!$E$2:$E$388=J$1)*('Récaptitulatif Resa PARIS 2018'!$B$2:$B$388='Analyse Global PARIS '!$A4)*('Récaptitulatif Resa PARIS 2018'!$I$2:$I$388))</f>
        <v>0</v>
      </c>
      <c r="K4" s="65">
        <f>SUMPRODUCT(('Récaptitulatif Resa PARIS 2018'!$E$2:$E$388=K$1)*('Récaptitulatif Resa PARIS 2018'!$B$2:$B$388='Analyse Global PARIS '!$A4)*('Récaptitulatif Resa PARIS 2018'!$I$2:$I$388))</f>
        <v>0</v>
      </c>
      <c r="L4" s="65">
        <f>SUMPRODUCT(('Récaptitulatif Resa PARIS 2018'!$E$2:$E$388=L$1)*('Récaptitulatif Resa PARIS 2018'!$B$2:$B$388='Analyse Global PARIS '!$A4)*('Récaptitulatif Resa PARIS 2018'!$I$2:$I$388))</f>
        <v>0</v>
      </c>
      <c r="M4" s="65">
        <f>SUMPRODUCT(('Récaptitulatif Resa PARIS 2018'!$E$2:$E$388=M$1)*('Récaptitulatif Resa PARIS 2018'!$B$2:$B$388='Analyse Global PARIS '!$A4)*('Récaptitulatif Resa PARIS 2018'!$I$2:$I$388))</f>
        <v>232.8</v>
      </c>
      <c r="N4" s="66">
        <f t="shared" si="0"/>
        <v>232.8</v>
      </c>
    </row>
    <row r="5" spans="1:14" ht="29.1" customHeight="1">
      <c r="A5" s="46" t="s">
        <v>66</v>
      </c>
      <c r="B5" s="65">
        <f>SUMPRODUCT(('Récaptitulatif Resa PARIS 2018'!$E$2:$E$388=B$1)*('Récaptitulatif Resa PARIS 2018'!$B$2:$B$388='Analyse Global PARIS '!$A5)*('Récaptitulatif Resa PARIS 2018'!$I$2:$I$388))</f>
        <v>0</v>
      </c>
      <c r="C5" s="65">
        <f>SUMPRODUCT(('Récaptitulatif Resa PARIS 2018'!$E$2:$E$388=C$1)*('Récaptitulatif Resa PARIS 2018'!$B$2:$B$388='Analyse Global PARIS '!$A5)*('Récaptitulatif Resa PARIS 2018'!$I$2:$I$388))</f>
        <v>0</v>
      </c>
      <c r="D5" s="65">
        <f>SUMPRODUCT(('Récaptitulatif Resa PARIS 2018'!$E$2:$E$388=D$1)*('Récaptitulatif Resa PARIS 2018'!$B$2:$B$388='Analyse Global PARIS '!$A5)*('Récaptitulatif Resa PARIS 2018'!$I$2:$I$388))</f>
        <v>0</v>
      </c>
      <c r="E5" s="65">
        <f>SUMPRODUCT(('Récaptitulatif Resa PARIS 2018'!$E$2:$E$388=E$1)*('Récaptitulatif Resa PARIS 2018'!$B$2:$B$388='Analyse Global PARIS '!$A5)*('Récaptitulatif Resa PARIS 2018'!$I$2:$I$388))</f>
        <v>0</v>
      </c>
      <c r="F5" s="65">
        <f>SUMPRODUCT(('Récaptitulatif Resa PARIS 2018'!$E$2:$E$388=F$1)*('Récaptitulatif Resa PARIS 2018'!$B$2:$B$388='Analyse Global PARIS '!$A5)*('Récaptitulatif Resa PARIS 2018'!$I$2:$I$388))</f>
        <v>0</v>
      </c>
      <c r="G5" s="65">
        <f>SUMPRODUCT(('Récaptitulatif Resa PARIS 2018'!$E$2:$E$388=G$1)*('Récaptitulatif Resa PARIS 2018'!$B$2:$B$388='Analyse Global PARIS '!$A5)*('Récaptitulatif Resa PARIS 2018'!$I$2:$I$388))</f>
        <v>0</v>
      </c>
      <c r="H5" s="65">
        <f>SUMPRODUCT(('Récaptitulatif Resa PARIS 2018'!$E$2:$E$388=H$1)*('Récaptitulatif Resa PARIS 2018'!$B$2:$B$388='Analyse Global PARIS '!$A5)*('Récaptitulatif Resa PARIS 2018'!$I$2:$I$388))</f>
        <v>0</v>
      </c>
      <c r="I5" s="65">
        <f>SUMPRODUCT(('Récaptitulatif Resa PARIS 2018'!$E$2:$E$388=I$1)*('Récaptitulatif Resa PARIS 2018'!$B$2:$B$388='Analyse Global PARIS '!$A5)*('Récaptitulatif Resa PARIS 2018'!$I$2:$I$388))</f>
        <v>0</v>
      </c>
      <c r="J5" s="65">
        <f>SUMPRODUCT(('Récaptitulatif Resa PARIS 2018'!$E$2:$E$388=J$1)*('Récaptitulatif Resa PARIS 2018'!$B$2:$B$388='Analyse Global PARIS '!$A5)*('Récaptitulatif Resa PARIS 2018'!$I$2:$I$388))</f>
        <v>0</v>
      </c>
      <c r="K5" s="65">
        <f>SUMPRODUCT(('Récaptitulatif Resa PARIS 2018'!$E$2:$E$388=K$1)*('Récaptitulatif Resa PARIS 2018'!$B$2:$B$388='Analyse Global PARIS '!$A5)*('Récaptitulatif Resa PARIS 2018'!$I$2:$I$388))</f>
        <v>0</v>
      </c>
      <c r="L5" s="65">
        <f>SUMPRODUCT(('Récaptitulatif Resa PARIS 2018'!$E$2:$E$388=L$1)*('Récaptitulatif Resa PARIS 2018'!$B$2:$B$388='Analyse Global PARIS '!$A5)*('Récaptitulatif Resa PARIS 2018'!$I$2:$I$388))</f>
        <v>0</v>
      </c>
      <c r="M5" s="65">
        <f>SUMPRODUCT(('Récaptitulatif Resa PARIS 2018'!$E$2:$E$388=M$1)*('Récaptitulatif Resa PARIS 2018'!$B$2:$B$388='Analyse Global PARIS '!$A5)*('Récaptitulatif Resa PARIS 2018'!$I$2:$I$388))</f>
        <v>0</v>
      </c>
      <c r="N5" s="66">
        <f t="shared" si="0"/>
        <v>0</v>
      </c>
    </row>
    <row r="6" spans="1:14" ht="29.1" customHeight="1">
      <c r="A6" s="44" t="s">
        <v>69</v>
      </c>
      <c r="B6" s="67">
        <f>SUM(B2:B5)</f>
        <v>0</v>
      </c>
      <c r="C6" s="67">
        <f t="shared" ref="C6:M6" si="1">SUM(C2:C5)</f>
        <v>0</v>
      </c>
      <c r="D6" s="67">
        <f t="shared" si="1"/>
        <v>0</v>
      </c>
      <c r="E6" s="67">
        <f t="shared" si="1"/>
        <v>0</v>
      </c>
      <c r="F6" s="67">
        <f t="shared" si="1"/>
        <v>0</v>
      </c>
      <c r="G6" s="67">
        <f t="shared" si="1"/>
        <v>0</v>
      </c>
      <c r="H6" s="67">
        <f t="shared" si="1"/>
        <v>0</v>
      </c>
      <c r="I6" s="67">
        <f t="shared" si="1"/>
        <v>0</v>
      </c>
      <c r="J6" s="67">
        <f t="shared" si="1"/>
        <v>0</v>
      </c>
      <c r="K6" s="67">
        <f t="shared" si="1"/>
        <v>0</v>
      </c>
      <c r="L6" s="67">
        <f t="shared" si="1"/>
        <v>0</v>
      </c>
      <c r="M6" s="67">
        <f t="shared" si="1"/>
        <v>941.87000000000012</v>
      </c>
      <c r="N6" s="67">
        <f>SUM(B6:M6)</f>
        <v>941.87000000000012</v>
      </c>
    </row>
    <row r="7" spans="1:14" ht="29.1" customHeight="1">
      <c r="A7" s="46" t="s">
        <v>47</v>
      </c>
      <c r="B7" s="68">
        <f>HLOOKUP(B1,'Récaptitulatif Loyer Paris'!$B$1:$Y$46,3,FALSE)</f>
        <v>2850</v>
      </c>
      <c r="C7" s="68">
        <f>HLOOKUP(C1,'Récaptitulatif Loyer Paris'!$B$1:$Y$46,3,FALSE)</f>
        <v>3450</v>
      </c>
      <c r="D7" s="68">
        <f>HLOOKUP(D1,'Récaptitulatif Loyer Paris'!$B$1:$Y$46,3,FALSE)</f>
        <v>5057.7964516129032</v>
      </c>
      <c r="E7" s="68">
        <f>HLOOKUP(E1,'Récaptitulatif Loyer Paris'!$B$1:$Y$46,3,FALSE)</f>
        <v>5057.7964516129032</v>
      </c>
      <c r="F7" s="68">
        <f>HLOOKUP(F1,'Récaptitulatif Loyer Paris'!$B$1:$Y$46,3,FALSE)</f>
        <v>5057.7964516129032</v>
      </c>
      <c r="G7" s="68">
        <f>HLOOKUP(G1,'Récaptitulatif Loyer Paris'!$B$1:$Y$46,3,FALSE)</f>
        <v>5057.7964516129032</v>
      </c>
      <c r="H7" s="68">
        <f>HLOOKUP(H1,'Récaptitulatif Loyer Paris'!$B$1:$Y$46,3,FALSE)</f>
        <v>5057.7964516129032</v>
      </c>
      <c r="I7" s="68">
        <f>HLOOKUP(I1,'Récaptitulatif Loyer Paris'!$B$1:$Y$46,3,FALSE)</f>
        <v>4231.99</v>
      </c>
      <c r="J7" s="68">
        <f>HLOOKUP(J1,'Récaptitulatif Loyer Paris'!$B$1:$Y$46,3,FALSE)</f>
        <v>3881.99</v>
      </c>
      <c r="K7" s="68">
        <f>HLOOKUP(K1,'Récaptitulatif Loyer Paris'!$B$1:$Y$46,3,FALSE)</f>
        <v>3881.99</v>
      </c>
      <c r="L7" s="68">
        <f>HLOOKUP(L1,'Récaptitulatif Loyer Paris'!$B$1:$Y$46,3,FALSE)</f>
        <v>2850</v>
      </c>
      <c r="M7" s="68">
        <f>HLOOKUP(M1,'Récaptitulatif Loyer Paris'!$B$1:$Y$46,3,FALSE)</f>
        <v>1750</v>
      </c>
      <c r="N7" s="66">
        <f t="shared" ref="N7" si="2">SUM(B7:M7)</f>
        <v>48184.952258064513</v>
      </c>
    </row>
    <row r="8" spans="1:14" ht="29.1" customHeight="1">
      <c r="A8" s="44" t="s">
        <v>70</v>
      </c>
      <c r="B8" s="67">
        <f>B6-B7</f>
        <v>-2850</v>
      </c>
      <c r="C8" s="67">
        <f t="shared" ref="C8:N8" si="3">C6-C7</f>
        <v>-3450</v>
      </c>
      <c r="D8" s="67">
        <f t="shared" si="3"/>
        <v>-5057.7964516129032</v>
      </c>
      <c r="E8" s="67">
        <f t="shared" si="3"/>
        <v>-5057.7964516129032</v>
      </c>
      <c r="F8" s="67">
        <f t="shared" si="3"/>
        <v>-5057.7964516129032</v>
      </c>
      <c r="G8" s="67">
        <f t="shared" si="3"/>
        <v>-5057.7964516129032</v>
      </c>
      <c r="H8" s="67">
        <f t="shared" si="3"/>
        <v>-5057.7964516129032</v>
      </c>
      <c r="I8" s="67">
        <f t="shared" si="3"/>
        <v>-4231.99</v>
      </c>
      <c r="J8" s="67">
        <f t="shared" si="3"/>
        <v>-3881.99</v>
      </c>
      <c r="K8" s="67">
        <f t="shared" si="3"/>
        <v>-3881.99</v>
      </c>
      <c r="L8" s="67">
        <f t="shared" si="3"/>
        <v>-2850</v>
      </c>
      <c r="M8" s="67">
        <f t="shared" si="3"/>
        <v>-808.12999999999988</v>
      </c>
      <c r="N8" s="67">
        <f t="shared" si="3"/>
        <v>-47243.082258064511</v>
      </c>
    </row>
    <row r="9" spans="1:14" ht="29.1" customHeight="1">
      <c r="A9" s="46" t="s">
        <v>71</v>
      </c>
      <c r="B9" s="69">
        <f>IFERROR(B8/B6,0)</f>
        <v>0</v>
      </c>
      <c r="C9" s="69">
        <f t="shared" ref="C9:N9" si="4">IFERROR(C8/C6,0)</f>
        <v>0</v>
      </c>
      <c r="D9" s="69">
        <f t="shared" si="4"/>
        <v>0</v>
      </c>
      <c r="E9" s="69">
        <f t="shared" si="4"/>
        <v>0</v>
      </c>
      <c r="F9" s="69">
        <f t="shared" si="4"/>
        <v>0</v>
      </c>
      <c r="G9" s="69">
        <f t="shared" si="4"/>
        <v>0</v>
      </c>
      <c r="H9" s="69">
        <f t="shared" si="4"/>
        <v>0</v>
      </c>
      <c r="I9" s="69">
        <f t="shared" si="4"/>
        <v>0</v>
      </c>
      <c r="J9" s="69">
        <f t="shared" si="4"/>
        <v>0</v>
      </c>
      <c r="K9" s="69">
        <f t="shared" si="4"/>
        <v>0</v>
      </c>
      <c r="L9" s="69">
        <f t="shared" si="4"/>
        <v>0</v>
      </c>
      <c r="M9" s="70">
        <f t="shared" si="4"/>
        <v>-0.8580058819157631</v>
      </c>
      <c r="N9" s="71">
        <f t="shared" si="4"/>
        <v>-50.15881412303662</v>
      </c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K30"/>
  <sheetViews>
    <sheetView showGridLines="0" tabSelected="1" zoomScaleNormal="100" workbookViewId="0">
      <selection activeCell="A3" sqref="A3"/>
    </sheetView>
  </sheetViews>
  <sheetFormatPr defaultColWidth="9" defaultRowHeight="12.75"/>
  <cols>
    <col min="1" max="1" width="20.42578125" style="87" customWidth="1"/>
    <col min="2" max="2" width="11.5703125" style="88" bestFit="1" customWidth="1"/>
    <col min="3" max="3" width="10.85546875" style="89" bestFit="1" customWidth="1"/>
    <col min="4" max="4" width="12.42578125" style="89" bestFit="1" customWidth="1"/>
    <col min="5" max="5" width="20.28515625" style="89" bestFit="1" customWidth="1"/>
    <col min="6" max="6" width="16" style="87" bestFit="1" customWidth="1"/>
    <col min="7" max="7" width="13.140625" style="88" bestFit="1" customWidth="1"/>
    <col min="8" max="8" width="16" style="87" bestFit="1" customWidth="1"/>
    <col min="9" max="9" width="12.85546875" style="90" bestFit="1" customWidth="1"/>
    <col min="10" max="10" width="14" style="91" bestFit="1" customWidth="1"/>
    <col min="11" max="11" width="11.7109375" style="91" bestFit="1" customWidth="1"/>
    <col min="12" max="16384" width="9" style="87"/>
  </cols>
  <sheetData>
    <row r="1" spans="1:11" s="72" customFormat="1" ht="56.25" customHeight="1" thickBot="1">
      <c r="A1" s="92" t="str">
        <f>'Récaptitulatif Resa PARIS 2018'!E2</f>
        <v>DECEMBRE</v>
      </c>
      <c r="B1" s="45" t="s">
        <v>58</v>
      </c>
      <c r="C1" s="45" t="s">
        <v>60</v>
      </c>
      <c r="D1" s="45" t="s">
        <v>59</v>
      </c>
      <c r="E1" s="45" t="s">
        <v>66</v>
      </c>
      <c r="F1" s="45" t="s">
        <v>55</v>
      </c>
      <c r="G1" s="46" t="s">
        <v>82</v>
      </c>
      <c r="H1" s="73" t="s">
        <v>83</v>
      </c>
      <c r="I1" s="74" t="s">
        <v>84</v>
      </c>
      <c r="J1" s="75" t="s">
        <v>71</v>
      </c>
      <c r="K1" s="75" t="s">
        <v>85</v>
      </c>
    </row>
    <row r="2" spans="1:11" s="82" customFormat="1" ht="28.15" customHeight="1" thickBot="1">
      <c r="A2" s="76" t="s">
        <v>86</v>
      </c>
      <c r="B2" s="77">
        <f t="shared" ref="B2:H2" si="0">SUM(B3:B26)</f>
        <v>709.07</v>
      </c>
      <c r="C2" s="78">
        <f t="shared" si="0"/>
        <v>0</v>
      </c>
      <c r="D2" s="78">
        <f t="shared" si="0"/>
        <v>232.8</v>
      </c>
      <c r="E2" s="78">
        <f t="shared" si="0"/>
        <v>0</v>
      </c>
      <c r="F2" s="79">
        <f t="shared" si="0"/>
        <v>12</v>
      </c>
      <c r="G2" s="77">
        <f t="shared" ca="1" si="0"/>
        <v>1750</v>
      </c>
      <c r="H2" s="76">
        <f t="shared" ca="1" si="0"/>
        <v>41</v>
      </c>
      <c r="I2" s="77">
        <f t="shared" ref="I2:I3" ca="1" si="1">B2-G2</f>
        <v>-1040.9299999999998</v>
      </c>
      <c r="J2" s="80">
        <f t="shared" ref="J2:J3" ca="1" si="2">IFERROR(I2/B2,"")</f>
        <v>-1.4680214929414581</v>
      </c>
      <c r="K2" s="81">
        <f ca="1">IFERROR(F2/H2,"")</f>
        <v>0.29268292682926828</v>
      </c>
    </row>
    <row r="3" spans="1:11" ht="20.100000000000001" customHeight="1">
      <c r="A3" s="93" t="s">
        <v>49</v>
      </c>
      <c r="B3" s="83">
        <f>SUMPRODUCT(('Récaptitulatif Resa PARIS 2018'!$A$2:$A$40='Analyse par appartement'!$A3)*('Récaptitulatif Resa PARIS 2018'!$E$2:$E$40='Analyse par appartement'!$A$1)*('Récaptitulatif Resa PARIS 2018'!$B$2:$B$40='Analyse par appartement'!B$1)*('Récaptitulatif Resa PARIS 2018'!$I$2:$I$40))</f>
        <v>232.8</v>
      </c>
      <c r="C3" s="83">
        <f>SUMPRODUCT(('Récaptitulatif Resa PARIS 2018'!$A$2:$A$40='Analyse par appartement'!$A3)*('Récaptitulatif Resa PARIS 2018'!$E$2:$E$40='Analyse par appartement'!$A$1)*('Récaptitulatif Resa PARIS 2018'!$B$2:$B$40='Analyse par appartement'!C$1)*('Récaptitulatif Resa PARIS 2018'!$I$2:$I$40))</f>
        <v>0</v>
      </c>
      <c r="D3" s="83">
        <f>SUMPRODUCT(('Récaptitulatif Resa PARIS 2018'!$A$2:$A$40='Analyse par appartement'!$A3)*('Récaptitulatif Resa PARIS 2018'!$E$2:$E$40='Analyse par appartement'!$A$1)*('Récaptitulatif Resa PARIS 2018'!$B$2:$B$40='Analyse par appartement'!D$1)*('Récaptitulatif Resa PARIS 2018'!$I$2:$I$40))</f>
        <v>0</v>
      </c>
      <c r="E3" s="83">
        <f>SUMPRODUCT(('Récaptitulatif Resa PARIS 2018'!$A$2:$A$40='Analyse par appartement'!$A3)*('Récaptitulatif Resa PARIS 2018'!$E$2:$E$40='Analyse par appartement'!$A$1)*('Récaptitulatif Resa PARIS 2018'!$B$2:$B$40='Analyse par appartement'!E$1)*('Récaptitulatif Resa PARIS 2018'!$I$2:$I$40))</f>
        <v>0</v>
      </c>
      <c r="F3" s="84">
        <f>SUMPRODUCT(('Récaptitulatif Resa PARIS 2018'!$A$2:$A$40='Analyse par appartement'!$A3)*('Récaptitulatif Resa PARIS 2018'!$E$2:$E$40='Analyse par appartement'!$A$1)*('Récaptitulatif Resa PARIS 2018'!$H$2:$H$40))</f>
        <v>3</v>
      </c>
      <c r="G3" s="83">
        <f ca="1">INDIRECT("'Récaptitulatif Loyer Paris'!"&amp;ADDRESS(MATCH(A3,'Récaptitulatif Loyer Paris'!$A:$A,0),MATCH($A$1,'Récaptitulatif Loyer Paris'!$1:$1,0)+1,4))</f>
        <v>1250</v>
      </c>
      <c r="H3" s="84">
        <f ca="1">INDIRECT("'Récaptitulatif Loyer Paris'!"&amp;ADDRESS(MATCH(A3,'Récaptitulatif Loyer Paris'!$A:$A,0),MATCH($A$1,'Récaptitulatif Loyer Paris'!$1:$1,0),4))</f>
        <v>31</v>
      </c>
      <c r="I3" s="83">
        <f t="shared" ca="1" si="1"/>
        <v>-1017.2</v>
      </c>
      <c r="J3" s="85">
        <f t="shared" ca="1" si="2"/>
        <v>-4.369415807560137</v>
      </c>
      <c r="K3" s="86">
        <f t="shared" ref="K3" ca="1" si="3">IFERROR(F3/H3,"")</f>
        <v>9.6774193548387094E-2</v>
      </c>
    </row>
    <row r="4" spans="1:11" ht="20.100000000000001" customHeight="1">
      <c r="A4" s="93" t="s">
        <v>50</v>
      </c>
      <c r="B4" s="83">
        <f>SUMPRODUCT(('Récaptitulatif Resa PARIS 2018'!$A$2:$A$40='Analyse par appartement'!$A4)*('Récaptitulatif Resa PARIS 2018'!$E$2:$E$40='Analyse par appartement'!$A$1)*('Récaptitulatif Resa PARIS 2018'!$B$2:$B$40='Analyse par appartement'!B$1)*('Récaptitulatif Resa PARIS 2018'!$I$2:$I$40))</f>
        <v>0</v>
      </c>
      <c r="C4" s="83">
        <f>SUMPRODUCT(('Récaptitulatif Resa PARIS 2018'!$A$2:$A$40='Analyse par appartement'!$A4)*('Récaptitulatif Resa PARIS 2018'!$E$2:$E$40='Analyse par appartement'!$A$1)*('Récaptitulatif Resa PARIS 2018'!$B$2:$B$40='Analyse par appartement'!C$1)*('Récaptitulatif Resa PARIS 2018'!$I$2:$I$40))</f>
        <v>0</v>
      </c>
      <c r="D4" s="83">
        <f>SUMPRODUCT(('Récaptitulatif Resa PARIS 2018'!$A$2:$A$40='Analyse par appartement'!$A4)*('Récaptitulatif Resa PARIS 2018'!$E$2:$E$40='Analyse par appartement'!$A$1)*('Récaptitulatif Resa PARIS 2018'!$B$2:$B$40='Analyse par appartement'!D$1)*('Récaptitulatif Resa PARIS 2018'!$I$2:$I$40))</f>
        <v>232.8</v>
      </c>
      <c r="E4" s="83">
        <f>SUMPRODUCT(('Récaptitulatif Resa PARIS 2018'!$A$2:$A$40='Analyse par appartement'!$A4)*('Récaptitulatif Resa PARIS 2018'!$E$2:$E$40='Analyse par appartement'!$A$1)*('Récaptitulatif Resa PARIS 2018'!$B$2:$B$40='Analyse par appartement'!E$1)*('Récaptitulatif Resa PARIS 2018'!$I$2:$I$40))</f>
        <v>0</v>
      </c>
      <c r="F4" s="84">
        <f>SUMPRODUCT(('Récaptitulatif Resa PARIS 2018'!$A$2:$A$40='Analyse par appartement'!$A4)*('Récaptitulatif Resa PARIS 2018'!$E$2:$E$40='Analyse par appartement'!$A$1)*('Récaptitulatif Resa PARIS 2018'!$H$2:$H$40))</f>
        <v>3</v>
      </c>
      <c r="G4" s="83">
        <f ca="1">INDIRECT("'Récaptitulatif Loyer Paris'!"&amp;ADDRESS(MATCH(A4,'Récaptitulatif Loyer Paris'!$A:$A,0),MATCH($A$1,'Récaptitulatif Loyer Paris'!$1:$1,0)+1,4))</f>
        <v>500</v>
      </c>
      <c r="H4" s="84">
        <f ca="1">INDIRECT("'Récaptitulatif Loyer Paris'!"&amp;ADDRESS(MATCH(A4,'Récaptitulatif Loyer Paris'!$A:$A,0),MATCH($A$1,'Récaptitulatif Loyer Paris'!$1:$1,0),4))</f>
        <v>10</v>
      </c>
      <c r="I4" s="83">
        <f t="shared" ref="I4:I6" ca="1" si="4">B4-G4</f>
        <v>-500</v>
      </c>
      <c r="J4" s="85" t="str">
        <f t="shared" ref="J4:J6" ca="1" si="5">IFERROR(I4/B4,"")</f>
        <v/>
      </c>
      <c r="K4" s="86">
        <f t="shared" ref="K4:K6" ca="1" si="6">IFERROR(F4/H4,"")</f>
        <v>0.3</v>
      </c>
    </row>
    <row r="5" spans="1:11" ht="20.100000000000001" customHeight="1">
      <c r="A5" s="93" t="s">
        <v>51</v>
      </c>
      <c r="B5" s="83">
        <f>SUMPRODUCT(('Récaptitulatif Resa PARIS 2018'!$A$2:$A$40='Analyse par appartement'!$A5)*('Récaptitulatif Resa PARIS 2018'!$E$2:$E$40='Analyse par appartement'!$A$1)*('Récaptitulatif Resa PARIS 2018'!$B$2:$B$40='Analyse par appartement'!B$1)*('Récaptitulatif Resa PARIS 2018'!$I$2:$I$40))</f>
        <v>237.65</v>
      </c>
      <c r="C5" s="83">
        <f>SUMPRODUCT(('Récaptitulatif Resa PARIS 2018'!$A$2:$A$40='Analyse par appartement'!$A5)*('Récaptitulatif Resa PARIS 2018'!$E$2:$E$40='Analyse par appartement'!$A$1)*('Récaptitulatif Resa PARIS 2018'!$B$2:$B$40='Analyse par appartement'!C$1)*('Récaptitulatif Resa PARIS 2018'!$I$2:$I$40))</f>
        <v>0</v>
      </c>
      <c r="D5" s="83">
        <f>SUMPRODUCT(('Récaptitulatif Resa PARIS 2018'!$A$2:$A$40='Analyse par appartement'!$A5)*('Récaptitulatif Resa PARIS 2018'!$E$2:$E$40='Analyse par appartement'!$A$1)*('Récaptitulatif Resa PARIS 2018'!$B$2:$B$40='Analyse par appartement'!D$1)*('Récaptitulatif Resa PARIS 2018'!$I$2:$I$40))</f>
        <v>0</v>
      </c>
      <c r="E5" s="83">
        <f>SUMPRODUCT(('Récaptitulatif Resa PARIS 2018'!$A$2:$A$40='Analyse par appartement'!$A5)*('Récaptitulatif Resa PARIS 2018'!$E$2:$E$40='Analyse par appartement'!$A$1)*('Récaptitulatif Resa PARIS 2018'!$B$2:$B$40='Analyse par appartement'!E$1)*('Récaptitulatif Resa PARIS 2018'!$I$2:$I$40))</f>
        <v>0</v>
      </c>
      <c r="F5" s="84">
        <f>SUMPRODUCT(('Récaptitulatif Resa PARIS 2018'!$A$2:$A$40='Analyse par appartement'!$A5)*('Récaptitulatif Resa PARIS 2018'!$E$2:$E$40='Analyse par appartement'!$A$1)*('Récaptitulatif Resa PARIS 2018'!$H$2:$H$40))</f>
        <v>3</v>
      </c>
      <c r="G5" s="83">
        <f ca="1">INDIRECT("'Récaptitulatif Loyer Paris'!"&amp;ADDRESS(MATCH(A5,'Récaptitulatif Loyer Paris'!$A:$A,0),MATCH($A$1,'Récaptitulatif Loyer Paris'!$1:$1,0)+1,4))</f>
        <v>0</v>
      </c>
      <c r="H5" s="84">
        <f ca="1">INDIRECT("'Récaptitulatif Loyer Paris'!"&amp;ADDRESS(MATCH(A5,'Récaptitulatif Loyer Paris'!$A:$A,0),MATCH($A$1,'Récaptitulatif Loyer Paris'!$1:$1,0),4))</f>
        <v>0</v>
      </c>
      <c r="I5" s="83">
        <f t="shared" ca="1" si="4"/>
        <v>237.65</v>
      </c>
      <c r="J5" s="85">
        <f t="shared" ca="1" si="5"/>
        <v>1</v>
      </c>
      <c r="K5" s="86" t="str">
        <f t="shared" ca="1" si="6"/>
        <v/>
      </c>
    </row>
    <row r="6" spans="1:11" ht="20.100000000000001" customHeight="1">
      <c r="A6" s="93" t="s">
        <v>52</v>
      </c>
      <c r="B6" s="83">
        <f>SUMPRODUCT(('Récaptitulatif Resa PARIS 2018'!$A$2:$A$40='Analyse par appartement'!$A6)*('Récaptitulatif Resa PARIS 2018'!$E$2:$E$40='Analyse par appartement'!$A$1)*('Récaptitulatif Resa PARIS 2018'!$B$2:$B$40='Analyse par appartement'!B$1)*('Récaptitulatif Resa PARIS 2018'!$I$2:$I$40))</f>
        <v>238.62</v>
      </c>
      <c r="C6" s="83">
        <f>SUMPRODUCT(('Récaptitulatif Resa PARIS 2018'!$A$2:$A$40='Analyse par appartement'!$A6)*('Récaptitulatif Resa PARIS 2018'!$E$2:$E$40='Analyse par appartement'!$A$1)*('Récaptitulatif Resa PARIS 2018'!$B$2:$B$40='Analyse par appartement'!C$1)*('Récaptitulatif Resa PARIS 2018'!$I$2:$I$40))</f>
        <v>0</v>
      </c>
      <c r="D6" s="83">
        <f>SUMPRODUCT(('Récaptitulatif Resa PARIS 2018'!$A$2:$A$40='Analyse par appartement'!$A6)*('Récaptitulatif Resa PARIS 2018'!$E$2:$E$40='Analyse par appartement'!$A$1)*('Récaptitulatif Resa PARIS 2018'!$B$2:$B$40='Analyse par appartement'!D$1)*('Récaptitulatif Resa PARIS 2018'!$I$2:$I$40))</f>
        <v>0</v>
      </c>
      <c r="E6" s="83">
        <f>SUMPRODUCT(('Récaptitulatif Resa PARIS 2018'!$A$2:$A$40='Analyse par appartement'!$A6)*('Récaptitulatif Resa PARIS 2018'!$E$2:$E$40='Analyse par appartement'!$A$1)*('Récaptitulatif Resa PARIS 2018'!$B$2:$B$40='Analyse par appartement'!E$1)*('Récaptitulatif Resa PARIS 2018'!$I$2:$I$40))</f>
        <v>0</v>
      </c>
      <c r="F6" s="84">
        <f>SUMPRODUCT(('Récaptitulatif Resa PARIS 2018'!$A$2:$A$40='Analyse par appartement'!$A6)*('Récaptitulatif Resa PARIS 2018'!$E$2:$E$40='Analyse par appartement'!$A$1)*('Récaptitulatif Resa PARIS 2018'!$H$2:$H$40))</f>
        <v>3</v>
      </c>
      <c r="G6" s="83">
        <f ca="1">INDIRECT("'Récaptitulatif Loyer Paris'!"&amp;ADDRESS(MATCH(A6,'Récaptitulatif Loyer Paris'!$A:$A,0),MATCH($A$1,'Récaptitulatif Loyer Paris'!$1:$1,0)+1,4))</f>
        <v>0</v>
      </c>
      <c r="H6" s="84">
        <f ca="1">INDIRECT("'Récaptitulatif Loyer Paris'!"&amp;ADDRESS(MATCH(A6,'Récaptitulatif Loyer Paris'!$A:$A,0),MATCH($A$1,'Récaptitulatif Loyer Paris'!$1:$1,0),4))</f>
        <v>0</v>
      </c>
      <c r="I6" s="83">
        <f t="shared" ca="1" si="4"/>
        <v>238.62</v>
      </c>
      <c r="J6" s="85">
        <f t="shared" ca="1" si="5"/>
        <v>1</v>
      </c>
      <c r="K6" s="86" t="str">
        <f t="shared" ca="1" si="6"/>
        <v/>
      </c>
    </row>
    <row r="7" spans="1:11" ht="20.100000000000001" customHeight="1">
      <c r="J7" s="91" t="str">
        <f>IFERROR(#REF!/G7,"")</f>
        <v/>
      </c>
      <c r="K7" s="91" t="str">
        <f>IFERROR(F7/#REF!,"")</f>
        <v/>
      </c>
    </row>
    <row r="8" spans="1:11" ht="20.100000000000001" customHeight="1">
      <c r="J8" s="91" t="str">
        <f>IFERROR(#REF!/G8,"")</f>
        <v/>
      </c>
      <c r="K8" s="91" t="str">
        <f>IFERROR(F8/#REF!,"")</f>
        <v/>
      </c>
    </row>
    <row r="9" spans="1:11" ht="20.100000000000001" customHeight="1">
      <c r="J9" s="91" t="str">
        <f>IFERROR(#REF!/G9,"")</f>
        <v/>
      </c>
      <c r="K9" s="91" t="str">
        <f>IFERROR(F9/#REF!,"")</f>
        <v/>
      </c>
    </row>
    <row r="10" spans="1:11" ht="20.100000000000001" customHeight="1">
      <c r="J10" s="82" t="str">
        <f>IFERROR(#REF!/G10,"")</f>
        <v/>
      </c>
      <c r="K10" s="82" t="str">
        <f>IFERROR(F10/#REF!,"")</f>
        <v/>
      </c>
    </row>
    <row r="11" spans="1:11" ht="20.100000000000001" customHeight="1">
      <c r="J11" s="82" t="str">
        <f>IFERROR(#REF!/G11,"")</f>
        <v/>
      </c>
      <c r="K11" s="82" t="str">
        <f>IFERROR(F11/#REF!,"")</f>
        <v/>
      </c>
    </row>
    <row r="12" spans="1:11" ht="20.100000000000001" customHeight="1">
      <c r="J12" s="82" t="str">
        <f>IFERROR(#REF!/G12,"")</f>
        <v/>
      </c>
      <c r="K12" s="82" t="str">
        <f>IFERROR(F12/#REF!,"")</f>
        <v/>
      </c>
    </row>
    <row r="13" spans="1:11" ht="20.100000000000001" customHeight="1">
      <c r="J13" s="82" t="str">
        <f>IFERROR(#REF!/G13,"")</f>
        <v/>
      </c>
      <c r="K13" s="82" t="str">
        <f>IFERROR(F13/#REF!,"")</f>
        <v/>
      </c>
    </row>
    <row r="14" spans="1:11" ht="20.100000000000001" customHeight="1"/>
    <row r="15" spans="1:11" ht="20.100000000000001" customHeight="1"/>
    <row r="16" spans="1:11" ht="20.100000000000001" customHeight="1"/>
    <row r="17" ht="20.100000000000001" customHeight="1"/>
    <row r="18" ht="20.100000000000001" customHeight="1"/>
    <row r="19" ht="20.100000000000001" customHeight="1"/>
    <row r="20" ht="20.100000000000001" customHeight="1"/>
    <row r="21" ht="20.100000000000001" customHeight="1"/>
    <row r="22" ht="20.100000000000001" customHeight="1"/>
    <row r="23" ht="20.100000000000001" customHeight="1"/>
    <row r="24" ht="20.100000000000001" customHeight="1"/>
    <row r="25" ht="20.100000000000001" customHeight="1"/>
    <row r="26" ht="20.100000000000001" customHeight="1"/>
    <row r="27" ht="20.100000000000001" customHeight="1"/>
    <row r="28" ht="20.100000000000001" customHeight="1"/>
    <row r="29" ht="20.100000000000001" customHeight="1"/>
    <row r="30" ht="20.100000000000001" customHeight="1"/>
  </sheetData>
  <conditionalFormatting sqref="I1:I1048576">
    <cfRule type="cellIs" dxfId="6" priority="6" operator="between">
      <formula>200</formula>
      <formula>0</formula>
    </cfRule>
    <cfRule type="cellIs" dxfId="5" priority="7" operator="lessThan">
      <formula>0</formula>
    </cfRule>
  </conditionalFormatting>
  <conditionalFormatting sqref="I2:I14">
    <cfRule type="cellIs" dxfId="4" priority="5" operator="greaterThan">
      <formula>1000</formula>
    </cfRule>
  </conditionalFormatting>
  <conditionalFormatting sqref="I2:I29">
    <cfRule type="cellIs" dxfId="3" priority="4" operator="between">
      <formula>201</formula>
      <formula>1000</formula>
    </cfRule>
  </conditionalFormatting>
  <conditionalFormatting sqref="K1:K1048576">
    <cfRule type="cellIs" dxfId="2" priority="2" operator="between">
      <formula>0.51</formula>
      <formula>0.8</formula>
    </cfRule>
    <cfRule type="cellIs" dxfId="1" priority="3" operator="lessThan">
      <formula>50.01%</formula>
    </cfRule>
  </conditionalFormatting>
  <conditionalFormatting sqref="K2:K16">
    <cfRule type="cellIs" dxfId="0" priority="1" operator="greaterThan">
      <formula>0.805</formula>
    </cfRule>
  </conditionalFormatting>
  <dataValidations count="2">
    <dataValidation type="list" allowBlank="1" showInputMessage="1" showErrorMessage="1" sqref="A1">
      <formula1>Mois</formula1>
    </dataValidation>
    <dataValidation type="list" allowBlank="1" showInputMessage="1" showErrorMessage="1" sqref="A3:A6">
      <formula1>Appartements</formula1>
    </dataValidation>
  </dataValidation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A42"/>
  <sheetViews>
    <sheetView workbookViewId="0"/>
  </sheetViews>
  <sheetFormatPr defaultRowHeight="15"/>
  <cols>
    <col min="1" max="2" width="16.7109375" bestFit="1" customWidth="1"/>
  </cols>
  <sheetData>
    <row r="1" spans="1:1">
      <c r="A1" s="24" t="s">
        <v>87</v>
      </c>
    </row>
    <row r="2" spans="1:1">
      <c r="A2" s="31" t="s">
        <v>113</v>
      </c>
    </row>
    <row r="3" spans="1:1">
      <c r="A3" s="31" t="s">
        <v>91</v>
      </c>
    </row>
    <row r="4" spans="1:1">
      <c r="A4" s="31" t="s">
        <v>106</v>
      </c>
    </row>
    <row r="5" spans="1:1">
      <c r="A5" s="31" t="s">
        <v>14</v>
      </c>
    </row>
    <row r="6" spans="1:1">
      <c r="A6" s="31" t="s">
        <v>96</v>
      </c>
    </row>
    <row r="7" spans="1:1">
      <c r="A7" s="31" t="s">
        <v>74</v>
      </c>
    </row>
    <row r="8" spans="1:1">
      <c r="A8" s="31" t="s">
        <v>102</v>
      </c>
    </row>
    <row r="9" spans="1:1">
      <c r="A9" s="31" t="s">
        <v>92</v>
      </c>
    </row>
    <row r="10" spans="1:1">
      <c r="A10" s="31" t="s">
        <v>37</v>
      </c>
    </row>
    <row r="11" spans="1:1">
      <c r="A11" s="31" t="s">
        <v>50</v>
      </c>
    </row>
    <row r="12" spans="1:1">
      <c r="A12" s="31" t="s">
        <v>112</v>
      </c>
    </row>
    <row r="13" spans="1:1">
      <c r="A13" s="31" t="s">
        <v>95</v>
      </c>
    </row>
    <row r="14" spans="1:1">
      <c r="A14" s="31" t="s">
        <v>16</v>
      </c>
    </row>
    <row r="15" spans="1:1">
      <c r="A15" s="31" t="s">
        <v>104</v>
      </c>
    </row>
    <row r="16" spans="1:1">
      <c r="A16" s="31" t="s">
        <v>105</v>
      </c>
    </row>
    <row r="17" spans="1:1">
      <c r="A17" s="31" t="s">
        <v>99</v>
      </c>
    </row>
    <row r="18" spans="1:1">
      <c r="A18" s="31" t="s">
        <v>89</v>
      </c>
    </row>
    <row r="19" spans="1:1">
      <c r="A19" s="31" t="s">
        <v>48</v>
      </c>
    </row>
    <row r="20" spans="1:1">
      <c r="A20" s="31" t="s">
        <v>93</v>
      </c>
    </row>
    <row r="21" spans="1:1">
      <c r="A21" s="31" t="s">
        <v>114</v>
      </c>
    </row>
    <row r="22" spans="1:1">
      <c r="A22" s="31" t="s">
        <v>73</v>
      </c>
    </row>
    <row r="23" spans="1:1">
      <c r="A23" s="31" t="s">
        <v>75</v>
      </c>
    </row>
    <row r="24" spans="1:1">
      <c r="A24" s="31" t="s">
        <v>98</v>
      </c>
    </row>
    <row r="25" spans="1:1">
      <c r="A25" s="31" t="s">
        <v>109</v>
      </c>
    </row>
    <row r="26" spans="1:1">
      <c r="A26" s="31" t="s">
        <v>111</v>
      </c>
    </row>
    <row r="27" spans="1:1">
      <c r="A27" s="31" t="s">
        <v>108</v>
      </c>
    </row>
    <row r="28" spans="1:1">
      <c r="A28" s="31" t="s">
        <v>116</v>
      </c>
    </row>
    <row r="29" spans="1:1">
      <c r="A29" s="31" t="s">
        <v>33</v>
      </c>
    </row>
    <row r="30" spans="1:1">
      <c r="A30" s="31" t="s">
        <v>90</v>
      </c>
    </row>
    <row r="31" spans="1:1">
      <c r="A31" s="31" t="s">
        <v>101</v>
      </c>
    </row>
    <row r="32" spans="1:1">
      <c r="A32" s="31" t="s">
        <v>103</v>
      </c>
    </row>
    <row r="33" spans="1:1">
      <c r="A33" s="31" t="s">
        <v>49</v>
      </c>
    </row>
    <row r="34" spans="1:1">
      <c r="A34" s="31" t="s">
        <v>97</v>
      </c>
    </row>
    <row r="35" spans="1:1">
      <c r="A35" s="31" t="s">
        <v>107</v>
      </c>
    </row>
    <row r="36" spans="1:1">
      <c r="A36" s="31" t="s">
        <v>110</v>
      </c>
    </row>
    <row r="37" spans="1:1">
      <c r="A37" s="31" t="s">
        <v>88</v>
      </c>
    </row>
    <row r="38" spans="1:1">
      <c r="A38" s="31" t="s">
        <v>7</v>
      </c>
    </row>
    <row r="39" spans="1:1">
      <c r="A39" s="31" t="s">
        <v>94</v>
      </c>
    </row>
    <row r="40" spans="1:1">
      <c r="A40" s="31" t="s">
        <v>115</v>
      </c>
    </row>
    <row r="41" spans="1:1">
      <c r="A41" s="31" t="s">
        <v>100</v>
      </c>
    </row>
    <row r="42" spans="1:1">
      <c r="A42" s="31" t="s">
        <v>43</v>
      </c>
    </row>
  </sheetData>
  <sortState ref="B2:B103">
    <sortCondition ref="B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1</vt:i4>
      </vt:variant>
    </vt:vector>
  </HeadingPairs>
  <TitlesOfParts>
    <vt:vector size="8" baseType="lpstr">
      <vt:lpstr>Mois de gestion</vt:lpstr>
      <vt:lpstr>Récaptitulatif Loyer Paris</vt:lpstr>
      <vt:lpstr>Récaptitulatif Resa PARIS 2018</vt:lpstr>
      <vt:lpstr>Comptabilité PARIS 2018</vt:lpstr>
      <vt:lpstr>Analyse Global PARIS </vt:lpstr>
      <vt:lpstr>Analyse par appartement</vt:lpstr>
      <vt:lpstr>Appartements</vt:lpstr>
      <vt:lpstr>Mois</vt:lpstr>
    </vt:vector>
  </TitlesOfParts>
  <Company>IUT PARIS DESCARTES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vassoux</dc:creator>
  <cp:lastModifiedBy>Carim</cp:lastModifiedBy>
  <dcterms:created xsi:type="dcterms:W3CDTF">2016-09-14T15:49:27Z</dcterms:created>
  <dcterms:modified xsi:type="dcterms:W3CDTF">2018-01-24T10:26:09Z</dcterms:modified>
</cp:coreProperties>
</file>