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charts/chart6.xml" ContentType="application/vnd.openxmlformats-officedocument.drawingml.chart+xml"/>
  <Override PartName="/xl/charts/style8.xml" ContentType="application/vnd.ms-office.chartsty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drawings/drawing6.xml" ContentType="application/vnd.openxmlformats-officedocument.drawing+xml"/>
  <Override PartName="/xl/drawings/drawing8.xml" ContentType="application/vnd.openxmlformats-officedocument.drawing+xml"/>
  <Override PartName="/xl/charts/style6.xml" ContentType="application/vnd.ms-office.chartstyle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harts/style4.xml" ContentType="application/vnd.ms-office.chartstyle+xml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comments4.xml" ContentType="application/vnd.openxmlformats-officedocument.spreadsheetml.comments+xml"/>
  <Override PartName="/xl/charts/style2.xml" ContentType="application/vnd.ms-office.chartstyle+xml"/>
  <Override PartName="/xl/charts/colors13.xml" ContentType="application/vnd.ms-office.chartcolorstyle+xml"/>
  <Override PartName="/xl/charts/style14.xml" ContentType="application/vnd.ms-office.chartstyle+xml"/>
  <Override PartName="/xl/charts/colors9.xml" ContentType="application/vnd.ms-office.chartcolorstyle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harts/style12.xml" ContentType="application/vnd.ms-office.chartstyle+xml"/>
  <Override PartName="/xl/charts/colors11.xml" ContentType="application/vnd.ms-office.chartcolorstyle+xml"/>
  <Override PartName="/xl/charts/colors7.xml" ContentType="application/vnd.ms-office.chartcolorstyle+xml"/>
  <Override PartName="/xl/worksheets/sheet1.xml" ContentType="application/vnd.openxmlformats-officedocument.spreadsheetml.worksheet+xml"/>
  <Override PartName="/xl/charts/chart16.xml" ContentType="application/vnd.openxmlformats-officedocument.drawingml.chart+xml"/>
  <Override PartName="/xl/charts/style10.xml" ContentType="application/vnd.ms-office.chartstyle+xml"/>
  <Override PartName="/xl/charts/colors5.xml" ContentType="application/vnd.ms-office.chartcolorstyle+xml"/>
  <Override PartName="/xl/sharedStrings.xml" ContentType="application/vnd.openxmlformats-officedocument.spreadsheetml.sharedStrings+xml"/>
  <Override PartName="/xl/charts/chart14.xml" ContentType="application/vnd.openxmlformats-officedocument.drawingml.chart+xml"/>
  <Override PartName="/xl/charts/colors3.xml" ContentType="application/vnd.ms-office.chartcolorstyle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olors1.xml" ContentType="application/vnd.ms-office.chartcolorstyle+xml"/>
  <Override PartName="/docProps/core.xml" ContentType="application/vnd.openxmlformats-package.core-properties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charts/style9.xml" ContentType="application/vnd.ms-office.chartstyle+xml"/>
  <Override PartName="/xl/worksheets/sheet14.xml" ContentType="application/vnd.openxmlformats-officedocument.spreadsheetml.worksheet+xml"/>
  <Override PartName="/xl/charts/chart5.xml" ContentType="application/vnd.openxmlformats-officedocument.drawingml.chart+xml"/>
  <Override PartName="/xl/drawings/drawing7.xml" ContentType="application/vnd.openxmlformats-officedocument.drawing+xml"/>
  <Override PartName="/xl/charts/style7.xml" ContentType="application/vnd.ms-office.chartstyle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charts/chart3.xml" ContentType="application/vnd.openxmlformats-officedocument.drawingml.chart+xml"/>
  <Override PartName="/xl/drawings/drawing5.xml" ContentType="application/vnd.openxmlformats-officedocument.drawing+xml"/>
  <Override PartName="/xl/charts/style5.xml" ContentType="application/vnd.ms-office.chartstyle+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olors8.xml" ContentType="application/vnd.ms-office.chartcolorstyle+xml"/>
  <Override PartName="/xl/charts/style1.xml" ContentType="application/vnd.ms-office.chartstyle+xml"/>
  <Override PartName="/xl/charts/colors14.xml" ContentType="application/vnd.ms-office.chartcolorstyle+xml"/>
  <Override PartName="/xl/charts/style3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omments3.xml" ContentType="application/vnd.openxmlformats-officedocument.spreadsheetml.comments+xml"/>
  <Override PartName="/xl/charts/colors6.xml" ContentType="application/vnd.ms-office.chartcolorstyle+xml"/>
  <Override PartName="/xl/charts/colors12.xml" ContentType="application/vnd.ms-office.chartcolorstyle+xml"/>
  <Override PartName="/xl/charts/style13.xml" ContentType="application/vnd.ms-office.chartstyle+xml"/>
  <Default Extension="vml" ContentType="application/vnd.openxmlformats-officedocument.vmlDrawing"/>
  <Override PartName="/xl/comments1.xml" ContentType="application/vnd.openxmlformats-officedocument.spreadsheetml.comments+xml"/>
  <Override PartName="/xl/charts/chart17.xml" ContentType="application/vnd.openxmlformats-officedocument.drawingml.chart+xml"/>
  <Override PartName="/xl/calcChain.xml" ContentType="application/vnd.openxmlformats-officedocument.spreadsheetml.calcChain+xml"/>
  <Override PartName="/xl/charts/colors4.xml" ContentType="application/vnd.ms-office.chartcolorstyle+xml"/>
  <Override PartName="/xl/charts/style11.xml" ContentType="application/vnd.ms-office.chartstyle+xml"/>
  <Override PartName="/xl/charts/colors10.xml" ContentType="application/vnd.ms-office.chartcolorstyle+xml"/>
  <Override PartName="/xl/worksheets/sheet19.xml" ContentType="application/vnd.openxmlformats-officedocument.spreadsheetml.worksheet+xml"/>
  <Override PartName="/xl/charts/chart13.xml" ContentType="application/vnd.openxmlformats-officedocument.drawingml.chart+xml"/>
  <Override PartName="/xl/charts/chart15.xml" ContentType="application/vnd.openxmlformats-officedocument.drawingml.chart+xml"/>
  <Override PartName="/xl/charts/colors2.xml" ContentType="application/vnd.ms-office.chartcolor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/>
  <bookViews>
    <workbookView xWindow="0" yWindow="0" windowWidth="13905" windowHeight="1170" firstSheet="1" activeTab="1"/>
  </bookViews>
  <sheets>
    <sheet name="SYNTHESE" sheetId="19" r:id="rId1"/>
    <sheet name="GLOBAL OPERATION" sheetId="29" r:id="rId2"/>
    <sheet name="CONVENTIONS SIGNEES 2018" sheetId="30" r:id="rId3"/>
    <sheet name="FRAFU DEAL" sheetId="21" r:id="rId4"/>
    <sheet name="LBU DEAL" sheetId="8" r:id="rId5"/>
    <sheet name="LBU REHAB" sheetId="27" r:id="rId6"/>
    <sheet name="ST LEU" sheetId="5" r:id="rId7"/>
    <sheet name="CAF" sheetId="9" r:id="rId8"/>
    <sheet name="REGION" sheetId="13" r:id="rId9"/>
    <sheet name="ETANG-SALE" sheetId="24" r:id="rId10"/>
    <sheet name="RECTORAT" sheetId="28" r:id="rId11"/>
    <sheet name="DIECCTE" sheetId="11" r:id="rId12"/>
    <sheet name="TCO" sheetId="14" r:id="rId13"/>
    <sheet name="FEDER" sheetId="10" r:id="rId14"/>
    <sheet name="ADEME" sheetId="15" r:id="rId15"/>
    <sheet name="PETITE ILE" sheetId="18" r:id="rId16"/>
    <sheet name="EDF" sheetId="22" r:id="rId17"/>
    <sheet name="OFFICE DE L'EAU" sheetId="23" r:id="rId18"/>
    <sheet name="ST JOSEPH" sheetId="26" r:id="rId19"/>
    <sheet name="CILGERE" sheetId="12" state="hidden" r:id="rId20"/>
    <sheet name="cilgère" sheetId="25" r:id="rId21"/>
  </sheets>
  <definedNames>
    <definedName name="_xlnm._FilterDatabase" localSheetId="7" hidden="1">CAF!$A$4:$P$5</definedName>
    <definedName name="_xlnm._FilterDatabase" localSheetId="11" hidden="1">DIECCTE!$A$4:$M$5</definedName>
    <definedName name="_xlnm._FilterDatabase" localSheetId="16" hidden="1">EDF!$A$4:$M$59</definedName>
    <definedName name="_xlnm._FilterDatabase" localSheetId="13" hidden="1">FEDER!$A$4:$Q$5</definedName>
    <definedName name="_xlnm._FilterDatabase" localSheetId="3" hidden="1">'FRAFU DEAL'!$A$5:$S$154</definedName>
    <definedName name="_xlnm._FilterDatabase" localSheetId="1" hidden="1">'GLOBAL OPERATION'!$A$2:$Y$69</definedName>
    <definedName name="_xlnm._FilterDatabase" localSheetId="4" hidden="1">'LBU DEAL'!$A$4:$T$399</definedName>
    <definedName name="_xlnm._FilterDatabase" localSheetId="8" hidden="1">REGION!$A$4:$R$5</definedName>
    <definedName name="_xlnm._FilterDatabase" localSheetId="6" hidden="1">'ST LEU'!$A$4:$L$36</definedName>
    <definedName name="_xlnm._FilterDatabase" localSheetId="12" hidden="1">TCO!$A$4:$O$5</definedName>
    <definedName name="Bdgt_ADEME">ADEME!$E$6:$E$25</definedName>
    <definedName name="Bdgt_CAF">CAF!$E$6:$E$41</definedName>
    <definedName name="Bdgt_EDF">EDF!$E$6:$E$83</definedName>
    <definedName name="Bdgt_ETG_SALE">'ETANG-SALE'!$D$5:$D$11</definedName>
    <definedName name="Bdgt_FRAFU">'FRAFU DEAL'!$H$6:$H$152</definedName>
    <definedName name="Bdgt_LBU">'LBU DEAL'!$I$6:$I$397</definedName>
    <definedName name="Bdgt_P_Ile">'PETITE ILE'!$C$6:$C$16</definedName>
    <definedName name="Bdgt_Rectorat">RECTORAT!$G$6:$G$13</definedName>
    <definedName name="Bdgt_Region">REGION!$G$6:$G$29</definedName>
    <definedName name="Bdgt_Rehab">'LBU REHAB'!$I$6:$I$48</definedName>
    <definedName name="Bdgt_ST_JO">'ST JOSEPH'!$D$5:$D$16</definedName>
    <definedName name="Date_AF_ETG_SALE">'ETANG-SALE'!$G$5:$G$11</definedName>
    <definedName name="Date_AF_FRAFU">'FRAFU DEAL'!$L$6:$L$152</definedName>
    <definedName name="DateAF">'FRAFU DEAL'!$L$6:$L$152</definedName>
    <definedName name="DateAF_ADEME">ADEME!$H$6:$H$25</definedName>
    <definedName name="DateAF_CAF">CAF!$I$6:$I$41</definedName>
    <definedName name="DateAF_EAU">'OFFICE DE L''EAU'!$G$7:$G$14</definedName>
    <definedName name="DateAF_EDF">EDF!$H$7:$H$59</definedName>
    <definedName name="DateAF_FEDER">FEDER!$J$7:$J$13</definedName>
    <definedName name="DateAF_LBU">'LBU DEAL'!$M$6:$M$397</definedName>
    <definedName name="DateAF_LBU_rehab">'LBU REHAB'!$M$6:$M$48</definedName>
    <definedName name="DateAF_P_ILE">'PETITE ILE'!$F$7:$F$16</definedName>
    <definedName name="DateAF_Rectorat">RECTORAT!$K$6:$K$13</definedName>
    <definedName name="DateAF_Region">REGION!$K$6:$K$29</definedName>
    <definedName name="DateAF_ST_JOSEPH">'ST JOSEPH'!$H$6:$H$15</definedName>
    <definedName name="DateAF_ST_LEU">'ST LEU'!$G$6:$G$45</definedName>
    <definedName name="DateAF_TCO">TCO!$H$7:$H$15</definedName>
    <definedName name="DatePmt">'FRAFU DEAL'!$N$6:$N$152</definedName>
    <definedName name="DatePmt_ADEME">ADEME!$J$6:$J$25</definedName>
    <definedName name="DatePmt_caf">CAF!$K$6:$K$41</definedName>
    <definedName name="DatePmt_EAU">'OFFICE DE L''EAU'!$I$7:$I$14</definedName>
    <definedName name="DatePmt_EDF">EDF!$J$6:$J$83</definedName>
    <definedName name="DatePmt_ETG_SALE">'ETANG-SALE'!$I$5:$I$11</definedName>
    <definedName name="DatePmt_FEDER">FEDER!$L$7:$L$13</definedName>
    <definedName name="DatePmt_LBU">'LBU DEAL'!$O$6:$O$397</definedName>
    <definedName name="DatePmt_P_ILE">'PETITE ILE'!$H$6:$H$16</definedName>
    <definedName name="DatePmt_Rectorat">RECTORAT!$M$6:$M$13</definedName>
    <definedName name="DatePmt_Region">REGION!$M$6:$M$29</definedName>
    <definedName name="DatePmt_ST_JOSEPH">'ST JOSEPH'!$J$5:$J$16</definedName>
    <definedName name="DatePmt_ST_LEU">'ST LEU'!$I$6:$I$45</definedName>
    <definedName name="DatePmt_TCO">TCO!$J$7:$J$15</definedName>
    <definedName name="DatePmtRehab">'LBU REHAB'!$O$6:$O$48</definedName>
    <definedName name="MontantAF">'FRAFU DEAL'!$J$6:$J$152</definedName>
    <definedName name="MontantAF_ADEME">ADEME!$F$6:$F$25</definedName>
    <definedName name="MontantAF_CAF">CAF!$G$6:$G$41</definedName>
    <definedName name="MontantAF_EAU">'OFFICE DE L''EAU'!$E$7:$E$14</definedName>
    <definedName name="MontantAF_EDF">EDF!$F$7:$F$59</definedName>
    <definedName name="MontantAF_ETG_SALE">'ETANG-SALE'!$E$5:$E$11</definedName>
    <definedName name="MontantAF_FEDER">FEDER!$H$7:$H$13</definedName>
    <definedName name="MontantAF_FRAFU">'FRAFU DEAL'!$J$6:$J$152</definedName>
    <definedName name="MontantAF_LBU">'LBU DEAL'!$K$6:$K$397</definedName>
    <definedName name="MontantAF_LBU_rehab">'LBU REHAB'!$K$6:$K$48</definedName>
    <definedName name="MontantAF_P_ILE">'PETITE ILE'!$D$7:$D$16</definedName>
    <definedName name="MontantAF_Rectorat">RECTORAT!$I$6:$I$13</definedName>
    <definedName name="MontantAF_Region">REGION!$I$6:$I$29</definedName>
    <definedName name="MontantAF_ST_JOSEPH">'ST JOSEPH'!$F$6:$F$15</definedName>
    <definedName name="MontantAF_ST_LEU">'ST LEU'!$E$6:$E$45</definedName>
    <definedName name="MontantAF_TCO">TCO!$F$7:$F$15</definedName>
    <definedName name="MontantPaye">'FRAFU DEAL'!$M$6:$M$152</definedName>
    <definedName name="MontantPayeRehab">'LBU REHAB'!$N$6:$N$48</definedName>
    <definedName name="MtntPaye_ADEME">ADEME!$I$6:$I$25</definedName>
    <definedName name="MtntPaye_CAF">CAF!$J$6:$J$41</definedName>
    <definedName name="MtntPaye_EAU">'OFFICE DE L''EAU'!$H$7:$H$14</definedName>
    <definedName name="MtntPaye_EDF">EDF!$I$6:$I$83</definedName>
    <definedName name="MtntPaye_ETG_SALE">'ETANG-SALE'!$H$5:$H$11</definedName>
    <definedName name="MtntPaye_FEDER">FEDER!$K$7:$K$13</definedName>
    <definedName name="MtntPaye_LBU">'LBU DEAL'!$N$6:$N$397</definedName>
    <definedName name="MtntPaye_P_ILE">'PETITE ILE'!$G$6:$G$16</definedName>
    <definedName name="MtntPaye_Rectorat">RECTORAT!$L$6:$L$13</definedName>
    <definedName name="MtntPaye_Region">REGION!$L$6:$L$29</definedName>
    <definedName name="MtntPaye_ST_JOSEPH">'ST JOSEPH'!$I$5:$I$16</definedName>
    <definedName name="MtntPaye_ST_LEU">'ST LEU'!$H$6:$H$45</definedName>
    <definedName name="MtntPaye_TCO">TCO!$I$7:$I$15</definedName>
    <definedName name="OP_ADEME">ADEME!$A$6:$A$25</definedName>
    <definedName name="OP_CAF">CAF!$A$6:$A$41</definedName>
    <definedName name="OP_EDF">EDF!$A$6:$A$83</definedName>
    <definedName name="OP_ETG_SALE">'ETANG-SALE'!$A$5:$A$11</definedName>
    <definedName name="OP_FRAFU">'FRAFU DEAL'!$A$6:$A$152</definedName>
    <definedName name="OP_LBU">'LBU DEAL'!$A$6:$A$397</definedName>
    <definedName name="OP_P_Ile">'PETITE ILE'!$A$6:$A$16</definedName>
    <definedName name="OP_Rectorat">RECTORAT!$A$6:$A$13</definedName>
    <definedName name="OP_Region">REGION!$A$6:$A$29</definedName>
    <definedName name="OP_Rehab">'LBU REHAB'!$A$6:$A$48</definedName>
    <definedName name="OP_ST_JO">'ST JOSEPH'!$A$5:$A$16</definedName>
    <definedName name="_xlnm.Print_Area" localSheetId="7">CAF!$A$1:$P$97</definedName>
    <definedName name="_xlnm.Print_Area" localSheetId="3">'FRAFU DEAL'!$A$1:$S$304</definedName>
    <definedName name="_xlnm.Print_Area" localSheetId="4">'LBU DEAL'!$A$1:$T$399</definedName>
    <definedName name="_xlnm.Print_Area" localSheetId="6">'ST LEU'!$A$1:$N$92</definedName>
    <definedName name="_xlnm.Print_Titles" localSheetId="6">'ST LEU'!$4:$4</definedName>
  </definedNames>
  <calcPr calcId="125725"/>
</workbook>
</file>

<file path=xl/calcChain.xml><?xml version="1.0" encoding="utf-8"?>
<calcChain xmlns="http://schemas.openxmlformats.org/spreadsheetml/2006/main">
  <c r="J3" i="29"/>
  <c r="P15"/>
  <c r="P16"/>
  <c r="P69"/>
  <c r="P68"/>
  <c r="P67"/>
  <c r="P66"/>
  <c r="P65"/>
  <c r="P64"/>
  <c r="P63"/>
  <c r="P62"/>
  <c r="P61"/>
  <c r="P60"/>
  <c r="P59"/>
  <c r="P58"/>
  <c r="P57"/>
  <c r="P56"/>
  <c r="P55"/>
  <c r="P54"/>
  <c r="P53"/>
  <c r="P52"/>
  <c r="P51"/>
  <c r="P50"/>
  <c r="P49"/>
  <c r="P48"/>
  <c r="P47"/>
  <c r="P46"/>
  <c r="P45"/>
  <c r="P44"/>
  <c r="P43"/>
  <c r="P42"/>
  <c r="P41"/>
  <c r="P40"/>
  <c r="P39"/>
  <c r="P38"/>
  <c r="P37"/>
  <c r="P36"/>
  <c r="P35"/>
  <c r="P34"/>
  <c r="P33"/>
  <c r="P32"/>
  <c r="P31"/>
  <c r="P30"/>
  <c r="P29"/>
  <c r="P28"/>
  <c r="P14"/>
  <c r="P9"/>
  <c r="P18"/>
  <c r="P11"/>
  <c r="P8"/>
  <c r="P7"/>
  <c r="P6"/>
  <c r="P5"/>
  <c r="P4"/>
  <c r="P3"/>
  <c r="P27"/>
  <c r="E84" i="22" l="1"/>
  <c r="H25" i="24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24"/>
  <c r="R4" i="29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3"/>
  <c r="B49"/>
  <c r="D49"/>
  <c r="G49"/>
  <c r="H49"/>
  <c r="I49"/>
  <c r="J49"/>
  <c r="K49"/>
  <c r="L49"/>
  <c r="O49"/>
  <c r="T49"/>
  <c r="V49"/>
  <c r="W49"/>
  <c r="X49"/>
  <c r="Y49"/>
  <c r="B56"/>
  <c r="D56"/>
  <c r="G56"/>
  <c r="H56"/>
  <c r="I56"/>
  <c r="J56"/>
  <c r="K56"/>
  <c r="L56"/>
  <c r="O56"/>
  <c r="T56"/>
  <c r="V56"/>
  <c r="W56"/>
  <c r="X56"/>
  <c r="Y56"/>
  <c r="B17"/>
  <c r="D17"/>
  <c r="G17"/>
  <c r="H17"/>
  <c r="I17"/>
  <c r="J17"/>
  <c r="K17"/>
  <c r="L17"/>
  <c r="O17"/>
  <c r="T17"/>
  <c r="V17"/>
  <c r="W17"/>
  <c r="X17"/>
  <c r="Y17"/>
  <c r="B18"/>
  <c r="D18"/>
  <c r="G18"/>
  <c r="H18"/>
  <c r="I18"/>
  <c r="J18"/>
  <c r="K18"/>
  <c r="L18"/>
  <c r="O18"/>
  <c r="T18"/>
  <c r="V18"/>
  <c r="W18"/>
  <c r="X18"/>
  <c r="Y18"/>
  <c r="L24" i="28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23"/>
  <c r="L17" s="1"/>
  <c r="B67" i="29"/>
  <c r="D67"/>
  <c r="G67"/>
  <c r="H67"/>
  <c r="I67"/>
  <c r="J67"/>
  <c r="K67"/>
  <c r="L67"/>
  <c r="O67"/>
  <c r="V67"/>
  <c r="W67"/>
  <c r="X67"/>
  <c r="Y67"/>
  <c r="B68"/>
  <c r="D68"/>
  <c r="G68"/>
  <c r="H68"/>
  <c r="I68"/>
  <c r="J68"/>
  <c r="K68"/>
  <c r="L68"/>
  <c r="O68"/>
  <c r="V68"/>
  <c r="W68"/>
  <c r="X68"/>
  <c r="Y68"/>
  <c r="B69"/>
  <c r="D69"/>
  <c r="G69"/>
  <c r="H69"/>
  <c r="I69"/>
  <c r="J69"/>
  <c r="K69"/>
  <c r="L69"/>
  <c r="O69"/>
  <c r="V69"/>
  <c r="W69"/>
  <c r="X69"/>
  <c r="Y69"/>
  <c r="B28"/>
  <c r="D28"/>
  <c r="G28"/>
  <c r="H28"/>
  <c r="I28"/>
  <c r="J28"/>
  <c r="K28"/>
  <c r="L28"/>
  <c r="O28"/>
  <c r="V28"/>
  <c r="W28"/>
  <c r="X28"/>
  <c r="Y28"/>
  <c r="B29"/>
  <c r="D29"/>
  <c r="G29"/>
  <c r="H29"/>
  <c r="I29"/>
  <c r="J29"/>
  <c r="K29"/>
  <c r="L29"/>
  <c r="O29"/>
  <c r="V29"/>
  <c r="W29"/>
  <c r="X29"/>
  <c r="Y29"/>
  <c r="B40"/>
  <c r="D40"/>
  <c r="G40"/>
  <c r="H40"/>
  <c r="I40"/>
  <c r="J40"/>
  <c r="K40"/>
  <c r="L40"/>
  <c r="O40"/>
  <c r="V40"/>
  <c r="W40"/>
  <c r="X40"/>
  <c r="Y40"/>
  <c r="B41"/>
  <c r="D41"/>
  <c r="G41"/>
  <c r="H41"/>
  <c r="I41"/>
  <c r="J41"/>
  <c r="K41"/>
  <c r="L41"/>
  <c r="O41"/>
  <c r="V41"/>
  <c r="W41"/>
  <c r="X41"/>
  <c r="Y41"/>
  <c r="B42"/>
  <c r="D42"/>
  <c r="G42"/>
  <c r="H42"/>
  <c r="I42"/>
  <c r="J42"/>
  <c r="K42"/>
  <c r="L42"/>
  <c r="O42"/>
  <c r="V42"/>
  <c r="W42"/>
  <c r="X42"/>
  <c r="Y42"/>
  <c r="B54"/>
  <c r="D54"/>
  <c r="G54"/>
  <c r="H54"/>
  <c r="I54"/>
  <c r="J54"/>
  <c r="K54"/>
  <c r="L54"/>
  <c r="O54"/>
  <c r="V54"/>
  <c r="W54"/>
  <c r="X54"/>
  <c r="Y54"/>
  <c r="B5"/>
  <c r="D5"/>
  <c r="G5"/>
  <c r="H5"/>
  <c r="I5"/>
  <c r="J5"/>
  <c r="K5"/>
  <c r="L5"/>
  <c r="O5"/>
  <c r="V5"/>
  <c r="W5"/>
  <c r="X5"/>
  <c r="Y5"/>
  <c r="B9"/>
  <c r="D9"/>
  <c r="G9"/>
  <c r="H9"/>
  <c r="I9"/>
  <c r="J9"/>
  <c r="K9"/>
  <c r="L9"/>
  <c r="O9"/>
  <c r="V9"/>
  <c r="W9"/>
  <c r="X9"/>
  <c r="Y9"/>
  <c r="O3"/>
  <c r="O4"/>
  <c r="O6"/>
  <c r="O7"/>
  <c r="O8"/>
  <c r="O10"/>
  <c r="O11"/>
  <c r="O12"/>
  <c r="O13"/>
  <c r="O14"/>
  <c r="O15"/>
  <c r="O16"/>
  <c r="O19"/>
  <c r="O20"/>
  <c r="O21"/>
  <c r="O22"/>
  <c r="O23"/>
  <c r="O24"/>
  <c r="O25"/>
  <c r="O26"/>
  <c r="O27"/>
  <c r="O30"/>
  <c r="O31"/>
  <c r="O32"/>
  <c r="O33"/>
  <c r="O34"/>
  <c r="O35"/>
  <c r="O36"/>
  <c r="O37"/>
  <c r="O38"/>
  <c r="O39"/>
  <c r="O43"/>
  <c r="O44"/>
  <c r="O45"/>
  <c r="O46"/>
  <c r="O47"/>
  <c r="O48"/>
  <c r="O50"/>
  <c r="O51"/>
  <c r="O52"/>
  <c r="O53"/>
  <c r="O55"/>
  <c r="O57"/>
  <c r="O58"/>
  <c r="O59"/>
  <c r="O60"/>
  <c r="O61"/>
  <c r="O62"/>
  <c r="O63"/>
  <c r="O64"/>
  <c r="O65"/>
  <c r="O66"/>
  <c r="J146" i="21"/>
  <c r="J147" s="1"/>
  <c r="J141"/>
  <c r="J105"/>
  <c r="J106"/>
  <c r="R70" i="29" l="1"/>
  <c r="H17" i="24"/>
  <c r="H15"/>
  <c r="H16"/>
  <c r="E16"/>
  <c r="E17"/>
  <c r="E49"/>
  <c r="E15"/>
  <c r="H18"/>
  <c r="H49"/>
  <c r="L18" i="28"/>
  <c r="L47"/>
  <c r="O70" i="29"/>
  <c r="E12" i="24"/>
  <c r="R30" i="19"/>
  <c r="R51"/>
  <c r="R48"/>
  <c r="Q47"/>
  <c r="Q50"/>
  <c r="Q51"/>
  <c r="Q52"/>
  <c r="M50"/>
  <c r="M51"/>
  <c r="M52"/>
  <c r="L52"/>
  <c r="K48"/>
  <c r="K53" s="1"/>
  <c r="K54" s="1"/>
  <c r="J51"/>
  <c r="J53" s="1"/>
  <c r="D18" i="30"/>
  <c r="D17"/>
  <c r="D1"/>
  <c r="E50" i="24" l="1"/>
  <c r="H19"/>
  <c r="H50"/>
  <c r="R53" i="19"/>
  <c r="E18" i="24"/>
  <c r="E19" s="1"/>
  <c r="V3" i="29"/>
  <c r="V4"/>
  <c r="V6"/>
  <c r="V7"/>
  <c r="V8"/>
  <c r="V10"/>
  <c r="V11"/>
  <c r="V12"/>
  <c r="V13"/>
  <c r="V14"/>
  <c r="V15"/>
  <c r="V16"/>
  <c r="V19"/>
  <c r="V20"/>
  <c r="V21"/>
  <c r="V22"/>
  <c r="V23"/>
  <c r="V24"/>
  <c r="V25"/>
  <c r="V26"/>
  <c r="V27"/>
  <c r="V30"/>
  <c r="V31"/>
  <c r="V32"/>
  <c r="V33"/>
  <c r="V34"/>
  <c r="V35"/>
  <c r="V36"/>
  <c r="V37"/>
  <c r="V38"/>
  <c r="V39"/>
  <c r="V43"/>
  <c r="V44"/>
  <c r="V45"/>
  <c r="V46"/>
  <c r="V47"/>
  <c r="V48"/>
  <c r="V50"/>
  <c r="V51"/>
  <c r="V52"/>
  <c r="V53"/>
  <c r="V55"/>
  <c r="V57"/>
  <c r="V58"/>
  <c r="V59"/>
  <c r="V60"/>
  <c r="V61"/>
  <c r="V62"/>
  <c r="V63"/>
  <c r="V64"/>
  <c r="V65"/>
  <c r="V66"/>
  <c r="W3"/>
  <c r="W4"/>
  <c r="W6"/>
  <c r="W7"/>
  <c r="W8"/>
  <c r="W10"/>
  <c r="W11"/>
  <c r="W12"/>
  <c r="W13"/>
  <c r="W14"/>
  <c r="W15"/>
  <c r="W16"/>
  <c r="W19"/>
  <c r="W20"/>
  <c r="W21"/>
  <c r="W22"/>
  <c r="W23"/>
  <c r="W24"/>
  <c r="W25"/>
  <c r="W26"/>
  <c r="W27"/>
  <c r="W30"/>
  <c r="W31"/>
  <c r="W32"/>
  <c r="W33"/>
  <c r="W34"/>
  <c r="W35"/>
  <c r="W36"/>
  <c r="W37"/>
  <c r="W38"/>
  <c r="W39"/>
  <c r="W43"/>
  <c r="W44"/>
  <c r="W45"/>
  <c r="W46"/>
  <c r="W47"/>
  <c r="W48"/>
  <c r="W50"/>
  <c r="W51"/>
  <c r="W52"/>
  <c r="W53"/>
  <c r="W55"/>
  <c r="W57"/>
  <c r="W58"/>
  <c r="W59"/>
  <c r="W60"/>
  <c r="W61"/>
  <c r="W62"/>
  <c r="W63"/>
  <c r="W64"/>
  <c r="W65"/>
  <c r="W66"/>
  <c r="V70" l="1"/>
  <c r="W70"/>
  <c r="X4"/>
  <c r="X6"/>
  <c r="X7"/>
  <c r="X8"/>
  <c r="X10"/>
  <c r="X11"/>
  <c r="X12"/>
  <c r="X13"/>
  <c r="X14"/>
  <c r="X15"/>
  <c r="X16"/>
  <c r="X19"/>
  <c r="X20"/>
  <c r="X21"/>
  <c r="X22"/>
  <c r="X23"/>
  <c r="X24"/>
  <c r="X25"/>
  <c r="X26"/>
  <c r="X27"/>
  <c r="X30"/>
  <c r="X31"/>
  <c r="X32"/>
  <c r="X33"/>
  <c r="X34"/>
  <c r="X35"/>
  <c r="X36"/>
  <c r="X37"/>
  <c r="X38"/>
  <c r="X39"/>
  <c r="X43"/>
  <c r="X44"/>
  <c r="X45"/>
  <c r="X46"/>
  <c r="X47"/>
  <c r="X48"/>
  <c r="X50"/>
  <c r="X51"/>
  <c r="X52"/>
  <c r="X53"/>
  <c r="X55"/>
  <c r="X57"/>
  <c r="X58"/>
  <c r="X59"/>
  <c r="X60"/>
  <c r="X61"/>
  <c r="X62"/>
  <c r="X63"/>
  <c r="X64"/>
  <c r="X65"/>
  <c r="X66"/>
  <c r="X3"/>
  <c r="Y4"/>
  <c r="Y6"/>
  <c r="Y7"/>
  <c r="Y8"/>
  <c r="Y10"/>
  <c r="Y11"/>
  <c r="Y12"/>
  <c r="Y13"/>
  <c r="Y14"/>
  <c r="Y15"/>
  <c r="Y16"/>
  <c r="Y19"/>
  <c r="Y20"/>
  <c r="Y21"/>
  <c r="Y22"/>
  <c r="Y23"/>
  <c r="Y24"/>
  <c r="Y25"/>
  <c r="Y26"/>
  <c r="Y27"/>
  <c r="Y30"/>
  <c r="Y31"/>
  <c r="Y32"/>
  <c r="Y33"/>
  <c r="Y34"/>
  <c r="Y35"/>
  <c r="Y36"/>
  <c r="Y37"/>
  <c r="Y38"/>
  <c r="Y39"/>
  <c r="Y43"/>
  <c r="Y44"/>
  <c r="Y45"/>
  <c r="Y46"/>
  <c r="Y47"/>
  <c r="Y48"/>
  <c r="Y50"/>
  <c r="Y51"/>
  <c r="Y52"/>
  <c r="Y53"/>
  <c r="Y55"/>
  <c r="Y57"/>
  <c r="Y58"/>
  <c r="Y59"/>
  <c r="Y60"/>
  <c r="Y61"/>
  <c r="Y62"/>
  <c r="Y63"/>
  <c r="Y64"/>
  <c r="Y65"/>
  <c r="Y66"/>
  <c r="Y3"/>
  <c r="Y70" l="1"/>
  <c r="X70"/>
  <c r="X71" s="1"/>
  <c r="H21" i="26"/>
  <c r="L3" i="29"/>
  <c r="L4"/>
  <c r="L6"/>
  <c r="L7"/>
  <c r="L8"/>
  <c r="L10"/>
  <c r="L11"/>
  <c r="L12"/>
  <c r="L13"/>
  <c r="L14"/>
  <c r="L15"/>
  <c r="L16"/>
  <c r="L19"/>
  <c r="L20"/>
  <c r="L21"/>
  <c r="L22"/>
  <c r="L23"/>
  <c r="L24"/>
  <c r="L25"/>
  <c r="L26"/>
  <c r="L27"/>
  <c r="L30"/>
  <c r="L31"/>
  <c r="L32"/>
  <c r="L33"/>
  <c r="L34"/>
  <c r="L35"/>
  <c r="L36"/>
  <c r="L37"/>
  <c r="L38"/>
  <c r="L39"/>
  <c r="L43"/>
  <c r="L44"/>
  <c r="L45"/>
  <c r="L46"/>
  <c r="L47"/>
  <c r="L48"/>
  <c r="L50"/>
  <c r="L51"/>
  <c r="L52"/>
  <c r="L53"/>
  <c r="L55"/>
  <c r="L58"/>
  <c r="L59"/>
  <c r="L60"/>
  <c r="L61"/>
  <c r="L62"/>
  <c r="L63"/>
  <c r="L64"/>
  <c r="L65"/>
  <c r="L66"/>
  <c r="L57"/>
  <c r="K4"/>
  <c r="K6"/>
  <c r="K7"/>
  <c r="K8"/>
  <c r="K10"/>
  <c r="K11"/>
  <c r="K12"/>
  <c r="K13"/>
  <c r="K14"/>
  <c r="K15"/>
  <c r="K16"/>
  <c r="K19"/>
  <c r="K20"/>
  <c r="K21"/>
  <c r="K22"/>
  <c r="K23"/>
  <c r="K24"/>
  <c r="K25"/>
  <c r="K26"/>
  <c r="K27"/>
  <c r="K30"/>
  <c r="K31"/>
  <c r="K32"/>
  <c r="K33"/>
  <c r="K34"/>
  <c r="K35"/>
  <c r="K36"/>
  <c r="K37"/>
  <c r="K38"/>
  <c r="K39"/>
  <c r="K43"/>
  <c r="K44"/>
  <c r="K45"/>
  <c r="K46"/>
  <c r="K47"/>
  <c r="K48"/>
  <c r="K50"/>
  <c r="K51"/>
  <c r="K52"/>
  <c r="K53"/>
  <c r="K55"/>
  <c r="K58"/>
  <c r="K59"/>
  <c r="K60"/>
  <c r="K61"/>
  <c r="K62"/>
  <c r="K63"/>
  <c r="K64"/>
  <c r="K65"/>
  <c r="K66"/>
  <c r="K57"/>
  <c r="K3"/>
  <c r="G4"/>
  <c r="H4"/>
  <c r="I4"/>
  <c r="J4"/>
  <c r="G6"/>
  <c r="H6"/>
  <c r="I6"/>
  <c r="J6"/>
  <c r="G7"/>
  <c r="H7"/>
  <c r="I7"/>
  <c r="J7"/>
  <c r="G8"/>
  <c r="H8"/>
  <c r="I8"/>
  <c r="J8"/>
  <c r="G10"/>
  <c r="H10"/>
  <c r="I10"/>
  <c r="J10"/>
  <c r="G11"/>
  <c r="H11"/>
  <c r="I11"/>
  <c r="J11"/>
  <c r="G12"/>
  <c r="H12"/>
  <c r="I12"/>
  <c r="J12"/>
  <c r="G13"/>
  <c r="H13"/>
  <c r="I13"/>
  <c r="J13"/>
  <c r="G14"/>
  <c r="H14"/>
  <c r="I14"/>
  <c r="J14"/>
  <c r="G15"/>
  <c r="H15"/>
  <c r="I15"/>
  <c r="J15"/>
  <c r="G16"/>
  <c r="H16"/>
  <c r="I16"/>
  <c r="J16"/>
  <c r="G33"/>
  <c r="H33"/>
  <c r="I33"/>
  <c r="J33"/>
  <c r="G34"/>
  <c r="H34"/>
  <c r="I34"/>
  <c r="J34"/>
  <c r="G35"/>
  <c r="H35"/>
  <c r="I35"/>
  <c r="J35"/>
  <c r="G36"/>
  <c r="H36"/>
  <c r="I36"/>
  <c r="J36"/>
  <c r="G37"/>
  <c r="H37"/>
  <c r="I37"/>
  <c r="J37"/>
  <c r="G38"/>
  <c r="H38"/>
  <c r="I38"/>
  <c r="J38"/>
  <c r="G39"/>
  <c r="H39"/>
  <c r="I39"/>
  <c r="J39"/>
  <c r="G43"/>
  <c r="H43"/>
  <c r="I43"/>
  <c r="J43"/>
  <c r="G44"/>
  <c r="H44"/>
  <c r="I44"/>
  <c r="J44"/>
  <c r="G45"/>
  <c r="H45"/>
  <c r="I45"/>
  <c r="J45"/>
  <c r="G46"/>
  <c r="H46"/>
  <c r="I46"/>
  <c r="J46"/>
  <c r="G47"/>
  <c r="H47"/>
  <c r="I47"/>
  <c r="J47"/>
  <c r="G48"/>
  <c r="H48"/>
  <c r="I48"/>
  <c r="J48"/>
  <c r="G50"/>
  <c r="H50"/>
  <c r="I50"/>
  <c r="J50"/>
  <c r="G51"/>
  <c r="H51"/>
  <c r="I51"/>
  <c r="J51"/>
  <c r="G52"/>
  <c r="H52"/>
  <c r="I52"/>
  <c r="J52"/>
  <c r="G53"/>
  <c r="H53"/>
  <c r="I53"/>
  <c r="J53"/>
  <c r="G55"/>
  <c r="H55"/>
  <c r="I55"/>
  <c r="J55"/>
  <c r="G58"/>
  <c r="H58"/>
  <c r="I58"/>
  <c r="J58"/>
  <c r="G59"/>
  <c r="H59"/>
  <c r="I59"/>
  <c r="J59"/>
  <c r="G60"/>
  <c r="H60"/>
  <c r="I60"/>
  <c r="J60"/>
  <c r="G61"/>
  <c r="H61"/>
  <c r="I61"/>
  <c r="J61"/>
  <c r="G62"/>
  <c r="H62"/>
  <c r="I62"/>
  <c r="J62"/>
  <c r="G63"/>
  <c r="H63"/>
  <c r="I63"/>
  <c r="J63"/>
  <c r="G64"/>
  <c r="H64"/>
  <c r="I64"/>
  <c r="J64"/>
  <c r="G65"/>
  <c r="H65"/>
  <c r="I65"/>
  <c r="J65"/>
  <c r="G66"/>
  <c r="H66"/>
  <c r="I66"/>
  <c r="J66"/>
  <c r="G57"/>
  <c r="H57"/>
  <c r="I57"/>
  <c r="J57"/>
  <c r="G26"/>
  <c r="H26"/>
  <c r="I26"/>
  <c r="J26"/>
  <c r="G27"/>
  <c r="H27"/>
  <c r="I27"/>
  <c r="J27"/>
  <c r="G30"/>
  <c r="H30"/>
  <c r="I30"/>
  <c r="J30"/>
  <c r="G31"/>
  <c r="H31"/>
  <c r="I31"/>
  <c r="J31"/>
  <c r="G32"/>
  <c r="H32"/>
  <c r="I32"/>
  <c r="J32"/>
  <c r="G24"/>
  <c r="H24"/>
  <c r="I24"/>
  <c r="J24"/>
  <c r="G25"/>
  <c r="H25"/>
  <c r="I25"/>
  <c r="J25"/>
  <c r="J19"/>
  <c r="J20"/>
  <c r="J21"/>
  <c r="J22"/>
  <c r="J23"/>
  <c r="I19"/>
  <c r="I20"/>
  <c r="I21"/>
  <c r="I22"/>
  <c r="I23"/>
  <c r="I3"/>
  <c r="H19"/>
  <c r="H20"/>
  <c r="H21"/>
  <c r="H22"/>
  <c r="H23"/>
  <c r="H3"/>
  <c r="G22"/>
  <c r="G21"/>
  <c r="G19"/>
  <c r="G20"/>
  <c r="G23"/>
  <c r="G3"/>
  <c r="I87" i="21" l="1"/>
  <c r="I88" s="1"/>
  <c r="H48" i="26"/>
  <c r="H49"/>
  <c r="H50"/>
  <c r="H51"/>
  <c r="H52"/>
  <c r="H53"/>
  <c r="H54"/>
  <c r="H55"/>
  <c r="R33" i="19"/>
  <c r="D16" i="18"/>
  <c r="L12" i="15"/>
  <c r="M24"/>
  <c r="L24"/>
  <c r="E26"/>
  <c r="Q368" i="8" l="1"/>
  <c r="Q369"/>
  <c r="Q370"/>
  <c r="Q367"/>
  <c r="Q366" s="1"/>
  <c r="K367"/>
  <c r="R367" s="1"/>
  <c r="K368" l="1"/>
  <c r="K369" s="1"/>
  <c r="R369" s="1"/>
  <c r="R368"/>
  <c r="Q340"/>
  <c r="Q341"/>
  <c r="Q342"/>
  <c r="Q343"/>
  <c r="Q336"/>
  <c r="Q335"/>
  <c r="Q337"/>
  <c r="Q330"/>
  <c r="Q331"/>
  <c r="Q332"/>
  <c r="R331"/>
  <c r="K370" l="1"/>
  <c r="R370" s="1"/>
  <c r="R366" s="1"/>
  <c r="L63" i="22"/>
  <c r="E63"/>
  <c r="F63" s="1"/>
  <c r="M63" s="1"/>
  <c r="E41"/>
  <c r="F41" s="1"/>
  <c r="E40"/>
  <c r="F40" s="1"/>
  <c r="E39"/>
  <c r="F39" s="1"/>
  <c r="E35"/>
  <c r="F35" s="1"/>
  <c r="L62" l="1"/>
  <c r="E62"/>
  <c r="F62" s="1"/>
  <c r="M62" s="1"/>
  <c r="E38"/>
  <c r="O133" i="21" l="1"/>
  <c r="Q361" i="8" l="1"/>
  <c r="Q362"/>
  <c r="Q363"/>
  <c r="Q364"/>
  <c r="Q365"/>
  <c r="R363"/>
  <c r="P93" i="21" l="1"/>
  <c r="P94"/>
  <c r="P95"/>
  <c r="P96"/>
  <c r="Q383" i="8" l="1"/>
  <c r="Q382"/>
  <c r="Q381"/>
  <c r="Q380"/>
  <c r="Q379" s="1"/>
  <c r="R380"/>
  <c r="K380"/>
  <c r="K381" l="1"/>
  <c r="M6" i="22"/>
  <c r="L6"/>
  <c r="R381" i="8" l="1"/>
  <c r="K382"/>
  <c r="R382" s="1"/>
  <c r="L61" i="22"/>
  <c r="F60"/>
  <c r="M60" s="1"/>
  <c r="L60"/>
  <c r="E61"/>
  <c r="F61" s="1"/>
  <c r="M61" s="1"/>
  <c r="E60"/>
  <c r="K383" i="8" l="1"/>
  <c r="E73" i="22"/>
  <c r="F73" s="1"/>
  <c r="E58" l="1"/>
  <c r="F58" s="1"/>
  <c r="F49"/>
  <c r="E48"/>
  <c r="F48" s="1"/>
  <c r="P50"/>
  <c r="M73"/>
  <c r="L73"/>
  <c r="M37" l="1"/>
  <c r="L37"/>
  <c r="Q312" i="8" l="1"/>
  <c r="Q311"/>
  <c r="Q310"/>
  <c r="K50" i="22" l="1"/>
  <c r="K31"/>
  <c r="K30"/>
  <c r="K27"/>
  <c r="K26"/>
  <c r="K23"/>
  <c r="K22"/>
  <c r="K21"/>
  <c r="K20"/>
  <c r="K19"/>
  <c r="K18"/>
  <c r="K17"/>
  <c r="K15"/>
  <c r="K14"/>
  <c r="K13"/>
  <c r="K12"/>
  <c r="K10"/>
  <c r="K9"/>
  <c r="E59"/>
  <c r="F59" s="1"/>
  <c r="F84" s="1"/>
  <c r="E57"/>
  <c r="E56"/>
  <c r="E55"/>
  <c r="E54"/>
  <c r="E53"/>
  <c r="E52"/>
  <c r="E51"/>
  <c r="E50"/>
  <c r="E19"/>
  <c r="E20"/>
  <c r="E21"/>
  <c r="E22"/>
  <c r="E23"/>
  <c r="E27"/>
  <c r="E29"/>
  <c r="E32"/>
  <c r="E34"/>
  <c r="E36"/>
  <c r="F117" l="1"/>
  <c r="F126"/>
  <c r="F124"/>
  <c r="F122"/>
  <c r="F120"/>
  <c r="F118"/>
  <c r="F116"/>
  <c r="F127"/>
  <c r="F125"/>
  <c r="F123"/>
  <c r="F121"/>
  <c r="F119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L10"/>
  <c r="L9"/>
  <c r="L8"/>
  <c r="L7"/>
  <c r="O13" i="28"/>
  <c r="O28" i="13"/>
  <c r="O29"/>
  <c r="O24"/>
  <c r="O25"/>
  <c r="G30"/>
  <c r="Q45" i="27"/>
  <c r="Q41"/>
  <c r="Q37"/>
  <c r="Q28"/>
  <c r="Q32"/>
  <c r="Q30" s="1"/>
  <c r="Q33"/>
  <c r="Q31"/>
  <c r="Q29"/>
  <c r="Q20"/>
  <c r="Q21"/>
  <c r="Q16"/>
  <c r="Q17"/>
  <c r="Q12"/>
  <c r="Q13"/>
  <c r="Q8"/>
  <c r="Q9"/>
  <c r="Q44"/>
  <c r="Q43"/>
  <c r="K43"/>
  <c r="K44" s="1"/>
  <c r="N42"/>
  <c r="G42"/>
  <c r="D42"/>
  <c r="Q40"/>
  <c r="Q39"/>
  <c r="K39"/>
  <c r="K40" s="1"/>
  <c r="R40" s="1"/>
  <c r="N38"/>
  <c r="G38"/>
  <c r="D38"/>
  <c r="G34"/>
  <c r="Q36"/>
  <c r="Q35"/>
  <c r="K35"/>
  <c r="K36" s="1"/>
  <c r="N34"/>
  <c r="D34"/>
  <c r="H425" i="8"/>
  <c r="R35" i="27" l="1"/>
  <c r="Q34"/>
  <c r="Q42"/>
  <c r="R43"/>
  <c r="K45"/>
  <c r="R45" s="1"/>
  <c r="R44"/>
  <c r="Q38"/>
  <c r="R39"/>
  <c r="K41"/>
  <c r="R41" s="1"/>
  <c r="R36"/>
  <c r="K37"/>
  <c r="R37" s="1"/>
  <c r="H445" i="8"/>
  <c r="H516"/>
  <c r="H428"/>
  <c r="H429"/>
  <c r="H432"/>
  <c r="H434"/>
  <c r="H435"/>
  <c r="H437"/>
  <c r="H439"/>
  <c r="H440"/>
  <c r="H444"/>
  <c r="H447"/>
  <c r="H448"/>
  <c r="H449"/>
  <c r="H450"/>
  <c r="H451"/>
  <c r="H452"/>
  <c r="H455"/>
  <c r="H457"/>
  <c r="H458"/>
  <c r="H459"/>
  <c r="H460"/>
  <c r="H461"/>
  <c r="H462"/>
  <c r="H463"/>
  <c r="H464"/>
  <c r="H465"/>
  <c r="H467"/>
  <c r="H468"/>
  <c r="H469"/>
  <c r="H470"/>
  <c r="H471"/>
  <c r="H472"/>
  <c r="H473"/>
  <c r="H474"/>
  <c r="H475"/>
  <c r="H476"/>
  <c r="H477"/>
  <c r="H482"/>
  <c r="H485"/>
  <c r="H486"/>
  <c r="H487"/>
  <c r="H488"/>
  <c r="H511"/>
  <c r="H489"/>
  <c r="H490"/>
  <c r="H491"/>
  <c r="H492"/>
  <c r="H493"/>
  <c r="H494"/>
  <c r="H495"/>
  <c r="H496"/>
  <c r="H497"/>
  <c r="H498"/>
  <c r="H499"/>
  <c r="H501"/>
  <c r="H503"/>
  <c r="H504"/>
  <c r="H505"/>
  <c r="H506"/>
  <c r="H507"/>
  <c r="H508"/>
  <c r="H509"/>
  <c r="H510"/>
  <c r="H512"/>
  <c r="H513"/>
  <c r="H514"/>
  <c r="H517"/>
  <c r="H518"/>
  <c r="H519"/>
  <c r="H520"/>
  <c r="H521"/>
  <c r="H522"/>
  <c r="H523"/>
  <c r="H524"/>
  <c r="H525"/>
  <c r="N245"/>
  <c r="N253"/>
  <c r="N260"/>
  <c r="N268"/>
  <c r="N217"/>
  <c r="N276"/>
  <c r="N284"/>
  <c r="N291"/>
  <c r="N299"/>
  <c r="N307"/>
  <c r="N313"/>
  <c r="N320"/>
  <c r="H483"/>
  <c r="H478"/>
  <c r="H466"/>
  <c r="H456"/>
  <c r="H454"/>
  <c r="H453"/>
  <c r="H446"/>
  <c r="H443"/>
  <c r="H442"/>
  <c r="H441"/>
  <c r="H438"/>
  <c r="H436"/>
  <c r="H433"/>
  <c r="H431"/>
  <c r="H430"/>
  <c r="H427"/>
  <c r="H426"/>
  <c r="H424"/>
  <c r="H423"/>
  <c r="H422"/>
  <c r="H421"/>
  <c r="R42" i="27" l="1"/>
  <c r="T42" s="1"/>
  <c r="R38"/>
  <c r="T38" s="1"/>
  <c r="R34"/>
  <c r="T34" s="1"/>
  <c r="H538" i="8"/>
  <c r="I30" i="27" l="1"/>
  <c r="C17" i="29" l="1"/>
  <c r="C68"/>
  <c r="C40"/>
  <c r="C5"/>
  <c r="C18"/>
  <c r="C67"/>
  <c r="C29"/>
  <c r="C49"/>
  <c r="C28"/>
  <c r="C42"/>
  <c r="C54"/>
  <c r="C69"/>
  <c r="C9"/>
  <c r="C56"/>
  <c r="C41"/>
  <c r="C6"/>
  <c r="C11"/>
  <c r="C15"/>
  <c r="C35"/>
  <c r="C39"/>
  <c r="C46"/>
  <c r="C51"/>
  <c r="C58"/>
  <c r="C62"/>
  <c r="C66"/>
  <c r="C30"/>
  <c r="C25"/>
  <c r="C19"/>
  <c r="C23"/>
  <c r="C7"/>
  <c r="C12"/>
  <c r="C16"/>
  <c r="C36"/>
  <c r="C43"/>
  <c r="C47"/>
  <c r="C52"/>
  <c r="C59"/>
  <c r="C63"/>
  <c r="C57"/>
  <c r="C31"/>
  <c r="C21"/>
  <c r="C20"/>
  <c r="C8"/>
  <c r="C13"/>
  <c r="C33"/>
  <c r="C37"/>
  <c r="C44"/>
  <c r="C48"/>
  <c r="C53"/>
  <c r="C60"/>
  <c r="C64"/>
  <c r="C26"/>
  <c r="C32"/>
  <c r="C22"/>
  <c r="C3"/>
  <c r="C4"/>
  <c r="C10"/>
  <c r="C14"/>
  <c r="C34"/>
  <c r="C38"/>
  <c r="C45"/>
  <c r="C50"/>
  <c r="C55"/>
  <c r="C61"/>
  <c r="C65"/>
  <c r="C27"/>
  <c r="C24"/>
  <c r="K31" i="27"/>
  <c r="K32" s="1"/>
  <c r="R32" s="1"/>
  <c r="I49"/>
  <c r="N26"/>
  <c r="K33" l="1"/>
  <c r="R33" s="1"/>
  <c r="P130" i="21"/>
  <c r="P131"/>
  <c r="P132"/>
  <c r="Q132"/>
  <c r="Q133"/>
  <c r="K354" i="8" l="1"/>
  <c r="K355" l="1"/>
  <c r="K357" s="1"/>
  <c r="K358" s="1"/>
  <c r="K11" i="25"/>
  <c r="H11"/>
  <c r="D11"/>
  <c r="L10"/>
  <c r="K10"/>
  <c r="L6"/>
  <c r="L11" s="1"/>
  <c r="J6"/>
  <c r="L1"/>
  <c r="D26" i="18"/>
  <c r="J16"/>
  <c r="J14" s="1"/>
  <c r="K16"/>
  <c r="K15"/>
  <c r="J15"/>
  <c r="D15"/>
  <c r="G14"/>
  <c r="K13"/>
  <c r="J13"/>
  <c r="I13"/>
  <c r="J12"/>
  <c r="I12"/>
  <c r="K11"/>
  <c r="K10" s="1"/>
  <c r="J11"/>
  <c r="I11"/>
  <c r="G10"/>
  <c r="C10"/>
  <c r="C17" s="1"/>
  <c r="B15" i="19" s="1"/>
  <c r="K9" i="18"/>
  <c r="J9"/>
  <c r="I9"/>
  <c r="K8"/>
  <c r="J8"/>
  <c r="I8"/>
  <c r="K7"/>
  <c r="J7"/>
  <c r="I7"/>
  <c r="C7"/>
  <c r="C8" s="1"/>
  <c r="C9" s="1"/>
  <c r="G6"/>
  <c r="K2"/>
  <c r="H15" i="12"/>
  <c r="E15"/>
  <c r="D15"/>
  <c r="L14"/>
  <c r="K14"/>
  <c r="L13"/>
  <c r="K13"/>
  <c r="L12"/>
  <c r="K12"/>
  <c r="L11"/>
  <c r="K11"/>
  <c r="L10"/>
  <c r="K10"/>
  <c r="L9"/>
  <c r="K9"/>
  <c r="L8"/>
  <c r="K8"/>
  <c r="L7"/>
  <c r="K7"/>
  <c r="H12" i="24"/>
  <c r="R54" i="19" s="1"/>
  <c r="D12" i="24"/>
  <c r="B14" i="19" s="1"/>
  <c r="K10" i="24"/>
  <c r="K8"/>
  <c r="L7"/>
  <c r="K7"/>
  <c r="L6"/>
  <c r="K6"/>
  <c r="J6"/>
  <c r="L1"/>
  <c r="M12" i="15"/>
  <c r="M11"/>
  <c r="I10"/>
  <c r="M9"/>
  <c r="L9"/>
  <c r="M8"/>
  <c r="L8"/>
  <c r="K8"/>
  <c r="M7"/>
  <c r="L7"/>
  <c r="K7"/>
  <c r="M2"/>
  <c r="E22" i="23"/>
  <c r="E21"/>
  <c r="E20"/>
  <c r="E19"/>
  <c r="E15"/>
  <c r="D15"/>
  <c r="L14"/>
  <c r="K14"/>
  <c r="L13"/>
  <c r="K13"/>
  <c r="L12"/>
  <c r="K12"/>
  <c r="J12"/>
  <c r="L11"/>
  <c r="J11"/>
  <c r="H11"/>
  <c r="K11" s="1"/>
  <c r="L10"/>
  <c r="K10"/>
  <c r="L9"/>
  <c r="K9"/>
  <c r="L8"/>
  <c r="K8"/>
  <c r="J8"/>
  <c r="L7"/>
  <c r="J7"/>
  <c r="H7"/>
  <c r="H47" i="26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I17"/>
  <c r="D17"/>
  <c r="B11" i="19" s="1"/>
  <c r="L15" i="26"/>
  <c r="F15"/>
  <c r="M15" s="1"/>
  <c r="M14"/>
  <c r="L14"/>
  <c r="F14"/>
  <c r="M13"/>
  <c r="M12"/>
  <c r="M11"/>
  <c r="L11"/>
  <c r="M10"/>
  <c r="L10"/>
  <c r="K10"/>
  <c r="M7"/>
  <c r="L7"/>
  <c r="M6"/>
  <c r="L6"/>
  <c r="K6"/>
  <c r="L1"/>
  <c r="L59" i="22"/>
  <c r="M58"/>
  <c r="L58"/>
  <c r="L57"/>
  <c r="L56"/>
  <c r="L55"/>
  <c r="L54"/>
  <c r="L53"/>
  <c r="L52"/>
  <c r="L51"/>
  <c r="M50"/>
  <c r="L50"/>
  <c r="L49"/>
  <c r="L48"/>
  <c r="M47"/>
  <c r="L47"/>
  <c r="M46"/>
  <c r="L46"/>
  <c r="M45"/>
  <c r="L45"/>
  <c r="M42"/>
  <c r="I42"/>
  <c r="I84" s="1"/>
  <c r="M36"/>
  <c r="M35"/>
  <c r="L35"/>
  <c r="M34"/>
  <c r="M33"/>
  <c r="L33"/>
  <c r="M32"/>
  <c r="L32"/>
  <c r="M31"/>
  <c r="L31"/>
  <c r="M30"/>
  <c r="L30"/>
  <c r="L29"/>
  <c r="L27"/>
  <c r="L26"/>
  <c r="L25"/>
  <c r="L24"/>
  <c r="L23"/>
  <c r="L22"/>
  <c r="L21"/>
  <c r="L20"/>
  <c r="L19"/>
  <c r="L18"/>
  <c r="L17"/>
  <c r="L16"/>
  <c r="L15"/>
  <c r="L14"/>
  <c r="L13"/>
  <c r="L12"/>
  <c r="L11"/>
  <c r="M2"/>
  <c r="K37" s="1"/>
  <c r="F30" i="14"/>
  <c r="F29"/>
  <c r="F28"/>
  <c r="F27"/>
  <c r="F26"/>
  <c r="F25"/>
  <c r="F24"/>
  <c r="F23"/>
  <c r="F22"/>
  <c r="F21"/>
  <c r="F16"/>
  <c r="M15"/>
  <c r="L15"/>
  <c r="L13" s="1"/>
  <c r="M14"/>
  <c r="M13" s="1"/>
  <c r="L14"/>
  <c r="E14"/>
  <c r="E15" s="1"/>
  <c r="I13"/>
  <c r="C13"/>
  <c r="D13" s="1"/>
  <c r="M12"/>
  <c r="M11" s="1"/>
  <c r="L12"/>
  <c r="L11" s="1"/>
  <c r="E12"/>
  <c r="I11"/>
  <c r="M10"/>
  <c r="L10"/>
  <c r="M9"/>
  <c r="L9"/>
  <c r="M8"/>
  <c r="L8"/>
  <c r="E8"/>
  <c r="M7"/>
  <c r="L7"/>
  <c r="E7"/>
  <c r="I6"/>
  <c r="M2"/>
  <c r="K12" s="1"/>
  <c r="H23" i="10"/>
  <c r="H22"/>
  <c r="H21"/>
  <c r="H20"/>
  <c r="H19"/>
  <c r="H18"/>
  <c r="H14"/>
  <c r="G14"/>
  <c r="O13"/>
  <c r="Q13" s="1"/>
  <c r="O12"/>
  <c r="N12"/>
  <c r="O11"/>
  <c r="N11"/>
  <c r="G11"/>
  <c r="G12" s="1"/>
  <c r="K10"/>
  <c r="K23" s="1"/>
  <c r="O9"/>
  <c r="N9"/>
  <c r="O8"/>
  <c r="N8"/>
  <c r="O7"/>
  <c r="N7"/>
  <c r="M7"/>
  <c r="G7"/>
  <c r="G8" s="1"/>
  <c r="K6"/>
  <c r="O2"/>
  <c r="M11" s="1"/>
  <c r="K11" i="11"/>
  <c r="H11"/>
  <c r="E11"/>
  <c r="D11"/>
  <c r="L10"/>
  <c r="K10"/>
  <c r="L9"/>
  <c r="K9"/>
  <c r="L2"/>
  <c r="J10" s="1"/>
  <c r="G14" i="28"/>
  <c r="I13"/>
  <c r="P13" s="1"/>
  <c r="O12"/>
  <c r="I12"/>
  <c r="P12" s="1"/>
  <c r="O11"/>
  <c r="I11"/>
  <c r="L10"/>
  <c r="O9"/>
  <c r="I9"/>
  <c r="P9" s="1"/>
  <c r="O8"/>
  <c r="I8"/>
  <c r="O7"/>
  <c r="I7"/>
  <c r="J33" i="19" s="1"/>
  <c r="J35" s="1"/>
  <c r="L6" i="28"/>
  <c r="P2"/>
  <c r="I29" i="13"/>
  <c r="P29" s="1"/>
  <c r="I28"/>
  <c r="P28" s="1"/>
  <c r="P27"/>
  <c r="O27"/>
  <c r="I27"/>
  <c r="L26"/>
  <c r="I25"/>
  <c r="P25" s="1"/>
  <c r="I24"/>
  <c r="P24" s="1"/>
  <c r="P23"/>
  <c r="O23"/>
  <c r="O22" s="1"/>
  <c r="I23"/>
  <c r="L22"/>
  <c r="P21"/>
  <c r="O21"/>
  <c r="P20"/>
  <c r="O20"/>
  <c r="P19"/>
  <c r="O19"/>
  <c r="P18"/>
  <c r="O18"/>
  <c r="N18"/>
  <c r="H18"/>
  <c r="H19" s="1"/>
  <c r="H20" s="1"/>
  <c r="L17"/>
  <c r="P16"/>
  <c r="O16"/>
  <c r="P15"/>
  <c r="O15"/>
  <c r="N15"/>
  <c r="H15"/>
  <c r="H16" s="1"/>
  <c r="L14"/>
  <c r="E14"/>
  <c r="P13"/>
  <c r="O13"/>
  <c r="P12"/>
  <c r="O12"/>
  <c r="N12"/>
  <c r="H12"/>
  <c r="L11"/>
  <c r="E11"/>
  <c r="P10"/>
  <c r="P9" s="1"/>
  <c r="O10"/>
  <c r="O9" s="1"/>
  <c r="N10"/>
  <c r="L9"/>
  <c r="O7"/>
  <c r="O6" s="1"/>
  <c r="P6"/>
  <c r="L6"/>
  <c r="P2"/>
  <c r="N19" s="1"/>
  <c r="E42" i="9"/>
  <c r="G41"/>
  <c r="N41" s="1"/>
  <c r="N40"/>
  <c r="G39"/>
  <c r="N39" s="1"/>
  <c r="M38"/>
  <c r="J38"/>
  <c r="N37"/>
  <c r="M37"/>
  <c r="N36"/>
  <c r="M36"/>
  <c r="N35"/>
  <c r="M35"/>
  <c r="F35"/>
  <c r="J34"/>
  <c r="N33"/>
  <c r="M33"/>
  <c r="G33"/>
  <c r="N32"/>
  <c r="M32"/>
  <c r="G32"/>
  <c r="N31"/>
  <c r="M31"/>
  <c r="L31"/>
  <c r="F31"/>
  <c r="J30"/>
  <c r="N29"/>
  <c r="M29"/>
  <c r="N28"/>
  <c r="M28"/>
  <c r="N27"/>
  <c r="M27"/>
  <c r="F27"/>
  <c r="J26"/>
  <c r="N25"/>
  <c r="J25"/>
  <c r="N24"/>
  <c r="L24"/>
  <c r="J24"/>
  <c r="N23"/>
  <c r="M23"/>
  <c r="F23"/>
  <c r="N21"/>
  <c r="M21"/>
  <c r="N20"/>
  <c r="M20"/>
  <c r="G20"/>
  <c r="G72" s="1"/>
  <c r="N19"/>
  <c r="M19"/>
  <c r="L19"/>
  <c r="F19"/>
  <c r="J18"/>
  <c r="C18"/>
  <c r="N17"/>
  <c r="M17"/>
  <c r="N16"/>
  <c r="M16"/>
  <c r="N15"/>
  <c r="M15"/>
  <c r="F15"/>
  <c r="J14"/>
  <c r="N13"/>
  <c r="M13"/>
  <c r="N12"/>
  <c r="M12"/>
  <c r="N11"/>
  <c r="M11"/>
  <c r="F11"/>
  <c r="J10"/>
  <c r="N9"/>
  <c r="J9"/>
  <c r="M9" s="1"/>
  <c r="N8"/>
  <c r="M8"/>
  <c r="N7"/>
  <c r="M7"/>
  <c r="L7"/>
  <c r="F7"/>
  <c r="C6"/>
  <c r="N2"/>
  <c r="L12" s="1"/>
  <c r="H46" i="5"/>
  <c r="L45"/>
  <c r="E45"/>
  <c r="K45" s="1"/>
  <c r="L44"/>
  <c r="K44"/>
  <c r="L43"/>
  <c r="J43"/>
  <c r="K42"/>
  <c r="O42" s="1"/>
  <c r="Q42" s="1"/>
  <c r="Q46" s="1"/>
  <c r="J42"/>
  <c r="K41"/>
  <c r="J41"/>
  <c r="O40"/>
  <c r="J40"/>
  <c r="E38"/>
  <c r="E78" s="1"/>
  <c r="L37"/>
  <c r="K37"/>
  <c r="K32" s="1"/>
  <c r="J37"/>
  <c r="O36"/>
  <c r="L36"/>
  <c r="J36"/>
  <c r="O35"/>
  <c r="L35"/>
  <c r="J35"/>
  <c r="O34"/>
  <c r="L34"/>
  <c r="J34"/>
  <c r="O33"/>
  <c r="P33" s="1"/>
  <c r="L33"/>
  <c r="J33"/>
  <c r="H32"/>
  <c r="D32"/>
  <c r="L31"/>
  <c r="K31"/>
  <c r="O31" s="1"/>
  <c r="P31" s="1"/>
  <c r="J31"/>
  <c r="L30"/>
  <c r="K30"/>
  <c r="O30" s="1"/>
  <c r="J30"/>
  <c r="L29"/>
  <c r="K29"/>
  <c r="O29" s="1"/>
  <c r="J29"/>
  <c r="L28"/>
  <c r="K28"/>
  <c r="O28" s="1"/>
  <c r="J28"/>
  <c r="L27"/>
  <c r="K27"/>
  <c r="O27" s="1"/>
  <c r="J27"/>
  <c r="H26"/>
  <c r="D26"/>
  <c r="L25"/>
  <c r="L24" s="1"/>
  <c r="J25"/>
  <c r="H24"/>
  <c r="L23"/>
  <c r="K23"/>
  <c r="O23" s="1"/>
  <c r="P23" s="1"/>
  <c r="J23"/>
  <c r="L22"/>
  <c r="K22"/>
  <c r="O22" s="1"/>
  <c r="J22"/>
  <c r="L21"/>
  <c r="K21"/>
  <c r="O21" s="1"/>
  <c r="J21"/>
  <c r="L20"/>
  <c r="K20"/>
  <c r="J20"/>
  <c r="L19"/>
  <c r="K19"/>
  <c r="O19" s="1"/>
  <c r="P19" s="1"/>
  <c r="J19"/>
  <c r="H18"/>
  <c r="D18"/>
  <c r="L17"/>
  <c r="K17"/>
  <c r="O16"/>
  <c r="L16"/>
  <c r="K16"/>
  <c r="J16"/>
  <c r="O15"/>
  <c r="L15"/>
  <c r="K15"/>
  <c r="J15"/>
  <c r="O14"/>
  <c r="L14"/>
  <c r="K14"/>
  <c r="J14"/>
  <c r="O13"/>
  <c r="L13"/>
  <c r="K13"/>
  <c r="K12" s="1"/>
  <c r="O12" s="1"/>
  <c r="J13"/>
  <c r="H12"/>
  <c r="D12"/>
  <c r="L11"/>
  <c r="K11"/>
  <c r="O11" s="1"/>
  <c r="J11"/>
  <c r="L10"/>
  <c r="K10"/>
  <c r="O10" s="1"/>
  <c r="P10" s="1"/>
  <c r="J10"/>
  <c r="L9"/>
  <c r="K9"/>
  <c r="O9" s="1"/>
  <c r="J9"/>
  <c r="L8"/>
  <c r="K8"/>
  <c r="O8" s="1"/>
  <c r="J8"/>
  <c r="L7"/>
  <c r="K7"/>
  <c r="O7" s="1"/>
  <c r="J7"/>
  <c r="H6"/>
  <c r="D6"/>
  <c r="R31" i="27"/>
  <c r="R30" s="1"/>
  <c r="N30"/>
  <c r="G30"/>
  <c r="D30"/>
  <c r="R27"/>
  <c r="Q27"/>
  <c r="K27"/>
  <c r="G26"/>
  <c r="D26"/>
  <c r="Q25"/>
  <c r="Q24"/>
  <c r="Q23"/>
  <c r="K23"/>
  <c r="K24" s="1"/>
  <c r="K25" s="1"/>
  <c r="R25" s="1"/>
  <c r="N22"/>
  <c r="G22"/>
  <c r="D22"/>
  <c r="Q19"/>
  <c r="K19"/>
  <c r="K20" s="1"/>
  <c r="R20" s="1"/>
  <c r="N18"/>
  <c r="G18"/>
  <c r="D18"/>
  <c r="Q15"/>
  <c r="K15"/>
  <c r="K16" s="1"/>
  <c r="N14"/>
  <c r="G14"/>
  <c r="D14"/>
  <c r="Q11"/>
  <c r="Q10" s="1"/>
  <c r="K11"/>
  <c r="N10"/>
  <c r="G10"/>
  <c r="D10"/>
  <c r="R7"/>
  <c r="Q7"/>
  <c r="Q6" s="1"/>
  <c r="K7"/>
  <c r="N6"/>
  <c r="G6"/>
  <c r="D6"/>
  <c r="R2"/>
  <c r="I398" i="8"/>
  <c r="B3" i="19" s="1"/>
  <c r="R395" i="8"/>
  <c r="R394" s="1"/>
  <c r="Q395"/>
  <c r="Q394" s="1"/>
  <c r="N394"/>
  <c r="G394"/>
  <c r="D394"/>
  <c r="R393"/>
  <c r="R392" s="1"/>
  <c r="Q393"/>
  <c r="Q392" s="1"/>
  <c r="N392"/>
  <c r="G392"/>
  <c r="D392"/>
  <c r="R391"/>
  <c r="R390" s="1"/>
  <c r="Q391"/>
  <c r="Q390" s="1"/>
  <c r="N390"/>
  <c r="G390"/>
  <c r="D390"/>
  <c r="R389"/>
  <c r="R388" s="1"/>
  <c r="Q389"/>
  <c r="Q388" s="1"/>
  <c r="N388"/>
  <c r="G388"/>
  <c r="D388"/>
  <c r="R387"/>
  <c r="R386" s="1"/>
  <c r="Q387"/>
  <c r="Q386" s="1"/>
  <c r="N386"/>
  <c r="G386"/>
  <c r="D386"/>
  <c r="R385"/>
  <c r="R384" s="1"/>
  <c r="Q385"/>
  <c r="Q384" s="1"/>
  <c r="N384"/>
  <c r="G384"/>
  <c r="D384"/>
  <c r="R383"/>
  <c r="R379" s="1"/>
  <c r="N379"/>
  <c r="G379"/>
  <c r="D379"/>
  <c r="R378"/>
  <c r="R377" s="1"/>
  <c r="Q378"/>
  <c r="Q377" s="1"/>
  <c r="N377"/>
  <c r="G377"/>
  <c r="D377"/>
  <c r="R376"/>
  <c r="R375" s="1"/>
  <c r="Q376"/>
  <c r="Q375" s="1"/>
  <c r="N375"/>
  <c r="G375"/>
  <c r="D375"/>
  <c r="R374"/>
  <c r="R373" s="1"/>
  <c r="Q374"/>
  <c r="Q373" s="1"/>
  <c r="N373"/>
  <c r="G373"/>
  <c r="D373"/>
  <c r="R372"/>
  <c r="R371" s="1"/>
  <c r="Q372"/>
  <c r="Q371" s="1"/>
  <c r="N371"/>
  <c r="G371"/>
  <c r="D371"/>
  <c r="N366"/>
  <c r="G366"/>
  <c r="D366"/>
  <c r="Q360"/>
  <c r="K360"/>
  <c r="N359"/>
  <c r="G359"/>
  <c r="D359"/>
  <c r="Q358"/>
  <c r="Q357"/>
  <c r="R357"/>
  <c r="R355"/>
  <c r="Q355"/>
  <c r="R353"/>
  <c r="Q353"/>
  <c r="N352"/>
  <c r="G352"/>
  <c r="D352"/>
  <c r="R351"/>
  <c r="R350" s="1"/>
  <c r="Q351"/>
  <c r="Q350" s="1"/>
  <c r="N350"/>
  <c r="D350"/>
  <c r="R349"/>
  <c r="R348" s="1"/>
  <c r="Q349"/>
  <c r="Q348" s="1"/>
  <c r="N348"/>
  <c r="D348"/>
  <c r="R347"/>
  <c r="R346" s="1"/>
  <c r="Q347"/>
  <c r="Q346" s="1"/>
  <c r="N346"/>
  <c r="D346"/>
  <c r="R345"/>
  <c r="R344" s="1"/>
  <c r="Q345"/>
  <c r="Q344" s="1"/>
  <c r="N344"/>
  <c r="D344"/>
  <c r="R339"/>
  <c r="Q339"/>
  <c r="K339"/>
  <c r="N338"/>
  <c r="G338"/>
  <c r="D338"/>
  <c r="R228"/>
  <c r="Q228"/>
  <c r="R227"/>
  <c r="Q227"/>
  <c r="Q226"/>
  <c r="R225"/>
  <c r="Q225"/>
  <c r="K225"/>
  <c r="K226" s="1"/>
  <c r="R224"/>
  <c r="Q224"/>
  <c r="N223"/>
  <c r="G223"/>
  <c r="D223"/>
  <c r="R334"/>
  <c r="Q334"/>
  <c r="K334"/>
  <c r="N333"/>
  <c r="D333"/>
  <c r="R329"/>
  <c r="Q329"/>
  <c r="K329"/>
  <c r="N328"/>
  <c r="D328"/>
  <c r="Q327"/>
  <c r="R326"/>
  <c r="Q326"/>
  <c r="R325"/>
  <c r="Q325"/>
  <c r="R324"/>
  <c r="Q324"/>
  <c r="R323"/>
  <c r="Q323"/>
  <c r="R322"/>
  <c r="Q322"/>
  <c r="R321"/>
  <c r="Q321"/>
  <c r="K321"/>
  <c r="K322" s="1"/>
  <c r="G320"/>
  <c r="D320"/>
  <c r="Q319"/>
  <c r="Q318"/>
  <c r="R317"/>
  <c r="Q317"/>
  <c r="R316"/>
  <c r="Q316"/>
  <c r="R314"/>
  <c r="Q314"/>
  <c r="K314"/>
  <c r="G313"/>
  <c r="D313"/>
  <c r="R309"/>
  <c r="Q309"/>
  <c r="R308"/>
  <c r="Q308"/>
  <c r="K308"/>
  <c r="K309" s="1"/>
  <c r="D307"/>
  <c r="Q306"/>
  <c r="Q305"/>
  <c r="R304"/>
  <c r="Q304"/>
  <c r="R303"/>
  <c r="Q303"/>
  <c r="R302"/>
  <c r="Q302"/>
  <c r="R301"/>
  <c r="Q301"/>
  <c r="R300"/>
  <c r="Q300"/>
  <c r="K300"/>
  <c r="K302" s="1"/>
  <c r="G299"/>
  <c r="D299"/>
  <c r="Q298"/>
  <c r="Q297"/>
  <c r="R296"/>
  <c r="Q296"/>
  <c r="R295"/>
  <c r="Q295"/>
  <c r="R294"/>
  <c r="Q294"/>
  <c r="R293"/>
  <c r="Q293"/>
  <c r="R292"/>
  <c r="Q292"/>
  <c r="K292"/>
  <c r="K296" s="1"/>
  <c r="G291"/>
  <c r="D291"/>
  <c r="Q290"/>
  <c r="Q289"/>
  <c r="Q288"/>
  <c r="Q287"/>
  <c r="R286"/>
  <c r="Q286"/>
  <c r="Q285"/>
  <c r="K285"/>
  <c r="K286" s="1"/>
  <c r="K288" s="1"/>
  <c r="G284"/>
  <c r="D284"/>
  <c r="Q283"/>
  <c r="Q282"/>
  <c r="Q281"/>
  <c r="K281"/>
  <c r="Q280"/>
  <c r="K280"/>
  <c r="R279"/>
  <c r="Q279"/>
  <c r="R278"/>
  <c r="Q278"/>
  <c r="R277"/>
  <c r="Q277"/>
  <c r="K277"/>
  <c r="G276"/>
  <c r="D276"/>
  <c r="R222"/>
  <c r="Q222"/>
  <c r="P222"/>
  <c r="R221"/>
  <c r="Q221"/>
  <c r="P221"/>
  <c r="R220"/>
  <c r="Q220"/>
  <c r="P220"/>
  <c r="R219"/>
  <c r="Q219"/>
  <c r="P219"/>
  <c r="R218"/>
  <c r="Q218"/>
  <c r="P218"/>
  <c r="K218"/>
  <c r="J218" s="1"/>
  <c r="G217"/>
  <c r="D217"/>
  <c r="R275"/>
  <c r="R274" s="1"/>
  <c r="Q275"/>
  <c r="Q274" s="1"/>
  <c r="N274"/>
  <c r="G274"/>
  <c r="D274"/>
  <c r="Q273"/>
  <c r="R272"/>
  <c r="Q272"/>
  <c r="R271"/>
  <c r="Q271"/>
  <c r="R270"/>
  <c r="Q270"/>
  <c r="R269"/>
  <c r="Q269"/>
  <c r="P269"/>
  <c r="K269"/>
  <c r="K270" s="1"/>
  <c r="G268"/>
  <c r="D268"/>
  <c r="Q267"/>
  <c r="R266"/>
  <c r="Q265"/>
  <c r="Q264"/>
  <c r="R263"/>
  <c r="Q263"/>
  <c r="R262"/>
  <c r="Q262"/>
  <c r="R261"/>
  <c r="Q261"/>
  <c r="K261"/>
  <c r="G260"/>
  <c r="D260"/>
  <c r="Q259"/>
  <c r="R258"/>
  <c r="Q258"/>
  <c r="Q257"/>
  <c r="R256"/>
  <c r="Q256"/>
  <c r="R255"/>
  <c r="Q255"/>
  <c r="R254"/>
  <c r="Q254"/>
  <c r="K254"/>
  <c r="K255" s="1"/>
  <c r="G253"/>
  <c r="D253"/>
  <c r="R216"/>
  <c r="Q216"/>
  <c r="R215"/>
  <c r="Q215"/>
  <c r="Q214"/>
  <c r="Q213"/>
  <c r="R212"/>
  <c r="Q212"/>
  <c r="P212"/>
  <c r="K212"/>
  <c r="K214" s="1"/>
  <c r="K215" s="1"/>
  <c r="K216" s="1"/>
  <c r="N211"/>
  <c r="G211"/>
  <c r="D211"/>
  <c r="R252"/>
  <c r="R251" s="1"/>
  <c r="Q252"/>
  <c r="Q251" s="1"/>
  <c r="N251"/>
  <c r="G251"/>
  <c r="D251"/>
  <c r="Q250"/>
  <c r="R249"/>
  <c r="Q249"/>
  <c r="R248"/>
  <c r="Q248"/>
  <c r="Q247"/>
  <c r="R246"/>
  <c r="Q246"/>
  <c r="K246"/>
  <c r="D245"/>
  <c r="R210"/>
  <c r="Q210"/>
  <c r="P210"/>
  <c r="R209"/>
  <c r="Q209"/>
  <c r="P209"/>
  <c r="K209"/>
  <c r="K210" s="1"/>
  <c r="R208"/>
  <c r="Q208"/>
  <c r="P208"/>
  <c r="R207"/>
  <c r="Q207"/>
  <c r="P207"/>
  <c r="R206"/>
  <c r="Q206"/>
  <c r="P206"/>
  <c r="R205"/>
  <c r="Q205"/>
  <c r="P205"/>
  <c r="J205"/>
  <c r="J206" s="1"/>
  <c r="N204"/>
  <c r="G204"/>
  <c r="D204"/>
  <c r="R203"/>
  <c r="Q203"/>
  <c r="P203"/>
  <c r="K203"/>
  <c r="R202"/>
  <c r="P202"/>
  <c r="R201"/>
  <c r="P201"/>
  <c r="R200"/>
  <c r="Q200"/>
  <c r="P200"/>
  <c r="R199"/>
  <c r="Q199"/>
  <c r="P199"/>
  <c r="R198"/>
  <c r="Q198"/>
  <c r="P198"/>
  <c r="J198"/>
  <c r="J199" s="1"/>
  <c r="N197"/>
  <c r="D197"/>
  <c r="R196"/>
  <c r="R195" s="1"/>
  <c r="Q196"/>
  <c r="Q195" s="1"/>
  <c r="N195"/>
  <c r="D195"/>
  <c r="R244"/>
  <c r="R243" s="1"/>
  <c r="Q244"/>
  <c r="Q243" s="1"/>
  <c r="N243"/>
  <c r="D243"/>
  <c r="Q242"/>
  <c r="R241"/>
  <c r="Q241"/>
  <c r="P241"/>
  <c r="R240"/>
  <c r="Q240"/>
  <c r="P240"/>
  <c r="R239"/>
  <c r="Q239"/>
  <c r="P239"/>
  <c r="R238"/>
  <c r="Q238"/>
  <c r="P238"/>
  <c r="R237"/>
  <c r="Q237"/>
  <c r="P237"/>
  <c r="R236"/>
  <c r="Q236"/>
  <c r="P236"/>
  <c r="R235"/>
  <c r="Q235"/>
  <c r="P235"/>
  <c r="R234"/>
  <c r="Q234"/>
  <c r="P234"/>
  <c r="K234"/>
  <c r="K236" s="1"/>
  <c r="N233"/>
  <c r="D233"/>
  <c r="R232"/>
  <c r="R231" s="1"/>
  <c r="Q232"/>
  <c r="Q231" s="1"/>
  <c r="N231"/>
  <c r="G231"/>
  <c r="D231"/>
  <c r="R194"/>
  <c r="Q194"/>
  <c r="P194"/>
  <c r="R193"/>
  <c r="Q193"/>
  <c r="P193"/>
  <c r="R192"/>
  <c r="Q192"/>
  <c r="P192"/>
  <c r="R191"/>
  <c r="Q191"/>
  <c r="P191"/>
  <c r="N190"/>
  <c r="R189"/>
  <c r="Q189"/>
  <c r="R188"/>
  <c r="Q188"/>
  <c r="R187"/>
  <c r="Q187"/>
  <c r="P187"/>
  <c r="R186"/>
  <c r="Q186"/>
  <c r="P186"/>
  <c r="R185"/>
  <c r="Q185"/>
  <c r="P185"/>
  <c r="K185"/>
  <c r="K186" s="1"/>
  <c r="N184"/>
  <c r="G184"/>
  <c r="D184"/>
  <c r="R183"/>
  <c r="Q183"/>
  <c r="P183"/>
  <c r="Q182"/>
  <c r="P182"/>
  <c r="K182"/>
  <c r="K183" s="1"/>
  <c r="R181"/>
  <c r="Q181"/>
  <c r="P181"/>
  <c r="R180"/>
  <c r="Q180"/>
  <c r="P180"/>
  <c r="R179"/>
  <c r="Q179"/>
  <c r="P179"/>
  <c r="R178"/>
  <c r="Q178"/>
  <c r="P178"/>
  <c r="J178"/>
  <c r="J179" s="1"/>
  <c r="N177"/>
  <c r="D177"/>
  <c r="R176"/>
  <c r="R175" s="1"/>
  <c r="Q176"/>
  <c r="Q175" s="1"/>
  <c r="N175"/>
  <c r="G175"/>
  <c r="D175"/>
  <c r="R174"/>
  <c r="Q174"/>
  <c r="P174"/>
  <c r="K174"/>
  <c r="R173"/>
  <c r="Q173"/>
  <c r="P173"/>
  <c r="R172"/>
  <c r="Q172"/>
  <c r="P172"/>
  <c r="R171"/>
  <c r="Q171"/>
  <c r="P171"/>
  <c r="R170"/>
  <c r="Q170"/>
  <c r="P170"/>
  <c r="R169"/>
  <c r="Q169"/>
  <c r="P169"/>
  <c r="J169"/>
  <c r="N168"/>
  <c r="G168"/>
  <c r="D168"/>
  <c r="R167"/>
  <c r="Q167"/>
  <c r="K167"/>
  <c r="J167" s="1"/>
  <c r="R166"/>
  <c r="Q166"/>
  <c r="P166"/>
  <c r="R165"/>
  <c r="Q165"/>
  <c r="P165"/>
  <c r="R164"/>
  <c r="Q164"/>
  <c r="P164"/>
  <c r="J164"/>
  <c r="J165" s="1"/>
  <c r="N163"/>
  <c r="G163"/>
  <c r="D163"/>
  <c r="R162"/>
  <c r="Q162"/>
  <c r="K162"/>
  <c r="R161"/>
  <c r="Q161"/>
  <c r="P161"/>
  <c r="R160"/>
  <c r="Q160"/>
  <c r="P160"/>
  <c r="R159"/>
  <c r="Q159"/>
  <c r="P159"/>
  <c r="J159"/>
  <c r="J160" s="1"/>
  <c r="N158"/>
  <c r="G158"/>
  <c r="D158"/>
  <c r="R157"/>
  <c r="Q157"/>
  <c r="R156"/>
  <c r="Q156"/>
  <c r="P156"/>
  <c r="R155"/>
  <c r="Q155"/>
  <c r="P155"/>
  <c r="R154"/>
  <c r="Q154"/>
  <c r="P154"/>
  <c r="J154"/>
  <c r="J155" s="1"/>
  <c r="J156" s="1"/>
  <c r="J157" s="1"/>
  <c r="N153"/>
  <c r="G153"/>
  <c r="D153"/>
  <c r="R152"/>
  <c r="Q152"/>
  <c r="K152"/>
  <c r="R151"/>
  <c r="Q151"/>
  <c r="P151"/>
  <c r="R150"/>
  <c r="Q150"/>
  <c r="P150"/>
  <c r="R149"/>
  <c r="Q149"/>
  <c r="P149"/>
  <c r="J149"/>
  <c r="J150" s="1"/>
  <c r="N148"/>
  <c r="D148"/>
  <c r="R147"/>
  <c r="Q147"/>
  <c r="R146"/>
  <c r="Q146"/>
  <c r="P146"/>
  <c r="R145"/>
  <c r="Q145"/>
  <c r="P145"/>
  <c r="R144"/>
  <c r="Q144"/>
  <c r="P144"/>
  <c r="J144"/>
  <c r="J145" s="1"/>
  <c r="J146" s="1"/>
  <c r="J147" s="1"/>
  <c r="N143"/>
  <c r="G143"/>
  <c r="D143"/>
  <c r="R230"/>
  <c r="R229" s="1"/>
  <c r="Q230"/>
  <c r="Q229" s="1"/>
  <c r="N229"/>
  <c r="G229"/>
  <c r="D229"/>
  <c r="R142"/>
  <c r="Q142"/>
  <c r="P142"/>
  <c r="K142"/>
  <c r="R141"/>
  <c r="Q141"/>
  <c r="P141"/>
  <c r="R140"/>
  <c r="Q140"/>
  <c r="P140"/>
  <c r="R139"/>
  <c r="Q139"/>
  <c r="P139"/>
  <c r="R138"/>
  <c r="Q138"/>
  <c r="P138"/>
  <c r="J138"/>
  <c r="J139" s="1"/>
  <c r="J140" s="1"/>
  <c r="N137"/>
  <c r="D137"/>
  <c r="R136"/>
  <c r="Q136"/>
  <c r="P136"/>
  <c r="R135"/>
  <c r="Q135"/>
  <c r="P135"/>
  <c r="R134"/>
  <c r="Q134"/>
  <c r="P134"/>
  <c r="R133"/>
  <c r="Q133"/>
  <c r="P133"/>
  <c r="R132"/>
  <c r="Q132"/>
  <c r="P132"/>
  <c r="J132"/>
  <c r="J133" s="1"/>
  <c r="J134" s="1"/>
  <c r="J135" s="1"/>
  <c r="J136" s="1"/>
  <c r="N131"/>
  <c r="G131"/>
  <c r="D131"/>
  <c r="R130"/>
  <c r="Q130"/>
  <c r="P130"/>
  <c r="R129"/>
  <c r="Q129"/>
  <c r="P129"/>
  <c r="R128"/>
  <c r="Q128"/>
  <c r="P128"/>
  <c r="R127"/>
  <c r="Q127"/>
  <c r="P127"/>
  <c r="R126"/>
  <c r="Q126"/>
  <c r="P126"/>
  <c r="R125"/>
  <c r="Q125"/>
  <c r="P125"/>
  <c r="R124"/>
  <c r="Q124"/>
  <c r="P124"/>
  <c r="J124"/>
  <c r="J125" s="1"/>
  <c r="J126" s="1"/>
  <c r="J127" s="1"/>
  <c r="J128" s="1"/>
  <c r="J129" s="1"/>
  <c r="J130" s="1"/>
  <c r="N123"/>
  <c r="G123"/>
  <c r="D123"/>
  <c r="R122"/>
  <c r="Q122"/>
  <c r="P122"/>
  <c r="R121"/>
  <c r="Q121"/>
  <c r="P121"/>
  <c r="R120"/>
  <c r="Q120"/>
  <c r="P120"/>
  <c r="R119"/>
  <c r="Q119"/>
  <c r="P119"/>
  <c r="R118"/>
  <c r="Q118"/>
  <c r="P118"/>
  <c r="R117"/>
  <c r="Q117"/>
  <c r="P117"/>
  <c r="R116"/>
  <c r="Q116"/>
  <c r="P116"/>
  <c r="J116"/>
  <c r="J117" s="1"/>
  <c r="J118" s="1"/>
  <c r="J119" s="1"/>
  <c r="J120" s="1"/>
  <c r="J121" s="1"/>
  <c r="J122" s="1"/>
  <c r="N115"/>
  <c r="G115"/>
  <c r="D115"/>
  <c r="K114"/>
  <c r="K113"/>
  <c r="R112"/>
  <c r="Q112"/>
  <c r="R111"/>
  <c r="Q111"/>
  <c r="P111"/>
  <c r="R110"/>
  <c r="Q110"/>
  <c r="P110"/>
  <c r="R109"/>
  <c r="Q109"/>
  <c r="P109"/>
  <c r="J109"/>
  <c r="J110" s="1"/>
  <c r="J111" s="1"/>
  <c r="J112" s="1"/>
  <c r="N108"/>
  <c r="D108"/>
  <c r="R107"/>
  <c r="Q107"/>
  <c r="P107"/>
  <c r="R106"/>
  <c r="Q106"/>
  <c r="P106"/>
  <c r="R105"/>
  <c r="Q105"/>
  <c r="P105"/>
  <c r="R104"/>
  <c r="Q104"/>
  <c r="P104"/>
  <c r="R103"/>
  <c r="Q103"/>
  <c r="P103"/>
  <c r="R102"/>
  <c r="Q102"/>
  <c r="P102"/>
  <c r="R101"/>
  <c r="Q101"/>
  <c r="P101"/>
  <c r="J101"/>
  <c r="J102" s="1"/>
  <c r="J103" s="1"/>
  <c r="J104" s="1"/>
  <c r="J105" s="1"/>
  <c r="J106" s="1"/>
  <c r="J107" s="1"/>
  <c r="N100"/>
  <c r="G100"/>
  <c r="D100"/>
  <c r="R99"/>
  <c r="R98" s="1"/>
  <c r="Q99"/>
  <c r="Q98" s="1"/>
  <c r="N98"/>
  <c r="G98"/>
  <c r="D98"/>
  <c r="R97"/>
  <c r="Q97"/>
  <c r="R96"/>
  <c r="Q96"/>
  <c r="P96"/>
  <c r="K96"/>
  <c r="K97" s="1"/>
  <c r="R95"/>
  <c r="Q95"/>
  <c r="P95"/>
  <c r="J95"/>
  <c r="N94"/>
  <c r="G94"/>
  <c r="D94"/>
  <c r="R93"/>
  <c r="Q93"/>
  <c r="P93"/>
  <c r="R92"/>
  <c r="Q92"/>
  <c r="P92"/>
  <c r="R91"/>
  <c r="Q91"/>
  <c r="P91"/>
  <c r="R90"/>
  <c r="Q90"/>
  <c r="P90"/>
  <c r="J90"/>
  <c r="J91" s="1"/>
  <c r="J92" s="1"/>
  <c r="J93" s="1"/>
  <c r="N89"/>
  <c r="G89"/>
  <c r="D89"/>
  <c r="R88"/>
  <c r="Q88"/>
  <c r="P88"/>
  <c r="R87"/>
  <c r="Q87"/>
  <c r="P87"/>
  <c r="R86"/>
  <c r="Q86"/>
  <c r="P86"/>
  <c r="R85"/>
  <c r="Q85"/>
  <c r="P85"/>
  <c r="J85"/>
  <c r="J86" s="1"/>
  <c r="J87" s="1"/>
  <c r="J88" s="1"/>
  <c r="N84"/>
  <c r="G84"/>
  <c r="D84"/>
  <c r="R83"/>
  <c r="Q83"/>
  <c r="P83"/>
  <c r="R82"/>
  <c r="Q82"/>
  <c r="P82"/>
  <c r="R81"/>
  <c r="Q81"/>
  <c r="P81"/>
  <c r="R80"/>
  <c r="Q80"/>
  <c r="P80"/>
  <c r="R79"/>
  <c r="Q79"/>
  <c r="P79"/>
  <c r="J79"/>
  <c r="J80" s="1"/>
  <c r="J81" s="1"/>
  <c r="J82" s="1"/>
  <c r="J83" s="1"/>
  <c r="N78"/>
  <c r="G78"/>
  <c r="D78"/>
  <c r="R77"/>
  <c r="Q77"/>
  <c r="P77"/>
  <c r="R76"/>
  <c r="Q76"/>
  <c r="P76"/>
  <c r="R75"/>
  <c r="Q75"/>
  <c r="P75"/>
  <c r="R74"/>
  <c r="Q74"/>
  <c r="P74"/>
  <c r="R73"/>
  <c r="Q73"/>
  <c r="P73"/>
  <c r="R72"/>
  <c r="Q72"/>
  <c r="P72"/>
  <c r="R71"/>
  <c r="Q71"/>
  <c r="P71"/>
  <c r="J71"/>
  <c r="J72" s="1"/>
  <c r="J73" s="1"/>
  <c r="J74" s="1"/>
  <c r="J75" s="1"/>
  <c r="J76" s="1"/>
  <c r="J77" s="1"/>
  <c r="N70"/>
  <c r="G70"/>
  <c r="D70"/>
  <c r="R69"/>
  <c r="Q69"/>
  <c r="P69"/>
  <c r="R68"/>
  <c r="Q68"/>
  <c r="P68"/>
  <c r="R67"/>
  <c r="Q67"/>
  <c r="P67"/>
  <c r="R66"/>
  <c r="Q66"/>
  <c r="P66"/>
  <c r="R65"/>
  <c r="Q65"/>
  <c r="P65"/>
  <c r="R64"/>
  <c r="Q64"/>
  <c r="P64"/>
  <c r="R63"/>
  <c r="Q63"/>
  <c r="P63"/>
  <c r="J63"/>
  <c r="J64" s="1"/>
  <c r="J65" s="1"/>
  <c r="J66" s="1"/>
  <c r="J67" s="1"/>
  <c r="J68" s="1"/>
  <c r="J69" s="1"/>
  <c r="N62"/>
  <c r="G62"/>
  <c r="D62"/>
  <c r="R61"/>
  <c r="Q61"/>
  <c r="P61"/>
  <c r="K61"/>
  <c r="R60"/>
  <c r="Q60"/>
  <c r="P60"/>
  <c r="R59"/>
  <c r="Q59"/>
  <c r="P59"/>
  <c r="R58"/>
  <c r="Q58"/>
  <c r="P58"/>
  <c r="R57"/>
  <c r="Q57"/>
  <c r="P57"/>
  <c r="R56"/>
  <c r="Q56"/>
  <c r="P56"/>
  <c r="R55"/>
  <c r="Q55"/>
  <c r="P55"/>
  <c r="J55"/>
  <c r="J56" s="1"/>
  <c r="J57" s="1"/>
  <c r="J58" s="1"/>
  <c r="J59" s="1"/>
  <c r="J60" s="1"/>
  <c r="N54"/>
  <c r="G54"/>
  <c r="D54"/>
  <c r="R53"/>
  <c r="Q53"/>
  <c r="P53"/>
  <c r="R52"/>
  <c r="Q52"/>
  <c r="P52"/>
  <c r="R51"/>
  <c r="Q51"/>
  <c r="P51"/>
  <c r="R50"/>
  <c r="Q50"/>
  <c r="P50"/>
  <c r="R49"/>
  <c r="Q49"/>
  <c r="P49"/>
  <c r="R48"/>
  <c r="Q48"/>
  <c r="P48"/>
  <c r="R47"/>
  <c r="Q47"/>
  <c r="P47"/>
  <c r="R46"/>
  <c r="Q46"/>
  <c r="P46"/>
  <c r="R45"/>
  <c r="Q45"/>
  <c r="P45"/>
  <c r="J45"/>
  <c r="J46" s="1"/>
  <c r="J47" s="1"/>
  <c r="J48" s="1"/>
  <c r="J49" s="1"/>
  <c r="J50" s="1"/>
  <c r="J51" s="1"/>
  <c r="J52" s="1"/>
  <c r="J53" s="1"/>
  <c r="N44"/>
  <c r="G44"/>
  <c r="D44"/>
  <c r="R43"/>
  <c r="Q43"/>
  <c r="P43"/>
  <c r="R42"/>
  <c r="Q42"/>
  <c r="P42"/>
  <c r="R41"/>
  <c r="Q41"/>
  <c r="P41"/>
  <c r="R40"/>
  <c r="Q40"/>
  <c r="P40"/>
  <c r="R39"/>
  <c r="Q39"/>
  <c r="P39"/>
  <c r="R38"/>
  <c r="Q38"/>
  <c r="P38"/>
  <c r="R37"/>
  <c r="Q37"/>
  <c r="P37"/>
  <c r="R36"/>
  <c r="Q36"/>
  <c r="P36"/>
  <c r="R35"/>
  <c r="Q35"/>
  <c r="P35"/>
  <c r="J35"/>
  <c r="J36" s="1"/>
  <c r="J37" s="1"/>
  <c r="J38" s="1"/>
  <c r="J39" s="1"/>
  <c r="J40" s="1"/>
  <c r="J41" s="1"/>
  <c r="J42" s="1"/>
  <c r="J43" s="1"/>
  <c r="N34"/>
  <c r="G34"/>
  <c r="D34"/>
  <c r="R33"/>
  <c r="Q33"/>
  <c r="P33"/>
  <c r="R32"/>
  <c r="Q32"/>
  <c r="P32"/>
  <c r="R31"/>
  <c r="Q31"/>
  <c r="P31"/>
  <c r="R30"/>
  <c r="Q30"/>
  <c r="R29"/>
  <c r="Q29"/>
  <c r="R28"/>
  <c r="Q28"/>
  <c r="R27"/>
  <c r="Q27"/>
  <c r="R26"/>
  <c r="Q26"/>
  <c r="R25"/>
  <c r="Q25"/>
  <c r="R24"/>
  <c r="Q24"/>
  <c r="J24"/>
  <c r="J25" s="1"/>
  <c r="J26" s="1"/>
  <c r="J27" s="1"/>
  <c r="J28" s="1"/>
  <c r="J29" s="1"/>
  <c r="J30" s="1"/>
  <c r="J31" s="1"/>
  <c r="J32" s="1"/>
  <c r="J33" s="1"/>
  <c r="N23"/>
  <c r="G23"/>
  <c r="D23"/>
  <c r="R22"/>
  <c r="Q22"/>
  <c r="P22"/>
  <c r="R21"/>
  <c r="Q21"/>
  <c r="P21"/>
  <c r="R20"/>
  <c r="Q20"/>
  <c r="P20"/>
  <c r="R19"/>
  <c r="Q19"/>
  <c r="P19"/>
  <c r="R18"/>
  <c r="Q18"/>
  <c r="P18"/>
  <c r="R17"/>
  <c r="Q17"/>
  <c r="P17"/>
  <c r="R16"/>
  <c r="Q16"/>
  <c r="P16"/>
  <c r="R15"/>
  <c r="Q15"/>
  <c r="P15"/>
  <c r="R14"/>
  <c r="Q14"/>
  <c r="P14"/>
  <c r="Q13"/>
  <c r="N13"/>
  <c r="R12"/>
  <c r="Q12"/>
  <c r="P12"/>
  <c r="R11"/>
  <c r="Q11"/>
  <c r="P11"/>
  <c r="R10"/>
  <c r="Q10"/>
  <c r="P10"/>
  <c r="R9"/>
  <c r="Q9"/>
  <c r="P9"/>
  <c r="R8"/>
  <c r="Q8"/>
  <c r="P8"/>
  <c r="R7"/>
  <c r="Q7"/>
  <c r="P7"/>
  <c r="J7"/>
  <c r="J8" s="1"/>
  <c r="J9" s="1"/>
  <c r="J10" s="1"/>
  <c r="J11" s="1"/>
  <c r="J12" s="1"/>
  <c r="N6"/>
  <c r="G6"/>
  <c r="D6"/>
  <c r="R2"/>
  <c r="H153" i="21"/>
  <c r="B2" i="19" s="1"/>
  <c r="J150" i="21"/>
  <c r="Q149"/>
  <c r="P149"/>
  <c r="P148" s="1"/>
  <c r="M148"/>
  <c r="F148"/>
  <c r="D148"/>
  <c r="P147"/>
  <c r="P146"/>
  <c r="Q147"/>
  <c r="P145"/>
  <c r="Q144"/>
  <c r="P144"/>
  <c r="Q143"/>
  <c r="P143"/>
  <c r="M142"/>
  <c r="D142"/>
  <c r="P141"/>
  <c r="Q141"/>
  <c r="Q140"/>
  <c r="P140"/>
  <c r="Q139"/>
  <c r="P139"/>
  <c r="Q138"/>
  <c r="P138"/>
  <c r="Q137"/>
  <c r="P137"/>
  <c r="O137"/>
  <c r="Q136"/>
  <c r="P136"/>
  <c r="O136"/>
  <c r="M135"/>
  <c r="D135"/>
  <c r="P134"/>
  <c r="O132"/>
  <c r="J132"/>
  <c r="J134" s="1"/>
  <c r="Q131"/>
  <c r="O131"/>
  <c r="Q130"/>
  <c r="O130"/>
  <c r="Q129"/>
  <c r="P129"/>
  <c r="O129"/>
  <c r="Q128"/>
  <c r="P128"/>
  <c r="O128"/>
  <c r="Q127"/>
  <c r="P127"/>
  <c r="O127"/>
  <c r="Q126"/>
  <c r="P126"/>
  <c r="O126"/>
  <c r="Q125"/>
  <c r="P125"/>
  <c r="O125"/>
  <c r="Q124"/>
  <c r="P124"/>
  <c r="O124"/>
  <c r="Q123"/>
  <c r="P123"/>
  <c r="O123"/>
  <c r="Q122"/>
  <c r="P122"/>
  <c r="O122"/>
  <c r="Q121"/>
  <c r="P121"/>
  <c r="O121"/>
  <c r="Q120"/>
  <c r="P120"/>
  <c r="O120"/>
  <c r="M119"/>
  <c r="D119"/>
  <c r="Q118"/>
  <c r="P118"/>
  <c r="Q117"/>
  <c r="P117"/>
  <c r="M116"/>
  <c r="P115"/>
  <c r="Q114"/>
  <c r="P114"/>
  <c r="J114"/>
  <c r="Q113"/>
  <c r="P113"/>
  <c r="M112"/>
  <c r="F112"/>
  <c r="D112"/>
  <c r="P111"/>
  <c r="P110"/>
  <c r="J110"/>
  <c r="Q109"/>
  <c r="P109"/>
  <c r="M108"/>
  <c r="F108"/>
  <c r="D108"/>
  <c r="Q85"/>
  <c r="P85"/>
  <c r="P83" s="1"/>
  <c r="Q84"/>
  <c r="P84"/>
  <c r="M83"/>
  <c r="D83"/>
  <c r="Q107"/>
  <c r="P107"/>
  <c r="P104" s="1"/>
  <c r="P106"/>
  <c r="P105"/>
  <c r="I105"/>
  <c r="M104"/>
  <c r="F104"/>
  <c r="D104"/>
  <c r="P103"/>
  <c r="Q102"/>
  <c r="P102"/>
  <c r="J102"/>
  <c r="J103" s="1"/>
  <c r="Q103" s="1"/>
  <c r="Q101"/>
  <c r="P101"/>
  <c r="Q100"/>
  <c r="P100"/>
  <c r="I100"/>
  <c r="M99"/>
  <c r="D99"/>
  <c r="J97"/>
  <c r="Q96"/>
  <c r="Q95"/>
  <c r="Q94"/>
  <c r="Q93"/>
  <c r="Q92"/>
  <c r="P92"/>
  <c r="Q91"/>
  <c r="P91"/>
  <c r="M90"/>
  <c r="F90"/>
  <c r="D90"/>
  <c r="Q82"/>
  <c r="P82"/>
  <c r="Q81"/>
  <c r="P81"/>
  <c r="Q80"/>
  <c r="P80"/>
  <c r="Q79"/>
  <c r="P79"/>
  <c r="J79"/>
  <c r="J81" s="1"/>
  <c r="Q78"/>
  <c r="P78"/>
  <c r="M77"/>
  <c r="F77"/>
  <c r="D77"/>
  <c r="Q89"/>
  <c r="J89"/>
  <c r="Q88"/>
  <c r="P88"/>
  <c r="Q87"/>
  <c r="P87"/>
  <c r="O87"/>
  <c r="M86"/>
  <c r="F86"/>
  <c r="D86"/>
  <c r="Q76"/>
  <c r="P76"/>
  <c r="Q75"/>
  <c r="P75"/>
  <c r="J75"/>
  <c r="J76" s="1"/>
  <c r="Q74"/>
  <c r="P74"/>
  <c r="Q73"/>
  <c r="P73"/>
  <c r="Q72"/>
  <c r="P72"/>
  <c r="Q71"/>
  <c r="P71"/>
  <c r="I71"/>
  <c r="M70"/>
  <c r="F70"/>
  <c r="D70"/>
  <c r="Q69"/>
  <c r="Q68"/>
  <c r="J68"/>
  <c r="J69" s="1"/>
  <c r="I69" s="1"/>
  <c r="Q67"/>
  <c r="P67"/>
  <c r="Q66"/>
  <c r="P66"/>
  <c r="P65" s="1"/>
  <c r="M65"/>
  <c r="F65"/>
  <c r="D65"/>
  <c r="Q64"/>
  <c r="P64"/>
  <c r="J64"/>
  <c r="Q63"/>
  <c r="P63"/>
  <c r="Q62"/>
  <c r="P62"/>
  <c r="O62"/>
  <c r="I62"/>
  <c r="I63" s="1"/>
  <c r="M61"/>
  <c r="F61"/>
  <c r="D61"/>
  <c r="Q60"/>
  <c r="P60"/>
  <c r="Q59"/>
  <c r="P59"/>
  <c r="O59"/>
  <c r="I59"/>
  <c r="I60" s="1"/>
  <c r="M58"/>
  <c r="F58"/>
  <c r="D58"/>
  <c r="Q57"/>
  <c r="P57"/>
  <c r="J57"/>
  <c r="Q56"/>
  <c r="P56"/>
  <c r="O56"/>
  <c r="Q55"/>
  <c r="P55"/>
  <c r="O55"/>
  <c r="Q54"/>
  <c r="P54"/>
  <c r="O54"/>
  <c r="I54"/>
  <c r="I55" s="1"/>
  <c r="M53"/>
  <c r="F53"/>
  <c r="D53"/>
  <c r="Q52"/>
  <c r="P52"/>
  <c r="Q51"/>
  <c r="P51"/>
  <c r="Q50"/>
  <c r="P50"/>
  <c r="O50"/>
  <c r="I50"/>
  <c r="M49"/>
  <c r="F49"/>
  <c r="D49"/>
  <c r="Q48"/>
  <c r="P48"/>
  <c r="J48"/>
  <c r="Q47"/>
  <c r="P47"/>
  <c r="O47"/>
  <c r="Q46"/>
  <c r="P46"/>
  <c r="O46"/>
  <c r="I46"/>
  <c r="I47" s="1"/>
  <c r="M45"/>
  <c r="F45"/>
  <c r="D45"/>
  <c r="Q44"/>
  <c r="P44"/>
  <c r="O44"/>
  <c r="Q43"/>
  <c r="P43"/>
  <c r="O43"/>
  <c r="Q42"/>
  <c r="P42"/>
  <c r="O42"/>
  <c r="Q41"/>
  <c r="P41"/>
  <c r="O41"/>
  <c r="Q40"/>
  <c r="P40"/>
  <c r="O40"/>
  <c r="Q39"/>
  <c r="P39"/>
  <c r="O39"/>
  <c r="I39"/>
  <c r="I40" s="1"/>
  <c r="I41" s="1"/>
  <c r="I42" s="1"/>
  <c r="I43" s="1"/>
  <c r="I44" s="1"/>
  <c r="M38"/>
  <c r="D38"/>
  <c r="Q37"/>
  <c r="P37"/>
  <c r="Q36"/>
  <c r="P36"/>
  <c r="Q35"/>
  <c r="P35"/>
  <c r="O35"/>
  <c r="Q34"/>
  <c r="P34"/>
  <c r="O34"/>
  <c r="I34"/>
  <c r="I35" s="1"/>
  <c r="M33"/>
  <c r="F33"/>
  <c r="D33"/>
  <c r="Q32"/>
  <c r="P32"/>
  <c r="O32"/>
  <c r="Q31"/>
  <c r="P31"/>
  <c r="O31"/>
  <c r="Q30"/>
  <c r="P30"/>
  <c r="O30"/>
  <c r="Q29"/>
  <c r="P29"/>
  <c r="O29"/>
  <c r="M28"/>
  <c r="Q27"/>
  <c r="P27"/>
  <c r="O27"/>
  <c r="Q26"/>
  <c r="P26"/>
  <c r="O26"/>
  <c r="Q25"/>
  <c r="P25"/>
  <c r="O25"/>
  <c r="Q24"/>
  <c r="P24"/>
  <c r="O24"/>
  <c r="Q23"/>
  <c r="P23"/>
  <c r="O23"/>
  <c r="Q22"/>
  <c r="P22"/>
  <c r="O22"/>
  <c r="Q21"/>
  <c r="P21"/>
  <c r="O21"/>
  <c r="I21"/>
  <c r="I22" s="1"/>
  <c r="I23" s="1"/>
  <c r="I24" s="1"/>
  <c r="I25" s="1"/>
  <c r="I26" s="1"/>
  <c r="I27" s="1"/>
  <c r="M20"/>
  <c r="F20"/>
  <c r="D20"/>
  <c r="Q19"/>
  <c r="P19"/>
  <c r="O19"/>
  <c r="Q18"/>
  <c r="P18"/>
  <c r="O18"/>
  <c r="Q17"/>
  <c r="P17"/>
  <c r="O17"/>
  <c r="Q16"/>
  <c r="P16"/>
  <c r="O16"/>
  <c r="Q15"/>
  <c r="P15"/>
  <c r="O15"/>
  <c r="Q14"/>
  <c r="P14"/>
  <c r="O14"/>
  <c r="I14"/>
  <c r="M13"/>
  <c r="F13"/>
  <c r="D13"/>
  <c r="Q12"/>
  <c r="P12"/>
  <c r="O12"/>
  <c r="Q11"/>
  <c r="P11"/>
  <c r="O11"/>
  <c r="Q10"/>
  <c r="P10"/>
  <c r="O10"/>
  <c r="Q9"/>
  <c r="P9"/>
  <c r="O9"/>
  <c r="Q8"/>
  <c r="P8"/>
  <c r="O8"/>
  <c r="Q7"/>
  <c r="P7"/>
  <c r="O7"/>
  <c r="M6"/>
  <c r="F6"/>
  <c r="D6"/>
  <c r="Q2"/>
  <c r="K30" i="19"/>
  <c r="K35" s="1"/>
  <c r="C14"/>
  <c r="B13"/>
  <c r="B12"/>
  <c r="C11"/>
  <c r="B8"/>
  <c r="D7"/>
  <c r="C7"/>
  <c r="B7"/>
  <c r="B6"/>
  <c r="B5"/>
  <c r="Q17" i="29" l="1"/>
  <c r="Q68"/>
  <c r="Q28"/>
  <c r="Q40"/>
  <c r="Q42"/>
  <c r="Q56"/>
  <c r="Q54"/>
  <c r="Q67"/>
  <c r="Q29"/>
  <c r="Q41"/>
  <c r="Q9"/>
  <c r="Q18"/>
  <c r="Q5"/>
  <c r="Q49"/>
  <c r="Q69"/>
  <c r="P25"/>
  <c r="P21"/>
  <c r="P17"/>
  <c r="P24"/>
  <c r="P20"/>
  <c r="P10"/>
  <c r="P23"/>
  <c r="P19"/>
  <c r="P13"/>
  <c r="P26"/>
  <c r="P22"/>
  <c r="P12"/>
  <c r="H13" i="13"/>
  <c r="F49" i="29"/>
  <c r="M49" s="1"/>
  <c r="F17"/>
  <c r="M17" s="1"/>
  <c r="F54"/>
  <c r="M54" s="1"/>
  <c r="F67"/>
  <c r="M67" s="1"/>
  <c r="F28"/>
  <c r="M28" s="1"/>
  <c r="F42"/>
  <c r="M42" s="1"/>
  <c r="F9"/>
  <c r="M9" s="1"/>
  <c r="F18"/>
  <c r="M18" s="1"/>
  <c r="F68"/>
  <c r="M68" s="1"/>
  <c r="F29"/>
  <c r="M29" s="1"/>
  <c r="F41"/>
  <c r="M41" s="1"/>
  <c r="F56"/>
  <c r="M56" s="1"/>
  <c r="F69"/>
  <c r="M69" s="1"/>
  <c r="F40"/>
  <c r="M40" s="1"/>
  <c r="F5"/>
  <c r="M5" s="1"/>
  <c r="F4"/>
  <c r="F7"/>
  <c r="F10"/>
  <c r="F12"/>
  <c r="F14"/>
  <c r="F16"/>
  <c r="F34"/>
  <c r="F36"/>
  <c r="F38"/>
  <c r="F43"/>
  <c r="F45"/>
  <c r="F47"/>
  <c r="F50"/>
  <c r="F52"/>
  <c r="F55"/>
  <c r="F59"/>
  <c r="F61"/>
  <c r="F63"/>
  <c r="F65"/>
  <c r="F57"/>
  <c r="F27"/>
  <c r="F31"/>
  <c r="F24"/>
  <c r="F20"/>
  <c r="F26"/>
  <c r="F32"/>
  <c r="F21"/>
  <c r="F19"/>
  <c r="F23"/>
  <c r="F6"/>
  <c r="F8"/>
  <c r="F11"/>
  <c r="F13"/>
  <c r="F15"/>
  <c r="F33"/>
  <c r="F35"/>
  <c r="F37"/>
  <c r="F39"/>
  <c r="F44"/>
  <c r="F46"/>
  <c r="F48"/>
  <c r="F51"/>
  <c r="F53"/>
  <c r="F58"/>
  <c r="F60"/>
  <c r="F62"/>
  <c r="F64"/>
  <c r="F66"/>
  <c r="F30"/>
  <c r="F25"/>
  <c r="F3"/>
  <c r="F22"/>
  <c r="S18"/>
  <c r="S28"/>
  <c r="S42"/>
  <c r="S7"/>
  <c r="S12"/>
  <c r="S16"/>
  <c r="S22"/>
  <c r="S26"/>
  <c r="S32"/>
  <c r="S36"/>
  <c r="S52"/>
  <c r="S58"/>
  <c r="S66"/>
  <c r="S53"/>
  <c r="S45"/>
  <c r="S55"/>
  <c r="S17"/>
  <c r="S67"/>
  <c r="S29"/>
  <c r="S54"/>
  <c r="S3"/>
  <c r="S8"/>
  <c r="S13"/>
  <c r="S19"/>
  <c r="S23"/>
  <c r="S27"/>
  <c r="S33"/>
  <c r="S37"/>
  <c r="S48"/>
  <c r="S63"/>
  <c r="S56"/>
  <c r="S68"/>
  <c r="S40"/>
  <c r="S5"/>
  <c r="S4"/>
  <c r="S10"/>
  <c r="S14"/>
  <c r="S20"/>
  <c r="S24"/>
  <c r="S30"/>
  <c r="S34"/>
  <c r="S38"/>
  <c r="S64"/>
  <c r="S49"/>
  <c r="S69"/>
  <c r="S41"/>
  <c r="S9"/>
  <c r="S6"/>
  <c r="S11"/>
  <c r="S15"/>
  <c r="S21"/>
  <c r="S25"/>
  <c r="S31"/>
  <c r="S35"/>
  <c r="S39"/>
  <c r="S46"/>
  <c r="S51"/>
  <c r="S57"/>
  <c r="S61"/>
  <c r="S65"/>
  <c r="S43"/>
  <c r="S47"/>
  <c r="S62"/>
  <c r="S44"/>
  <c r="S59"/>
  <c r="S50"/>
  <c r="S60"/>
  <c r="P8" i="28"/>
  <c r="I26"/>
  <c r="I30"/>
  <c r="I34"/>
  <c r="I38"/>
  <c r="I42"/>
  <c r="I46"/>
  <c r="I28"/>
  <c r="I40"/>
  <c r="I25"/>
  <c r="I29"/>
  <c r="I33"/>
  <c r="I37"/>
  <c r="I45"/>
  <c r="I14"/>
  <c r="I27"/>
  <c r="I31"/>
  <c r="I35"/>
  <c r="I39"/>
  <c r="I43"/>
  <c r="I23"/>
  <c r="I24"/>
  <c r="I32"/>
  <c r="I36"/>
  <c r="I44"/>
  <c r="I41"/>
  <c r="U56" i="29"/>
  <c r="U49"/>
  <c r="U68"/>
  <c r="U28"/>
  <c r="U40"/>
  <c r="U42"/>
  <c r="U5"/>
  <c r="U41"/>
  <c r="U67"/>
  <c r="U69"/>
  <c r="U29"/>
  <c r="U54"/>
  <c r="U9"/>
  <c r="U17"/>
  <c r="U18"/>
  <c r="U7"/>
  <c r="U12"/>
  <c r="U16"/>
  <c r="U22"/>
  <c r="U26"/>
  <c r="U32"/>
  <c r="U36"/>
  <c r="U43"/>
  <c r="U47"/>
  <c r="U52"/>
  <c r="U58"/>
  <c r="U62"/>
  <c r="U66"/>
  <c r="U53"/>
  <c r="U59"/>
  <c r="U4"/>
  <c r="U14"/>
  <c r="U30"/>
  <c r="U38"/>
  <c r="U50"/>
  <c r="U3"/>
  <c r="U8"/>
  <c r="U13"/>
  <c r="U19"/>
  <c r="U23"/>
  <c r="U27"/>
  <c r="U33"/>
  <c r="U37"/>
  <c r="U44"/>
  <c r="U48"/>
  <c r="U63"/>
  <c r="U10"/>
  <c r="U20"/>
  <c r="U34"/>
  <c r="U45"/>
  <c r="U55"/>
  <c r="U60"/>
  <c r="U64"/>
  <c r="U6"/>
  <c r="U11"/>
  <c r="U15"/>
  <c r="U21"/>
  <c r="U25"/>
  <c r="U31"/>
  <c r="U35"/>
  <c r="U39"/>
  <c r="U46"/>
  <c r="U51"/>
  <c r="U57"/>
  <c r="U61"/>
  <c r="U65"/>
  <c r="U24"/>
  <c r="I75" i="15"/>
  <c r="I71"/>
  <c r="I67"/>
  <c r="I63"/>
  <c r="I59"/>
  <c r="I55"/>
  <c r="I51"/>
  <c r="I47"/>
  <c r="I43"/>
  <c r="I68"/>
  <c r="I60"/>
  <c r="I52"/>
  <c r="I44"/>
  <c r="I74"/>
  <c r="I70"/>
  <c r="I66"/>
  <c r="I62"/>
  <c r="I58"/>
  <c r="I54"/>
  <c r="I50"/>
  <c r="I46"/>
  <c r="I42"/>
  <c r="I26"/>
  <c r="I72"/>
  <c r="I64"/>
  <c r="I56"/>
  <c r="I48"/>
  <c r="I73"/>
  <c r="I69"/>
  <c r="I65"/>
  <c r="I61"/>
  <c r="I57"/>
  <c r="I53"/>
  <c r="I49"/>
  <c r="I45"/>
  <c r="F10"/>
  <c r="T67" i="29"/>
  <c r="T29"/>
  <c r="T54"/>
  <c r="T40"/>
  <c r="T28"/>
  <c r="T42"/>
  <c r="T69"/>
  <c r="T41"/>
  <c r="T9"/>
  <c r="T68"/>
  <c r="T5"/>
  <c r="T6"/>
  <c r="T11"/>
  <c r="T15"/>
  <c r="T20"/>
  <c r="T24"/>
  <c r="T30"/>
  <c r="T34"/>
  <c r="T38"/>
  <c r="T45"/>
  <c r="T50"/>
  <c r="T55"/>
  <c r="T60"/>
  <c r="T64"/>
  <c r="T32"/>
  <c r="T43"/>
  <c r="T58"/>
  <c r="T66"/>
  <c r="T10"/>
  <c r="T7"/>
  <c r="T12"/>
  <c r="T16"/>
  <c r="T21"/>
  <c r="T25"/>
  <c r="T31"/>
  <c r="T35"/>
  <c r="T39"/>
  <c r="T46"/>
  <c r="T51"/>
  <c r="T57"/>
  <c r="T61"/>
  <c r="T65"/>
  <c r="T3"/>
  <c r="T8"/>
  <c r="T13"/>
  <c r="T22"/>
  <c r="T26"/>
  <c r="T36"/>
  <c r="T47"/>
  <c r="T52"/>
  <c r="T62"/>
  <c r="T4"/>
  <c r="T14"/>
  <c r="T19"/>
  <c r="T23"/>
  <c r="T27"/>
  <c r="T33"/>
  <c r="T37"/>
  <c r="T44"/>
  <c r="T48"/>
  <c r="T53"/>
  <c r="T59"/>
  <c r="T63"/>
  <c r="J111" i="21"/>
  <c r="Q111" s="1"/>
  <c r="J115"/>
  <c r="Q115" s="1"/>
  <c r="Q112" s="1"/>
  <c r="Q150"/>
  <c r="J151"/>
  <c r="I15"/>
  <c r="I16" s="1"/>
  <c r="I17" s="1"/>
  <c r="I18" s="1"/>
  <c r="I19" s="1"/>
  <c r="P89"/>
  <c r="I89"/>
  <c r="Q4" i="29"/>
  <c r="Z4" s="1"/>
  <c r="Q10"/>
  <c r="Q14"/>
  <c r="Z14" s="1"/>
  <c r="Q19"/>
  <c r="Q23"/>
  <c r="Q27"/>
  <c r="Q32"/>
  <c r="Z32" s="1"/>
  <c r="Q36"/>
  <c r="Z36" s="1"/>
  <c r="Q45"/>
  <c r="Z45" s="1"/>
  <c r="Q50"/>
  <c r="Z50" s="1"/>
  <c r="Q55"/>
  <c r="Z55" s="1"/>
  <c r="Q60"/>
  <c r="Z60" s="1"/>
  <c r="Q64"/>
  <c r="Z64" s="1"/>
  <c r="Q61"/>
  <c r="Z61" s="1"/>
  <c r="Q3"/>
  <c r="Z3" s="1"/>
  <c r="Q6"/>
  <c r="Z6" s="1"/>
  <c r="Q11"/>
  <c r="Z11" s="1"/>
  <c r="Q15"/>
  <c r="Z15" s="1"/>
  <c r="Q20"/>
  <c r="Q24"/>
  <c r="Q33"/>
  <c r="Z33" s="1"/>
  <c r="Q37"/>
  <c r="Z37" s="1"/>
  <c r="Q46"/>
  <c r="Z46" s="1"/>
  <c r="Q51"/>
  <c r="Z51" s="1"/>
  <c r="Q57"/>
  <c r="Z57" s="1"/>
  <c r="Q65"/>
  <c r="Z65" s="1"/>
  <c r="Q7"/>
  <c r="Z7" s="1"/>
  <c r="Q12"/>
  <c r="Q16"/>
  <c r="Z16" s="1"/>
  <c r="Q21"/>
  <c r="Q25"/>
  <c r="Q30"/>
  <c r="Z30" s="1"/>
  <c r="Q34"/>
  <c r="Z34" s="1"/>
  <c r="Q38"/>
  <c r="Z38" s="1"/>
  <c r="Q43"/>
  <c r="Z43" s="1"/>
  <c r="Q47"/>
  <c r="Z47" s="1"/>
  <c r="Q52"/>
  <c r="Z52" s="1"/>
  <c r="Q58"/>
  <c r="Z58" s="1"/>
  <c r="Q66"/>
  <c r="Z66" s="1"/>
  <c r="Q8"/>
  <c r="Z8" s="1"/>
  <c r="Q13"/>
  <c r="Q22"/>
  <c r="Q26"/>
  <c r="Q31"/>
  <c r="Z31" s="1"/>
  <c r="Q35"/>
  <c r="Z35" s="1"/>
  <c r="Q39"/>
  <c r="Z39" s="1"/>
  <c r="Q44"/>
  <c r="Z44" s="1"/>
  <c r="Q48"/>
  <c r="Z48" s="1"/>
  <c r="Q53"/>
  <c r="Z53" s="1"/>
  <c r="Q59"/>
  <c r="Z59" s="1"/>
  <c r="Q63"/>
  <c r="Z63" s="1"/>
  <c r="Q62"/>
  <c r="Z62" s="1"/>
  <c r="J170" i="8"/>
  <c r="L23" i="26"/>
  <c r="L24"/>
  <c r="S52" i="19" s="1"/>
  <c r="I51" i="21"/>
  <c r="I52" s="1"/>
  <c r="F42" i="26"/>
  <c r="F50"/>
  <c r="F54"/>
  <c r="F51"/>
  <c r="F55"/>
  <c r="F49"/>
  <c r="F53"/>
  <c r="F48"/>
  <c r="F52"/>
  <c r="H56"/>
  <c r="H57" s="1"/>
  <c r="D17" i="18"/>
  <c r="D41"/>
  <c r="D45"/>
  <c r="D49"/>
  <c r="D44"/>
  <c r="D22"/>
  <c r="D42"/>
  <c r="D46"/>
  <c r="D50"/>
  <c r="D48"/>
  <c r="D43"/>
  <c r="D47"/>
  <c r="D51"/>
  <c r="D52"/>
  <c r="D38"/>
  <c r="D23"/>
  <c r="D31"/>
  <c r="D35"/>
  <c r="D39"/>
  <c r="D30"/>
  <c r="D27"/>
  <c r="D24"/>
  <c r="D28"/>
  <c r="D32"/>
  <c r="D36"/>
  <c r="D40"/>
  <c r="D34"/>
  <c r="G39"/>
  <c r="G41"/>
  <c r="G45"/>
  <c r="G49"/>
  <c r="G44"/>
  <c r="G42"/>
  <c r="G46"/>
  <c r="G50"/>
  <c r="G48"/>
  <c r="G43"/>
  <c r="G47"/>
  <c r="G51"/>
  <c r="G40"/>
  <c r="G52"/>
  <c r="D25"/>
  <c r="D29"/>
  <c r="D33"/>
  <c r="D37"/>
  <c r="R35" i="19"/>
  <c r="R36" s="1"/>
  <c r="C13"/>
  <c r="P28" i="5"/>
  <c r="O6" i="10"/>
  <c r="N19"/>
  <c r="L27" i="19" s="1"/>
  <c r="P11" i="13"/>
  <c r="L12" i="24"/>
  <c r="E14" i="19" s="1"/>
  <c r="G17" i="18"/>
  <c r="C15" i="19" s="1"/>
  <c r="K6" i="18"/>
  <c r="K17" s="1"/>
  <c r="E15" i="19" s="1"/>
  <c r="K356" i="8"/>
  <c r="N49" i="27"/>
  <c r="P9" i="5"/>
  <c r="L12"/>
  <c r="P45" i="21"/>
  <c r="K341" i="8"/>
  <c r="K342" s="1"/>
  <c r="P40" i="5"/>
  <c r="P46" s="1"/>
  <c r="M26" i="9"/>
  <c r="K335" i="8"/>
  <c r="K337" s="1"/>
  <c r="R337" s="1"/>
  <c r="N26" i="9"/>
  <c r="P26" s="1"/>
  <c r="R335" i="8"/>
  <c r="K330"/>
  <c r="R330" s="1"/>
  <c r="N18" i="9"/>
  <c r="M30"/>
  <c r="I72" i="13"/>
  <c r="O10" i="10"/>
  <c r="H24"/>
  <c r="N23"/>
  <c r="L32" i="19" s="1"/>
  <c r="L6" i="14"/>
  <c r="M6"/>
  <c r="M16" s="1"/>
  <c r="E9" i="19" s="1"/>
  <c r="P13" i="5"/>
  <c r="P16"/>
  <c r="P30"/>
  <c r="J6" i="9"/>
  <c r="N10"/>
  <c r="N14"/>
  <c r="K14" i="10"/>
  <c r="C8" i="19" s="1"/>
  <c r="N6" i="10"/>
  <c r="N14" s="1"/>
  <c r="N10"/>
  <c r="N21"/>
  <c r="L30" i="19" s="1"/>
  <c r="J98" i="21"/>
  <c r="P98" s="1"/>
  <c r="P97"/>
  <c r="L32" i="5"/>
  <c r="P34"/>
  <c r="M10" i="9"/>
  <c r="L15" i="12"/>
  <c r="K14" i="18"/>
  <c r="M278" i="21"/>
  <c r="M282"/>
  <c r="M286"/>
  <c r="M276"/>
  <c r="M284"/>
  <c r="M281"/>
  <c r="M275"/>
  <c r="M279"/>
  <c r="M283"/>
  <c r="M280"/>
  <c r="M277"/>
  <c r="M285"/>
  <c r="Q359" i="8"/>
  <c r="I118" i="22"/>
  <c r="I122"/>
  <c r="C10" i="19"/>
  <c r="I117" i="22"/>
  <c r="I119"/>
  <c r="I121"/>
  <c r="I123"/>
  <c r="I125"/>
  <c r="I127"/>
  <c r="I120"/>
  <c r="I126"/>
  <c r="I116"/>
  <c r="I124"/>
  <c r="K59"/>
  <c r="K55"/>
  <c r="K51"/>
  <c r="K47"/>
  <c r="K43"/>
  <c r="K34"/>
  <c r="K48"/>
  <c r="K11"/>
  <c r="K58"/>
  <c r="K54"/>
  <c r="K46"/>
  <c r="K42"/>
  <c r="K33"/>
  <c r="K29"/>
  <c r="K25"/>
  <c r="K44"/>
  <c r="K57"/>
  <c r="K53"/>
  <c r="K49"/>
  <c r="K45"/>
  <c r="K36"/>
  <c r="K32"/>
  <c r="K28"/>
  <c r="K24"/>
  <c r="K16"/>
  <c r="K8"/>
  <c r="K56"/>
  <c r="K52"/>
  <c r="K35"/>
  <c r="M51"/>
  <c r="M49"/>
  <c r="M54"/>
  <c r="M59"/>
  <c r="M29"/>
  <c r="M55"/>
  <c r="M48"/>
  <c r="M53"/>
  <c r="M57"/>
  <c r="L36"/>
  <c r="M52"/>
  <c r="M56"/>
  <c r="K7"/>
  <c r="B10" i="19"/>
  <c r="P10" i="28"/>
  <c r="L14"/>
  <c r="J54" i="19" s="1"/>
  <c r="N22" i="9"/>
  <c r="N38"/>
  <c r="M34"/>
  <c r="P14" i="13"/>
  <c r="O14"/>
  <c r="P17"/>
  <c r="L30"/>
  <c r="C6" i="19" s="1"/>
  <c r="L94" i="13"/>
  <c r="L79"/>
  <c r="L83"/>
  <c r="L89"/>
  <c r="L95"/>
  <c r="L74"/>
  <c r="L76"/>
  <c r="L78"/>
  <c r="L80"/>
  <c r="L82"/>
  <c r="L84"/>
  <c r="L86"/>
  <c r="L88"/>
  <c r="L90"/>
  <c r="L92"/>
  <c r="L96"/>
  <c r="L77"/>
  <c r="L85"/>
  <c r="L91"/>
  <c r="L97"/>
  <c r="L75"/>
  <c r="L81"/>
  <c r="L87"/>
  <c r="L93"/>
  <c r="I54"/>
  <c r="I71"/>
  <c r="I51"/>
  <c r="I55"/>
  <c r="I59"/>
  <c r="I63"/>
  <c r="I68"/>
  <c r="I50"/>
  <c r="I62"/>
  <c r="O17"/>
  <c r="R17" s="1"/>
  <c r="I74"/>
  <c r="I76"/>
  <c r="I78"/>
  <c r="I80"/>
  <c r="I82"/>
  <c r="I84"/>
  <c r="I86"/>
  <c r="I88"/>
  <c r="I90"/>
  <c r="I92"/>
  <c r="I94"/>
  <c r="I96"/>
  <c r="I30"/>
  <c r="I75"/>
  <c r="I77"/>
  <c r="I79"/>
  <c r="I81"/>
  <c r="I83"/>
  <c r="I85"/>
  <c r="I87"/>
  <c r="I89"/>
  <c r="I91"/>
  <c r="I93"/>
  <c r="I95"/>
  <c r="I97"/>
  <c r="I67"/>
  <c r="I52"/>
  <c r="I56"/>
  <c r="I60"/>
  <c r="I64"/>
  <c r="I69"/>
  <c r="I73"/>
  <c r="P26"/>
  <c r="I58"/>
  <c r="I66"/>
  <c r="I49"/>
  <c r="I53"/>
  <c r="I57"/>
  <c r="I61"/>
  <c r="I65"/>
  <c r="I70"/>
  <c r="K8" i="27"/>
  <c r="R8" s="1"/>
  <c r="N60"/>
  <c r="N64"/>
  <c r="N68"/>
  <c r="N72"/>
  <c r="N76"/>
  <c r="N66"/>
  <c r="N70"/>
  <c r="N63"/>
  <c r="N67"/>
  <c r="N75"/>
  <c r="N61"/>
  <c r="N65"/>
  <c r="N69"/>
  <c r="N73"/>
  <c r="N62"/>
  <c r="N74"/>
  <c r="N71"/>
  <c r="Q26"/>
  <c r="K28"/>
  <c r="R28" s="1"/>
  <c r="K9"/>
  <c r="R9" s="1"/>
  <c r="Q18"/>
  <c r="Q22"/>
  <c r="Q61" i="21"/>
  <c r="Q70"/>
  <c r="P38"/>
  <c r="Q45"/>
  <c r="S45" s="1"/>
  <c r="P49"/>
  <c r="P86"/>
  <c r="Q110"/>
  <c r="P58"/>
  <c r="Q99"/>
  <c r="P116"/>
  <c r="P142"/>
  <c r="P20"/>
  <c r="P108"/>
  <c r="P53"/>
  <c r="Q116"/>
  <c r="N526" i="8"/>
  <c r="N530"/>
  <c r="N534"/>
  <c r="N527"/>
  <c r="N531"/>
  <c r="N535"/>
  <c r="N537"/>
  <c r="N528"/>
  <c r="N532"/>
  <c r="N536"/>
  <c r="N529"/>
  <c r="N533"/>
  <c r="Q276"/>
  <c r="Q131"/>
  <c r="R131"/>
  <c r="Q177"/>
  <c r="R177"/>
  <c r="R6"/>
  <c r="R13"/>
  <c r="Q268"/>
  <c r="Q328"/>
  <c r="Q89"/>
  <c r="R108"/>
  <c r="Q153"/>
  <c r="Q158"/>
  <c r="Q163"/>
  <c r="Q168"/>
  <c r="T231"/>
  <c r="Q217"/>
  <c r="Q70"/>
  <c r="Q78"/>
  <c r="Q84"/>
  <c r="Q148"/>
  <c r="Q211"/>
  <c r="K227"/>
  <c r="K228" s="1"/>
  <c r="J61"/>
  <c r="Q23"/>
  <c r="Q143"/>
  <c r="Q190"/>
  <c r="Q197"/>
  <c r="K304"/>
  <c r="K305" s="1"/>
  <c r="R305" s="1"/>
  <c r="Q338"/>
  <c r="P28" i="21"/>
  <c r="Q38"/>
  <c r="P13"/>
  <c r="P33"/>
  <c r="Q49"/>
  <c r="Q53"/>
  <c r="Q13"/>
  <c r="Q28"/>
  <c r="Q58"/>
  <c r="Q86"/>
  <c r="P61"/>
  <c r="S61" s="1"/>
  <c r="I64"/>
  <c r="Q65"/>
  <c r="S65" s="1"/>
  <c r="P70"/>
  <c r="P99"/>
  <c r="Q83"/>
  <c r="S83" s="1"/>
  <c r="Q151"/>
  <c r="Q6" i="8"/>
  <c r="R44"/>
  <c r="R78"/>
  <c r="R89"/>
  <c r="R94"/>
  <c r="Q137"/>
  <c r="R143"/>
  <c r="R153"/>
  <c r="Q184"/>
  <c r="J234"/>
  <c r="R204"/>
  <c r="Q333"/>
  <c r="Q352"/>
  <c r="T366"/>
  <c r="T377"/>
  <c r="T388"/>
  <c r="K6" i="5"/>
  <c r="P8"/>
  <c r="P11"/>
  <c r="P14"/>
  <c r="P15"/>
  <c r="P21"/>
  <c r="L26"/>
  <c r="P29"/>
  <c r="N32"/>
  <c r="P35"/>
  <c r="L46"/>
  <c r="K53" s="1"/>
  <c r="N6" i="9"/>
  <c r="M18"/>
  <c r="P18" s="1"/>
  <c r="R14" i="13"/>
  <c r="O6" i="28"/>
  <c r="L11" i="11"/>
  <c r="E7" i="19" s="1"/>
  <c r="F7" s="1"/>
  <c r="M10" i="15"/>
  <c r="E13" i="19" s="1"/>
  <c r="L10" i="15"/>
  <c r="D13" i="19" s="1"/>
  <c r="K12" i="24"/>
  <c r="C11" i="18"/>
  <c r="C12" s="1"/>
  <c r="C13" s="1"/>
  <c r="J24"/>
  <c r="O30" i="19" s="1"/>
  <c r="G30" i="18"/>
  <c r="G38"/>
  <c r="N422" i="8"/>
  <c r="N525"/>
  <c r="N398"/>
  <c r="C3" i="19" s="1"/>
  <c r="N514" i="8"/>
  <c r="Q108"/>
  <c r="R123"/>
  <c r="Q253"/>
  <c r="K297"/>
  <c r="R297" s="1"/>
  <c r="T346"/>
  <c r="T350"/>
  <c r="Q14" i="27"/>
  <c r="K18" i="5"/>
  <c r="N18" s="1"/>
  <c r="O11" i="14"/>
  <c r="L21" i="26"/>
  <c r="S49" i="19" s="1"/>
  <c r="K15" i="12"/>
  <c r="K16" s="1"/>
  <c r="J10" i="18"/>
  <c r="L10" s="1"/>
  <c r="G36"/>
  <c r="P112" i="21"/>
  <c r="N6" i="5"/>
  <c r="L6"/>
  <c r="D38"/>
  <c r="B4" i="19" s="1"/>
  <c r="L18" i="5"/>
  <c r="P10" i="9"/>
  <c r="N30"/>
  <c r="P30" s="1"/>
  <c r="G42"/>
  <c r="O26" i="13"/>
  <c r="G34" i="18"/>
  <c r="M248" i="21"/>
  <c r="Q77"/>
  <c r="I106"/>
  <c r="I107" s="1"/>
  <c r="P135"/>
  <c r="R84" i="8"/>
  <c r="Q94"/>
  <c r="R148"/>
  <c r="R158"/>
  <c r="R163"/>
  <c r="R168"/>
  <c r="R184"/>
  <c r="R190"/>
  <c r="Q233"/>
  <c r="R197"/>
  <c r="Q204"/>
  <c r="R217"/>
  <c r="Q313"/>
  <c r="Q320"/>
  <c r="T344"/>
  <c r="T348"/>
  <c r="R6" i="27"/>
  <c r="T6" s="1"/>
  <c r="K21"/>
  <c r="R21" s="1"/>
  <c r="R18" s="1"/>
  <c r="P22" i="5"/>
  <c r="P27"/>
  <c r="P36"/>
  <c r="M14" i="9"/>
  <c r="J22"/>
  <c r="J78" s="1"/>
  <c r="N34"/>
  <c r="O11" i="13"/>
  <c r="R11" s="1"/>
  <c r="P22"/>
  <c r="N18" i="10"/>
  <c r="L26" i="19" s="1"/>
  <c r="N20" i="10"/>
  <c r="L29" i="19" s="1"/>
  <c r="N22" i="10"/>
  <c r="L31" i="19" s="1"/>
  <c r="L24" i="14"/>
  <c r="M29" i="19" s="1"/>
  <c r="F26" i="26"/>
  <c r="F22"/>
  <c r="G32" i="18"/>
  <c r="I76" i="21"/>
  <c r="Q135"/>
  <c r="R16" i="27"/>
  <c r="K17"/>
  <c r="R17" s="1"/>
  <c r="Q6" i="21"/>
  <c r="Q20"/>
  <c r="Q97"/>
  <c r="Q90" s="1"/>
  <c r="T229" i="8"/>
  <c r="T243"/>
  <c r="T274"/>
  <c r="K289"/>
  <c r="T371"/>
  <c r="T379"/>
  <c r="T390"/>
  <c r="Q105" i="21"/>
  <c r="Q106"/>
  <c r="P133"/>
  <c r="P119" s="1"/>
  <c r="Q146"/>
  <c r="Q142" s="1"/>
  <c r="T373" i="8"/>
  <c r="T384"/>
  <c r="T392"/>
  <c r="P7" i="5"/>
  <c r="L38"/>
  <c r="P6" i="21"/>
  <c r="Q33"/>
  <c r="S33" s="1"/>
  <c r="I48"/>
  <c r="B34" i="29" s="1"/>
  <c r="J113" i="8"/>
  <c r="J114" s="1"/>
  <c r="T175"/>
  <c r="T375"/>
  <c r="T386"/>
  <c r="T394"/>
  <c r="K237"/>
  <c r="Q284"/>
  <c r="Q299"/>
  <c r="R223"/>
  <c r="N12" i="5"/>
  <c r="E61"/>
  <c r="E65"/>
  <c r="E68"/>
  <c r="E71"/>
  <c r="E76"/>
  <c r="G58" i="9"/>
  <c r="G62"/>
  <c r="G70"/>
  <c r="R34" i="8"/>
  <c r="Q62"/>
  <c r="R70"/>
  <c r="T98"/>
  <c r="J185"/>
  <c r="K188"/>
  <c r="K247"/>
  <c r="K248" s="1"/>
  <c r="R211"/>
  <c r="J269"/>
  <c r="K271"/>
  <c r="Q291"/>
  <c r="K12" i="27"/>
  <c r="R12" s="1"/>
  <c r="O20" i="5"/>
  <c r="P20" s="1"/>
  <c r="K25"/>
  <c r="K26"/>
  <c r="E46"/>
  <c r="E47" s="1"/>
  <c r="O46"/>
  <c r="E60"/>
  <c r="E64"/>
  <c r="E69"/>
  <c r="E74"/>
  <c r="E77"/>
  <c r="J89" i="9"/>
  <c r="J75"/>
  <c r="J67"/>
  <c r="J59"/>
  <c r="J54"/>
  <c r="J50"/>
  <c r="J80"/>
  <c r="J86"/>
  <c r="J76"/>
  <c r="J72"/>
  <c r="J68"/>
  <c r="J64"/>
  <c r="J58"/>
  <c r="G64"/>
  <c r="J84"/>
  <c r="L34" i="22"/>
  <c r="L22" i="26"/>
  <c r="S50" i="19" s="1"/>
  <c r="Q54" i="8"/>
  <c r="R54"/>
  <c r="R100"/>
  <c r="K256"/>
  <c r="K262"/>
  <c r="K278"/>
  <c r="K310"/>
  <c r="R310" s="1"/>
  <c r="K362"/>
  <c r="R362" s="1"/>
  <c r="R24" i="27"/>
  <c r="R22" s="1"/>
  <c r="K46" i="5"/>
  <c r="E59"/>
  <c r="E63"/>
  <c r="E67"/>
  <c r="E72"/>
  <c r="E75"/>
  <c r="M6" i="9"/>
  <c r="P6" s="1"/>
  <c r="G88"/>
  <c r="G86"/>
  <c r="G84"/>
  <c r="G82"/>
  <c r="G80"/>
  <c r="G89"/>
  <c r="G87"/>
  <c r="G85"/>
  <c r="G83"/>
  <c r="G81"/>
  <c r="G79"/>
  <c r="G77"/>
  <c r="G78"/>
  <c r="G75"/>
  <c r="G73"/>
  <c r="G71"/>
  <c r="G69"/>
  <c r="G67"/>
  <c r="G65"/>
  <c r="G63"/>
  <c r="G61"/>
  <c r="G59"/>
  <c r="G57"/>
  <c r="G56"/>
  <c r="G55"/>
  <c r="G54"/>
  <c r="G53"/>
  <c r="G52"/>
  <c r="G51"/>
  <c r="G50"/>
  <c r="G49"/>
  <c r="G48"/>
  <c r="G60"/>
  <c r="G66"/>
  <c r="G74"/>
  <c r="L60" i="13"/>
  <c r="O6" i="14"/>
  <c r="L16"/>
  <c r="R115" i="8"/>
  <c r="Q245"/>
  <c r="K315"/>
  <c r="K323"/>
  <c r="K324" s="1"/>
  <c r="Q223"/>
  <c r="H38" i="5"/>
  <c r="H77" s="1"/>
  <c r="N26"/>
  <c r="E58"/>
  <c r="E62"/>
  <c r="E66"/>
  <c r="E70"/>
  <c r="E73"/>
  <c r="M24" i="9"/>
  <c r="M22" s="1"/>
  <c r="G68"/>
  <c r="G76"/>
  <c r="L68" i="13"/>
  <c r="O14" i="10"/>
  <c r="E8" i="19" s="1"/>
  <c r="R6" i="13"/>
  <c r="L73"/>
  <c r="L71"/>
  <c r="L69"/>
  <c r="L67"/>
  <c r="L65"/>
  <c r="L63"/>
  <c r="L61"/>
  <c r="L59"/>
  <c r="L50"/>
  <c r="L52"/>
  <c r="L54"/>
  <c r="L56"/>
  <c r="L58"/>
  <c r="L66"/>
  <c r="O13" i="14"/>
  <c r="I27"/>
  <c r="I23"/>
  <c r="I22"/>
  <c r="I21"/>
  <c r="I24"/>
  <c r="I16"/>
  <c r="C9" i="19" s="1"/>
  <c r="I30" i="14"/>
  <c r="L64" i="13"/>
  <c r="L72"/>
  <c r="P6" i="28"/>
  <c r="H25" i="10"/>
  <c r="I28" i="14"/>
  <c r="I25"/>
  <c r="L49" i="13"/>
  <c r="L51"/>
  <c r="L53"/>
  <c r="L55"/>
  <c r="L57"/>
  <c r="L62"/>
  <c r="L70"/>
  <c r="L23" i="14"/>
  <c r="M28" i="19" s="1"/>
  <c r="F47" i="26"/>
  <c r="F45"/>
  <c r="F43"/>
  <c r="F41"/>
  <c r="F39"/>
  <c r="F37"/>
  <c r="F35"/>
  <c r="F33"/>
  <c r="F31"/>
  <c r="F29"/>
  <c r="F27"/>
  <c r="F44"/>
  <c r="F36"/>
  <c r="F28"/>
  <c r="F23"/>
  <c r="F46"/>
  <c r="F38"/>
  <c r="F30"/>
  <c r="F24"/>
  <c r="F17"/>
  <c r="F40"/>
  <c r="F32"/>
  <c r="F25"/>
  <c r="F21"/>
  <c r="F34"/>
  <c r="J26" i="18"/>
  <c r="O33" i="19" s="1"/>
  <c r="O10" i="28"/>
  <c r="Q6" i="10"/>
  <c r="E9" i="14"/>
  <c r="E10" s="1"/>
  <c r="L25"/>
  <c r="M30" i="19" s="1"/>
  <c r="F31" i="14"/>
  <c r="F32" s="1"/>
  <c r="L17" i="26"/>
  <c r="L15" i="23"/>
  <c r="E12" i="19" s="1"/>
  <c r="H15" i="23"/>
  <c r="C12" i="19" s="1"/>
  <c r="M17" i="26"/>
  <c r="E11" i="19" s="1"/>
  <c r="K18" i="10"/>
  <c r="K19"/>
  <c r="K20"/>
  <c r="K21"/>
  <c r="K22"/>
  <c r="I29" i="14"/>
  <c r="L21"/>
  <c r="L22"/>
  <c r="M27" i="19" s="1"/>
  <c r="I26" i="14"/>
  <c r="L28" i="22"/>
  <c r="L84" s="1"/>
  <c r="K7" i="23"/>
  <c r="K15" s="1"/>
  <c r="H22"/>
  <c r="H21"/>
  <c r="H20"/>
  <c r="H19"/>
  <c r="K20"/>
  <c r="Q30" i="19" s="1"/>
  <c r="K19" i="23"/>
  <c r="E23"/>
  <c r="E24" s="1"/>
  <c r="J6" i="18"/>
  <c r="K12" i="25"/>
  <c r="G22" i="18"/>
  <c r="G23"/>
  <c r="G24"/>
  <c r="G25"/>
  <c r="G26"/>
  <c r="G27"/>
  <c r="G28"/>
  <c r="G29"/>
  <c r="G31"/>
  <c r="G33"/>
  <c r="G35"/>
  <c r="G37"/>
  <c r="T195" i="8"/>
  <c r="N427"/>
  <c r="I101" i="22"/>
  <c r="M173" i="21"/>
  <c r="T30" i="27"/>
  <c r="T251" i="8"/>
  <c r="N522"/>
  <c r="P77" i="21"/>
  <c r="M274"/>
  <c r="I114" i="22"/>
  <c r="I88"/>
  <c r="I99"/>
  <c r="I112"/>
  <c r="I97"/>
  <c r="I89"/>
  <c r="I95"/>
  <c r="I103"/>
  <c r="I93"/>
  <c r="M174" i="21"/>
  <c r="M176"/>
  <c r="M178"/>
  <c r="M180"/>
  <c r="M182"/>
  <c r="M184"/>
  <c r="M186"/>
  <c r="M190"/>
  <c r="M194"/>
  <c r="M198"/>
  <c r="M202"/>
  <c r="M206"/>
  <c r="M210"/>
  <c r="M214"/>
  <c r="M218"/>
  <c r="M222"/>
  <c r="M226"/>
  <c r="M230"/>
  <c r="M234"/>
  <c r="M238"/>
  <c r="M242"/>
  <c r="M189"/>
  <c r="M193"/>
  <c r="M197"/>
  <c r="M201"/>
  <c r="M205"/>
  <c r="M209"/>
  <c r="M213"/>
  <c r="M217"/>
  <c r="M221"/>
  <c r="M225"/>
  <c r="M229"/>
  <c r="M233"/>
  <c r="M237"/>
  <c r="M241"/>
  <c r="M245"/>
  <c r="M175"/>
  <c r="M177"/>
  <c r="M179"/>
  <c r="M181"/>
  <c r="M183"/>
  <c r="M185"/>
  <c r="M188"/>
  <c r="M192"/>
  <c r="M196"/>
  <c r="M200"/>
  <c r="M204"/>
  <c r="M208"/>
  <c r="M212"/>
  <c r="M216"/>
  <c r="M220"/>
  <c r="M224"/>
  <c r="M228"/>
  <c r="M232"/>
  <c r="M236"/>
  <c r="M240"/>
  <c r="M244"/>
  <c r="M246"/>
  <c r="M153"/>
  <c r="M187"/>
  <c r="M191"/>
  <c r="M195"/>
  <c r="M199"/>
  <c r="M203"/>
  <c r="M207"/>
  <c r="M211"/>
  <c r="M215"/>
  <c r="M219"/>
  <c r="M223"/>
  <c r="M227"/>
  <c r="M231"/>
  <c r="M235"/>
  <c r="M239"/>
  <c r="M243"/>
  <c r="M247"/>
  <c r="M249"/>
  <c r="M251"/>
  <c r="M253"/>
  <c r="M255"/>
  <c r="M257"/>
  <c r="M259"/>
  <c r="M261"/>
  <c r="M263"/>
  <c r="M265"/>
  <c r="M267"/>
  <c r="M269"/>
  <c r="M271"/>
  <c r="M273"/>
  <c r="M250"/>
  <c r="M252"/>
  <c r="M254"/>
  <c r="M256"/>
  <c r="M258"/>
  <c r="M260"/>
  <c r="M262"/>
  <c r="M264"/>
  <c r="M266"/>
  <c r="M268"/>
  <c r="M270"/>
  <c r="M272"/>
  <c r="N437" i="8"/>
  <c r="N449"/>
  <c r="N468"/>
  <c r="N484"/>
  <c r="N496"/>
  <c r="N512"/>
  <c r="N434"/>
  <c r="N442"/>
  <c r="N450"/>
  <c r="N457"/>
  <c r="N465"/>
  <c r="N473"/>
  <c r="N481"/>
  <c r="N489"/>
  <c r="N497"/>
  <c r="N501"/>
  <c r="N509"/>
  <c r="N421"/>
  <c r="N425"/>
  <c r="N431"/>
  <c r="N436"/>
  <c r="N440"/>
  <c r="N444"/>
  <c r="N448"/>
  <c r="N452"/>
  <c r="N456"/>
  <c r="N459"/>
  <c r="N463"/>
  <c r="N467"/>
  <c r="N471"/>
  <c r="N475"/>
  <c r="N479"/>
  <c r="N483"/>
  <c r="N487"/>
  <c r="N491"/>
  <c r="N495"/>
  <c r="N499"/>
  <c r="N503"/>
  <c r="N507"/>
  <c r="N511"/>
  <c r="N515"/>
  <c r="N519"/>
  <c r="N523"/>
  <c r="N445"/>
  <c r="N460"/>
  <c r="N476"/>
  <c r="N492"/>
  <c r="N504"/>
  <c r="N516"/>
  <c r="N520"/>
  <c r="N524"/>
  <c r="N521"/>
  <c r="N433"/>
  <c r="N441"/>
  <c r="N453"/>
  <c r="N464"/>
  <c r="N472"/>
  <c r="N480"/>
  <c r="N488"/>
  <c r="N500"/>
  <c r="N508"/>
  <c r="N423"/>
  <c r="N429"/>
  <c r="N438"/>
  <c r="N446"/>
  <c r="N454"/>
  <c r="N461"/>
  <c r="N469"/>
  <c r="N477"/>
  <c r="N485"/>
  <c r="N493"/>
  <c r="N505"/>
  <c r="N513"/>
  <c r="N517"/>
  <c r="N432"/>
  <c r="N435"/>
  <c r="N439"/>
  <c r="N443"/>
  <c r="N447"/>
  <c r="N451"/>
  <c r="N455"/>
  <c r="N458"/>
  <c r="N462"/>
  <c r="N466"/>
  <c r="N470"/>
  <c r="N474"/>
  <c r="N478"/>
  <c r="N482"/>
  <c r="N486"/>
  <c r="N490"/>
  <c r="N494"/>
  <c r="N498"/>
  <c r="N502"/>
  <c r="N506"/>
  <c r="N510"/>
  <c r="N518"/>
  <c r="Q307"/>
  <c r="R23"/>
  <c r="Q34"/>
  <c r="Q115"/>
  <c r="Q44"/>
  <c r="T44" s="1"/>
  <c r="T23"/>
  <c r="R62"/>
  <c r="Q100"/>
  <c r="Q123"/>
  <c r="R137"/>
  <c r="T137" s="1"/>
  <c r="I91" i="22"/>
  <c r="I94"/>
  <c r="I96"/>
  <c r="I98"/>
  <c r="I100"/>
  <c r="I102"/>
  <c r="I104"/>
  <c r="I106"/>
  <c r="I108"/>
  <c r="I110"/>
  <c r="I90"/>
  <c r="I105"/>
  <c r="I107"/>
  <c r="I109"/>
  <c r="I111"/>
  <c r="I113"/>
  <c r="I115"/>
  <c r="I92"/>
  <c r="N426" i="8"/>
  <c r="N430"/>
  <c r="N424"/>
  <c r="N428"/>
  <c r="R358"/>
  <c r="R352" s="1"/>
  <c r="S51" i="19" l="1"/>
  <c r="Y71" i="29"/>
  <c r="S53" i="19"/>
  <c r="D53" i="18"/>
  <c r="D54" s="1"/>
  <c r="J27"/>
  <c r="O34" i="19" s="1"/>
  <c r="Z12" i="29"/>
  <c r="Z26"/>
  <c r="Z19"/>
  <c r="Z10"/>
  <c r="Z24"/>
  <c r="Z21"/>
  <c r="Z69"/>
  <c r="Z5"/>
  <c r="Z9"/>
  <c r="Z54"/>
  <c r="Z42"/>
  <c r="Z22"/>
  <c r="Z13"/>
  <c r="Z23"/>
  <c r="Z20"/>
  <c r="Z17"/>
  <c r="Z25"/>
  <c r="Z49"/>
  <c r="Z18"/>
  <c r="Z41"/>
  <c r="Z67"/>
  <c r="Z56"/>
  <c r="Z40"/>
  <c r="Z68"/>
  <c r="Z29"/>
  <c r="Z28"/>
  <c r="Z27"/>
  <c r="J85" i="9"/>
  <c r="P14"/>
  <c r="I42" i="13"/>
  <c r="I34" i="19" s="1"/>
  <c r="I38" i="13"/>
  <c r="I34"/>
  <c r="I41"/>
  <c r="I33" i="19" s="1"/>
  <c r="I37" i="13"/>
  <c r="I40"/>
  <c r="I36"/>
  <c r="I39"/>
  <c r="I31" i="19" s="1"/>
  <c r="I35" i="13"/>
  <c r="I27" i="19" s="1"/>
  <c r="S70" i="29"/>
  <c r="I18" i="28"/>
  <c r="I17"/>
  <c r="I47"/>
  <c r="I36" i="15"/>
  <c r="N51" i="19" s="1"/>
  <c r="I35" i="15"/>
  <c r="N50" i="19" s="1"/>
  <c r="I37" i="15"/>
  <c r="N52" i="19" s="1"/>
  <c r="I33" i="15"/>
  <c r="N48" i="19" s="1"/>
  <c r="I32" i="15"/>
  <c r="N47" i="19" s="1"/>
  <c r="I31" i="15"/>
  <c r="N46" i="19" s="1"/>
  <c r="I34" i="15"/>
  <c r="N49" i="19" s="1"/>
  <c r="I29" i="15"/>
  <c r="I76"/>
  <c r="I77" s="1"/>
  <c r="L26"/>
  <c r="I30"/>
  <c r="N45" i="19" s="1"/>
  <c r="U70" i="29"/>
  <c r="U71" s="1"/>
  <c r="F43" i="15"/>
  <c r="F47"/>
  <c r="F51"/>
  <c r="F55"/>
  <c r="F59"/>
  <c r="F63"/>
  <c r="F67"/>
  <c r="F71"/>
  <c r="F75"/>
  <c r="F50"/>
  <c r="F66"/>
  <c r="F44"/>
  <c r="F48"/>
  <c r="F52"/>
  <c r="F56"/>
  <c r="F60"/>
  <c r="F64"/>
  <c r="F68"/>
  <c r="F72"/>
  <c r="F42"/>
  <c r="F69"/>
  <c r="F46"/>
  <c r="F58"/>
  <c r="F70"/>
  <c r="F26"/>
  <c r="F45"/>
  <c r="F49"/>
  <c r="F53"/>
  <c r="F57"/>
  <c r="F61"/>
  <c r="F65"/>
  <c r="F73"/>
  <c r="F54"/>
  <c r="F62"/>
  <c r="F74"/>
  <c r="M26"/>
  <c r="T70" i="29"/>
  <c r="O14" i="28"/>
  <c r="Q70" i="29"/>
  <c r="M168" i="21"/>
  <c r="M167"/>
  <c r="O71" i="29" s="1"/>
  <c r="M157" i="21"/>
  <c r="Q148"/>
  <c r="S148" s="1"/>
  <c r="P90"/>
  <c r="Q108"/>
  <c r="S108" s="1"/>
  <c r="J153"/>
  <c r="R341" i="8"/>
  <c r="B64" i="29"/>
  <c r="B44"/>
  <c r="B12"/>
  <c r="B25"/>
  <c r="B61"/>
  <c r="B8"/>
  <c r="B26"/>
  <c r="B51"/>
  <c r="B33"/>
  <c r="B3"/>
  <c r="B47"/>
  <c r="B15"/>
  <c r="B24"/>
  <c r="B60"/>
  <c r="B39"/>
  <c r="B7"/>
  <c r="B30"/>
  <c r="B55"/>
  <c r="B36"/>
  <c r="B20"/>
  <c r="B66"/>
  <c r="B46"/>
  <c r="B14"/>
  <c r="B22"/>
  <c r="B63"/>
  <c r="B43"/>
  <c r="B11"/>
  <c r="B53"/>
  <c r="B35"/>
  <c r="B19"/>
  <c r="B50"/>
  <c r="B23"/>
  <c r="B62"/>
  <c r="B10"/>
  <c r="B32"/>
  <c r="B59"/>
  <c r="B38"/>
  <c r="B6"/>
  <c r="B57"/>
  <c r="B48"/>
  <c r="B16"/>
  <c r="B21"/>
  <c r="B65"/>
  <c r="B45"/>
  <c r="B13"/>
  <c r="B31"/>
  <c r="B58"/>
  <c r="B37"/>
  <c r="B4"/>
  <c r="B27"/>
  <c r="B52"/>
  <c r="R333" i="8"/>
  <c r="T143"/>
  <c r="K27" i="18"/>
  <c r="O52" i="19" s="1"/>
  <c r="K23" i="26"/>
  <c r="K24"/>
  <c r="L25"/>
  <c r="F56"/>
  <c r="J22" i="18"/>
  <c r="J23"/>
  <c r="J25"/>
  <c r="O31" i="19" s="1"/>
  <c r="L35"/>
  <c r="F13"/>
  <c r="P14" i="28"/>
  <c r="R14" s="1"/>
  <c r="P22" i="9"/>
  <c r="J42"/>
  <c r="C5" i="19" s="1"/>
  <c r="J62" i="9"/>
  <c r="J70"/>
  <c r="J79"/>
  <c r="J88"/>
  <c r="J51"/>
  <c r="J55"/>
  <c r="J61"/>
  <c r="J69"/>
  <c r="J81"/>
  <c r="T94" i="8"/>
  <c r="S70" i="21"/>
  <c r="J48" i="9"/>
  <c r="J52"/>
  <c r="J56"/>
  <c r="J63"/>
  <c r="J71"/>
  <c r="J83"/>
  <c r="J60"/>
  <c r="J66"/>
  <c r="J74"/>
  <c r="J77"/>
  <c r="J49"/>
  <c r="J53"/>
  <c r="J57"/>
  <c r="J65"/>
  <c r="J73"/>
  <c r="P34"/>
  <c r="Q10" i="10"/>
  <c r="R342" i="8"/>
  <c r="K343"/>
  <c r="R343" s="1"/>
  <c r="J82" i="9"/>
  <c r="J87"/>
  <c r="K332" i="8"/>
  <c r="R332" s="1"/>
  <c r="R328" s="1"/>
  <c r="T328" s="1"/>
  <c r="T108"/>
  <c r="T34"/>
  <c r="M84" i="22"/>
  <c r="K249" i="8"/>
  <c r="K250" s="1"/>
  <c r="R250" s="1"/>
  <c r="R245" s="1"/>
  <c r="T245" s="1"/>
  <c r="K364"/>
  <c r="K365" s="1"/>
  <c r="K63" i="5"/>
  <c r="S99" i="21"/>
  <c r="T54" i="8"/>
  <c r="T100"/>
  <c r="S6" i="21"/>
  <c r="L85" i="22"/>
  <c r="M91"/>
  <c r="P52" i="19" s="1"/>
  <c r="M90" i="22"/>
  <c r="E10" i="19"/>
  <c r="I128" i="22"/>
  <c r="I129" s="1"/>
  <c r="F103"/>
  <c r="D10" i="19"/>
  <c r="F113" i="22"/>
  <c r="F97"/>
  <c r="F109"/>
  <c r="F93"/>
  <c r="F106"/>
  <c r="F107"/>
  <c r="F105"/>
  <c r="F114"/>
  <c r="F115"/>
  <c r="F104"/>
  <c r="F101"/>
  <c r="F108"/>
  <c r="F89"/>
  <c r="F98"/>
  <c r="F100"/>
  <c r="F88"/>
  <c r="F91"/>
  <c r="F92"/>
  <c r="F95"/>
  <c r="F99"/>
  <c r="F102"/>
  <c r="F96"/>
  <c r="F111"/>
  <c r="F90"/>
  <c r="F94"/>
  <c r="F110"/>
  <c r="F112"/>
  <c r="O15" i="28"/>
  <c r="L35" i="13"/>
  <c r="I45" i="19" s="1"/>
  <c r="L39" i="13"/>
  <c r="I49" i="19" s="1"/>
  <c r="L34" i="13"/>
  <c r="I44" i="19" s="1"/>
  <c r="L36" i="13"/>
  <c r="I46" i="19" s="1"/>
  <c r="L40" i="13"/>
  <c r="I50" i="19" s="1"/>
  <c r="L42" i="13"/>
  <c r="I52" i="19" s="1"/>
  <c r="L37" i="13"/>
  <c r="I47" i="19" s="1"/>
  <c r="L41" i="13"/>
  <c r="L38"/>
  <c r="I48" i="19" s="1"/>
  <c r="I30"/>
  <c r="I26"/>
  <c r="I28"/>
  <c r="I32"/>
  <c r="I29"/>
  <c r="P30" i="13"/>
  <c r="E6" i="19" s="1"/>
  <c r="I98" i="13"/>
  <c r="I99" s="1"/>
  <c r="L98"/>
  <c r="L99" s="1"/>
  <c r="N55" i="27"/>
  <c r="F52" i="19" s="1"/>
  <c r="N54" i="27"/>
  <c r="F51" i="19" s="1"/>
  <c r="Q49" i="27"/>
  <c r="N77"/>
  <c r="N78" s="1"/>
  <c r="T22"/>
  <c r="T18"/>
  <c r="K29"/>
  <c r="R29" s="1"/>
  <c r="R26" s="1"/>
  <c r="D52" i="19"/>
  <c r="M287" i="21"/>
  <c r="M288" s="1"/>
  <c r="T217" i="8"/>
  <c r="T158"/>
  <c r="T84"/>
  <c r="K306"/>
  <c r="R306" s="1"/>
  <c r="R299" s="1"/>
  <c r="T299" s="1"/>
  <c r="T148"/>
  <c r="T168"/>
  <c r="T177"/>
  <c r="S77" i="21"/>
  <c r="S142"/>
  <c r="S38"/>
  <c r="S135"/>
  <c r="S112"/>
  <c r="S58"/>
  <c r="S116"/>
  <c r="S86"/>
  <c r="S53"/>
  <c r="S13"/>
  <c r="S49"/>
  <c r="S28"/>
  <c r="J235"/>
  <c r="S20"/>
  <c r="T6" i="8"/>
  <c r="T131"/>
  <c r="T153"/>
  <c r="T89"/>
  <c r="N538"/>
  <c r="N539" s="1"/>
  <c r="N412"/>
  <c r="E52" i="19" s="1"/>
  <c r="T70" i="8"/>
  <c r="T163"/>
  <c r="T211"/>
  <c r="T78"/>
  <c r="T204"/>
  <c r="K298"/>
  <c r="R298" s="1"/>
  <c r="R291" s="1"/>
  <c r="T291" s="1"/>
  <c r="T115"/>
  <c r="T190"/>
  <c r="T123"/>
  <c r="T333"/>
  <c r="T197"/>
  <c r="T62"/>
  <c r="H76" i="5"/>
  <c r="H62"/>
  <c r="O30" i="13"/>
  <c r="K13" i="24"/>
  <c r="D14" i="19"/>
  <c r="F14" s="1"/>
  <c r="H67" i="5"/>
  <c r="H59"/>
  <c r="H68"/>
  <c r="H78"/>
  <c r="T223" i="8"/>
  <c r="N24" i="10"/>
  <c r="N25" s="1"/>
  <c r="N42" i="9"/>
  <c r="E5" i="19" s="1"/>
  <c r="T184" i="8"/>
  <c r="P153" i="21"/>
  <c r="D2" i="19" s="1"/>
  <c r="E16" i="14"/>
  <c r="H75" i="5"/>
  <c r="H70"/>
  <c r="H64"/>
  <c r="H65"/>
  <c r="H63"/>
  <c r="H72"/>
  <c r="K326" i="8"/>
  <c r="K327" s="1"/>
  <c r="R327" s="1"/>
  <c r="R320" s="1"/>
  <c r="T320" s="1"/>
  <c r="K311"/>
  <c r="R311" s="1"/>
  <c r="L26" i="26"/>
  <c r="R14" i="27"/>
  <c r="T14" s="1"/>
  <c r="K12" i="11"/>
  <c r="S90" i="21"/>
  <c r="J17" i="18"/>
  <c r="L6"/>
  <c r="H23" i="23"/>
  <c r="H24" s="1"/>
  <c r="L20"/>
  <c r="Q48" i="19" s="1"/>
  <c r="L19" i="23"/>
  <c r="Q43" i="19" s="1"/>
  <c r="K16" i="23"/>
  <c r="D12" i="19"/>
  <c r="F12" s="1"/>
  <c r="L26" i="14"/>
  <c r="L27" s="1"/>
  <c r="M25" i="19"/>
  <c r="M35" s="1"/>
  <c r="K316" i="8"/>
  <c r="K317" s="1"/>
  <c r="K52" i="5"/>
  <c r="E4" i="19"/>
  <c r="K13" i="27"/>
  <c r="K65" s="1"/>
  <c r="K189" i="8"/>
  <c r="Q104" i="21"/>
  <c r="S104" s="1"/>
  <c r="J254"/>
  <c r="K282" i="8"/>
  <c r="R282" s="1"/>
  <c r="K272"/>
  <c r="K273" s="1"/>
  <c r="R273" s="1"/>
  <c r="R268" s="1"/>
  <c r="T268" s="1"/>
  <c r="G53" i="18"/>
  <c r="G54" s="1"/>
  <c r="K25"/>
  <c r="O49" i="19" s="1"/>
  <c r="K26" i="18"/>
  <c r="K22"/>
  <c r="O44" i="19" s="1"/>
  <c r="K23" i="18"/>
  <c r="K24"/>
  <c r="O48" i="19" s="1"/>
  <c r="H47" i="5"/>
  <c r="C4" i="19"/>
  <c r="H74" i="5"/>
  <c r="H69"/>
  <c r="H60"/>
  <c r="K258" i="8"/>
  <c r="K259" s="1"/>
  <c r="R259" s="1"/>
  <c r="R253" s="1"/>
  <c r="T253" s="1"/>
  <c r="H71" i="5"/>
  <c r="H61"/>
  <c r="K263" i="8"/>
  <c r="H66" i="5"/>
  <c r="H58"/>
  <c r="J268" i="21"/>
  <c r="J269"/>
  <c r="J274"/>
  <c r="J190"/>
  <c r="J197"/>
  <c r="K21" i="23"/>
  <c r="K22" s="1"/>
  <c r="Q25" i="19"/>
  <c r="Q35" s="1"/>
  <c r="K24" i="10"/>
  <c r="K25" s="1"/>
  <c r="O23"/>
  <c r="L49" i="19" s="1"/>
  <c r="O22" i="10"/>
  <c r="L48" i="19" s="1"/>
  <c r="O21" i="10"/>
  <c r="L47" i="19" s="1"/>
  <c r="O20" i="10"/>
  <c r="L46" i="19" s="1"/>
  <c r="O19" i="10"/>
  <c r="L45" i="19" s="1"/>
  <c r="O18" i="10"/>
  <c r="L44" i="19" s="1"/>
  <c r="L18" i="26"/>
  <c r="D11" i="19"/>
  <c r="F11" s="1"/>
  <c r="S33"/>
  <c r="K22" i="26"/>
  <c r="S32" i="19" s="1"/>
  <c r="K21" i="26"/>
  <c r="F57"/>
  <c r="N15" i="10"/>
  <c r="Q14"/>
  <c r="D8" i="19"/>
  <c r="F8" s="1"/>
  <c r="G90" i="9"/>
  <c r="G91" s="1"/>
  <c r="M54"/>
  <c r="H33" i="19" s="1"/>
  <c r="M52" i="9"/>
  <c r="H31" i="19" s="1"/>
  <c r="M50" i="9"/>
  <c r="H29" i="19" s="1"/>
  <c r="M48" i="9"/>
  <c r="M53"/>
  <c r="H32" i="19" s="1"/>
  <c r="M51" i="9"/>
  <c r="H30" i="19" s="1"/>
  <c r="M49" i="9"/>
  <c r="H28" i="19" s="1"/>
  <c r="M42" i="9"/>
  <c r="K24" i="5"/>
  <c r="O24"/>
  <c r="P24" s="1"/>
  <c r="P38" s="1"/>
  <c r="H73"/>
  <c r="K238" i="8"/>
  <c r="J272" i="21"/>
  <c r="J273"/>
  <c r="R289" i="8"/>
  <c r="K290"/>
  <c r="R290" s="1"/>
  <c r="J186" i="21"/>
  <c r="J189"/>
  <c r="O16" i="14"/>
  <c r="B9" i="19"/>
  <c r="I31" i="14"/>
  <c r="I32" s="1"/>
  <c r="M25"/>
  <c r="M47" i="19" s="1"/>
  <c r="M24" i="14"/>
  <c r="M46" i="19" s="1"/>
  <c r="M23" i="14"/>
  <c r="M45" i="19" s="1"/>
  <c r="M22" i="14"/>
  <c r="M44" i="19" s="1"/>
  <c r="M21" i="14"/>
  <c r="M43" i="19" s="1"/>
  <c r="K64" i="5"/>
  <c r="G33" i="19" s="1"/>
  <c r="K60" i="5"/>
  <c r="G29" i="19" s="1"/>
  <c r="K61" i="5"/>
  <c r="G30" i="19" s="1"/>
  <c r="K62" i="5"/>
  <c r="G31" i="19" s="1"/>
  <c r="K58" i="5"/>
  <c r="E80"/>
  <c r="E81" s="1"/>
  <c r="G32" i="19"/>
  <c r="K59" i="5"/>
  <c r="G28" i="19" s="1"/>
  <c r="L17" i="14"/>
  <c r="D9" i="19"/>
  <c r="K50" i="5"/>
  <c r="K47"/>
  <c r="N46"/>
  <c r="J213" i="21"/>
  <c r="J218"/>
  <c r="J234"/>
  <c r="J251"/>
  <c r="J215"/>
  <c r="J185"/>
  <c r="J228"/>
  <c r="M88" i="22"/>
  <c r="P49" i="19" s="1"/>
  <c r="M158" i="21"/>
  <c r="D41" i="19" s="1"/>
  <c r="C41" s="1"/>
  <c r="M159" i="21"/>
  <c r="D43" i="19" s="1"/>
  <c r="M164" i="21"/>
  <c r="D48" i="19" s="1"/>
  <c r="M160" i="21"/>
  <c r="D44" i="19" s="1"/>
  <c r="C2"/>
  <c r="M166" i="21"/>
  <c r="D50" i="19" s="1"/>
  <c r="M162" i="21"/>
  <c r="D46" i="19" s="1"/>
  <c r="M165" i="21"/>
  <c r="D49" i="19" s="1"/>
  <c r="M161" i="21"/>
  <c r="D45" i="19" s="1"/>
  <c r="D40"/>
  <c r="C40" s="1"/>
  <c r="D51"/>
  <c r="M163" i="21"/>
  <c r="D47" i="19" s="1"/>
  <c r="M89" i="22"/>
  <c r="P50" i="19" s="1"/>
  <c r="N411" i="8"/>
  <c r="E51" i="19" s="1"/>
  <c r="N406" i="8"/>
  <c r="E46" i="19" s="1"/>
  <c r="N407" i="8"/>
  <c r="E47" i="19" s="1"/>
  <c r="N408" i="8"/>
  <c r="E48" i="19" s="1"/>
  <c r="N410" i="8"/>
  <c r="E50" i="19" s="1"/>
  <c r="N402" i="8"/>
  <c r="N403"/>
  <c r="E43" i="19" s="1"/>
  <c r="N405" i="8"/>
  <c r="E45" i="19" s="1"/>
  <c r="N409" i="8"/>
  <c r="E49" i="19" s="1"/>
  <c r="N404" i="8"/>
  <c r="E44" i="19" s="1"/>
  <c r="T352" i="8"/>
  <c r="O27" i="19" l="1"/>
  <c r="O45"/>
  <c r="O51"/>
  <c r="V71" i="29"/>
  <c r="O26" i="19"/>
  <c r="J28" i="18"/>
  <c r="C52" i="19"/>
  <c r="S54"/>
  <c r="P51"/>
  <c r="P53" s="1"/>
  <c r="P54" s="1"/>
  <c r="W71" i="29"/>
  <c r="C43" i="19"/>
  <c r="O53"/>
  <c r="L36"/>
  <c r="I19" i="28"/>
  <c r="I20" s="1"/>
  <c r="Z70" i="29"/>
  <c r="F53" i="19"/>
  <c r="N49" i="9"/>
  <c r="H46" i="19" s="1"/>
  <c r="N48" i="9"/>
  <c r="H45" i="19" s="1"/>
  <c r="N52" i="9"/>
  <c r="H49" i="19" s="1"/>
  <c r="N51" i="9"/>
  <c r="H48" i="19" s="1"/>
  <c r="N54" i="9"/>
  <c r="N53"/>
  <c r="H50" i="19" s="1"/>
  <c r="J90" i="9"/>
  <c r="J91" s="1"/>
  <c r="N50"/>
  <c r="H47" i="19" s="1"/>
  <c r="R30" i="13"/>
  <c r="I51" i="19"/>
  <c r="I53" s="1"/>
  <c r="S71" i="29"/>
  <c r="I35" i="19"/>
  <c r="I48" i="28"/>
  <c r="F37" i="15"/>
  <c r="N34" i="19" s="1"/>
  <c r="F33" i="15"/>
  <c r="N30" i="19" s="1"/>
  <c r="F29" i="15"/>
  <c r="F34"/>
  <c r="N31" i="19" s="1"/>
  <c r="F36" i="15"/>
  <c r="N33" i="19" s="1"/>
  <c r="F32" i="15"/>
  <c r="N29" i="19" s="1"/>
  <c r="F35" i="15"/>
  <c r="N32" i="19" s="1"/>
  <c r="F31" i="15"/>
  <c r="N28" i="19" s="1"/>
  <c r="F30" i="15"/>
  <c r="N27" i="19" s="1"/>
  <c r="F76" i="15"/>
  <c r="F77" s="1"/>
  <c r="N44" i="19"/>
  <c r="N53" s="1"/>
  <c r="I38" i="15"/>
  <c r="I39" s="1"/>
  <c r="Q71" i="29"/>
  <c r="P70"/>
  <c r="P71" s="1"/>
  <c r="D53" i="19"/>
  <c r="R364" i="8"/>
  <c r="N413"/>
  <c r="N414" s="1"/>
  <c r="E42" i="19"/>
  <c r="C42" s="1"/>
  <c r="K28" i="18"/>
  <c r="K29" s="1"/>
  <c r="K25" i="26"/>
  <c r="K26" s="1"/>
  <c r="C16" i="19"/>
  <c r="J29" i="18"/>
  <c r="J267" i="21"/>
  <c r="J266"/>
  <c r="J260"/>
  <c r="J209"/>
  <c r="J202"/>
  <c r="J262"/>
  <c r="J257"/>
  <c r="J256"/>
  <c r="J214"/>
  <c r="J206"/>
  <c r="J258"/>
  <c r="J253"/>
  <c r="J252"/>
  <c r="J210"/>
  <c r="J238"/>
  <c r="J182"/>
  <c r="J261"/>
  <c r="J205"/>
  <c r="J198"/>
  <c r="J250"/>
  <c r="J245"/>
  <c r="J236"/>
  <c r="J223"/>
  <c r="J246"/>
  <c r="J241"/>
  <c r="J181"/>
  <c r="J247"/>
  <c r="J231"/>
  <c r="J242"/>
  <c r="J237"/>
  <c r="J239"/>
  <c r="J217"/>
  <c r="J271"/>
  <c r="J229"/>
  <c r="J173"/>
  <c r="J193"/>
  <c r="J230"/>
  <c r="J225"/>
  <c r="P42" i="9"/>
  <c r="J174" i="21"/>
  <c r="R338" i="8"/>
  <c r="T338" s="1"/>
  <c r="J226" i="21"/>
  <c r="J221"/>
  <c r="J263"/>
  <c r="J248"/>
  <c r="K75" i="27"/>
  <c r="K61"/>
  <c r="J192" i="21"/>
  <c r="J201"/>
  <c r="J178"/>
  <c r="J222"/>
  <c r="J220"/>
  <c r="J194"/>
  <c r="J270"/>
  <c r="J249"/>
  <c r="J175"/>
  <c r="K49" i="27"/>
  <c r="L63" i="5"/>
  <c r="G50" i="19" s="1"/>
  <c r="C50" s="1"/>
  <c r="J200" i="21"/>
  <c r="J278"/>
  <c r="J280"/>
  <c r="J284"/>
  <c r="J275"/>
  <c r="J279"/>
  <c r="J283"/>
  <c r="J276"/>
  <c r="J282"/>
  <c r="J286"/>
  <c r="J277"/>
  <c r="J281"/>
  <c r="J285"/>
  <c r="L91" i="22"/>
  <c r="P34" i="19" s="1"/>
  <c r="L90" i="22"/>
  <c r="P33" i="19" s="1"/>
  <c r="M92" i="22"/>
  <c r="M93" s="1"/>
  <c r="F128"/>
  <c r="F129" s="1"/>
  <c r="F10" i="19"/>
  <c r="L89" i="22"/>
  <c r="P32" i="19" s="1"/>
  <c r="L88" i="22"/>
  <c r="E16" i="19"/>
  <c r="L43" i="13"/>
  <c r="I43"/>
  <c r="I44" s="1"/>
  <c r="T26" i="27"/>
  <c r="K64"/>
  <c r="N56"/>
  <c r="N57" s="1"/>
  <c r="K76"/>
  <c r="R13"/>
  <c r="R10" s="1"/>
  <c r="T10" s="1"/>
  <c r="K67"/>
  <c r="K73"/>
  <c r="K68"/>
  <c r="K69"/>
  <c r="K71"/>
  <c r="K70"/>
  <c r="K72"/>
  <c r="K62"/>
  <c r="K60"/>
  <c r="K66"/>
  <c r="K63"/>
  <c r="K74"/>
  <c r="J207" i="21"/>
  <c r="J195"/>
  <c r="J180"/>
  <c r="J184"/>
  <c r="J203"/>
  <c r="J212"/>
  <c r="M169"/>
  <c r="M170" s="1"/>
  <c r="J265"/>
  <c r="J264"/>
  <c r="J187"/>
  <c r="J176"/>
  <c r="J232"/>
  <c r="J243"/>
  <c r="J211"/>
  <c r="Q134"/>
  <c r="Q119" s="1"/>
  <c r="S119" s="1"/>
  <c r="J183"/>
  <c r="J199"/>
  <c r="J216"/>
  <c r="J255"/>
  <c r="J188"/>
  <c r="J204"/>
  <c r="J227"/>
  <c r="J240"/>
  <c r="J219"/>
  <c r="J233"/>
  <c r="J244"/>
  <c r="J224"/>
  <c r="J208"/>
  <c r="J191"/>
  <c r="J196"/>
  <c r="J179"/>
  <c r="J177"/>
  <c r="J259"/>
  <c r="R365" i="8"/>
  <c r="D6" i="19"/>
  <c r="F6" s="1"/>
  <c r="O31" i="13"/>
  <c r="R284" i="8"/>
  <c r="T284" s="1"/>
  <c r="Q36" i="19"/>
  <c r="K312" i="8"/>
  <c r="R312" s="1"/>
  <c r="R307" s="1"/>
  <c r="T307" s="1"/>
  <c r="M36" i="19"/>
  <c r="L21" i="23"/>
  <c r="L22" s="1"/>
  <c r="Q46" i="19" s="1"/>
  <c r="Q53" s="1"/>
  <c r="Q54" s="1"/>
  <c r="J18" i="18"/>
  <c r="L17"/>
  <c r="D15" i="19"/>
  <c r="F15" s="1"/>
  <c r="F9"/>
  <c r="B16"/>
  <c r="S31"/>
  <c r="S35" s="1"/>
  <c r="K239" i="8"/>
  <c r="K65" i="5"/>
  <c r="K66" s="1"/>
  <c r="G27" i="19"/>
  <c r="G35" s="1"/>
  <c r="K38" i="5"/>
  <c r="N24"/>
  <c r="L44" i="13"/>
  <c r="O24" i="10"/>
  <c r="O25" s="1"/>
  <c r="L51" i="19" s="1"/>
  <c r="L53" s="1"/>
  <c r="L54" s="1"/>
  <c r="K266" i="8"/>
  <c r="Q266" s="1"/>
  <c r="Q260" s="1"/>
  <c r="K283"/>
  <c r="R283" s="1"/>
  <c r="R276" s="1"/>
  <c r="T276" s="1"/>
  <c r="M26" i="14"/>
  <c r="M27" s="1"/>
  <c r="M49" i="19" s="1"/>
  <c r="M53" s="1"/>
  <c r="M54" s="1"/>
  <c r="M43" i="9"/>
  <c r="D5" i="19"/>
  <c r="F5" s="1"/>
  <c r="M55" i="9"/>
  <c r="M56" s="1"/>
  <c r="H27" i="19"/>
  <c r="H35" s="1"/>
  <c r="O38" i="5"/>
  <c r="L64"/>
  <c r="G51" i="19" s="1"/>
  <c r="L62" i="5"/>
  <c r="G49" i="19" s="1"/>
  <c r="C49" s="1"/>
  <c r="L61" i="5"/>
  <c r="G48" i="19" s="1"/>
  <c r="C48" s="1"/>
  <c r="L60" i="5"/>
  <c r="G47" i="19" s="1"/>
  <c r="C47" s="1"/>
  <c r="L59" i="5"/>
  <c r="G46" i="19" s="1"/>
  <c r="L58" i="5"/>
  <c r="G45" i="19" s="1"/>
  <c r="C45" s="1"/>
  <c r="H80" i="5"/>
  <c r="H81" s="1"/>
  <c r="K318" i="8"/>
  <c r="R318" s="1"/>
  <c r="H51" i="19" l="1"/>
  <c r="C51" s="1"/>
  <c r="Z71" i="29" s="1"/>
  <c r="R71"/>
  <c r="C44" i="19"/>
  <c r="O35"/>
  <c r="O36" s="1"/>
  <c r="G53"/>
  <c r="J168" i="21"/>
  <c r="O54" i="19"/>
  <c r="C46"/>
  <c r="F54"/>
  <c r="H53"/>
  <c r="H54" s="1"/>
  <c r="N55" i="9"/>
  <c r="N56" s="1"/>
  <c r="I54" i="19"/>
  <c r="N54"/>
  <c r="F38" i="15"/>
  <c r="F39" s="1"/>
  <c r="N26" i="19"/>
  <c r="N35" s="1"/>
  <c r="N36" s="1"/>
  <c r="D34"/>
  <c r="J287" i="21"/>
  <c r="J288" s="1"/>
  <c r="D54" i="19"/>
  <c r="R359" i="8"/>
  <c r="T359" s="1"/>
  <c r="E53" i="19"/>
  <c r="E54" s="1"/>
  <c r="R49" i="27"/>
  <c r="Q50" s="1"/>
  <c r="P31" i="19"/>
  <c r="P35" s="1"/>
  <c r="L92" i="22"/>
  <c r="L93" s="1"/>
  <c r="H36" i="19"/>
  <c r="I36"/>
  <c r="K77" i="27"/>
  <c r="K78" s="1"/>
  <c r="K55"/>
  <c r="F34" i="19" s="1"/>
  <c r="K54" i="27"/>
  <c r="F33" i="19" s="1"/>
  <c r="J159" i="21"/>
  <c r="D25" i="19" s="1"/>
  <c r="J158" i="21"/>
  <c r="D24" i="19" s="1"/>
  <c r="J160" i="21"/>
  <c r="D26" i="19" s="1"/>
  <c r="Q153" i="21"/>
  <c r="E2" i="19" s="1"/>
  <c r="F2" s="1"/>
  <c r="J165" i="21"/>
  <c r="D31" i="19" s="1"/>
  <c r="J162" i="21"/>
  <c r="D28" i="19" s="1"/>
  <c r="J166" i="21"/>
  <c r="D32" i="19" s="1"/>
  <c r="J164" i="21"/>
  <c r="D30" i="19" s="1"/>
  <c r="J167" i="21"/>
  <c r="D33" i="19" s="1"/>
  <c r="J157" i="21"/>
  <c r="D23" i="19" s="1"/>
  <c r="J161" i="21"/>
  <c r="D27" i="19" s="1"/>
  <c r="J163" i="21"/>
  <c r="D29" i="19" s="1"/>
  <c r="S36"/>
  <c r="K49" i="5"/>
  <c r="K51" s="1"/>
  <c r="K54" s="1"/>
  <c r="K39"/>
  <c r="K48" s="1"/>
  <c r="N48" s="1"/>
  <c r="D4" i="19"/>
  <c r="K241" i="8"/>
  <c r="G36" i="19"/>
  <c r="L65" i="5"/>
  <c r="L66" s="1"/>
  <c r="Q398" i="8"/>
  <c r="K319"/>
  <c r="K267"/>
  <c r="R267" s="1"/>
  <c r="R260" s="1"/>
  <c r="T260" s="1"/>
  <c r="G54" i="19" l="1"/>
  <c r="T49" i="27"/>
  <c r="C53" i="19"/>
  <c r="D35"/>
  <c r="P154" i="21"/>
  <c r="S153"/>
  <c r="P36" i="19"/>
  <c r="K56" i="27"/>
  <c r="K57" s="1"/>
  <c r="J169" i="21"/>
  <c r="J170" s="1"/>
  <c r="R319" i="8"/>
  <c r="R313" s="1"/>
  <c r="T313" s="1"/>
  <c r="K536"/>
  <c r="K442"/>
  <c r="D3" i="19"/>
  <c r="C23"/>
  <c r="D16"/>
  <c r="F16" s="1"/>
  <c r="F4"/>
  <c r="K242" i="8"/>
  <c r="K537" s="1"/>
  <c r="D36" i="19" l="1"/>
  <c r="K532" i="8"/>
  <c r="K527"/>
  <c r="K508"/>
  <c r="K533"/>
  <c r="K535"/>
  <c r="K528"/>
  <c r="K534"/>
  <c r="K526"/>
  <c r="K529"/>
  <c r="K530"/>
  <c r="K531"/>
  <c r="K493"/>
  <c r="K445"/>
  <c r="K441"/>
  <c r="K486"/>
  <c r="K429"/>
  <c r="K425"/>
  <c r="K485"/>
  <c r="K426"/>
  <c r="K520"/>
  <c r="K521"/>
  <c r="K478"/>
  <c r="K524"/>
  <c r="K506"/>
  <c r="K522"/>
  <c r="K523"/>
  <c r="K480"/>
  <c r="K481"/>
  <c r="K436"/>
  <c r="K484"/>
  <c r="K449"/>
  <c r="K482"/>
  <c r="K483"/>
  <c r="K440"/>
  <c r="K437"/>
  <c r="K495"/>
  <c r="K455"/>
  <c r="K496"/>
  <c r="K497"/>
  <c r="K454"/>
  <c r="K500"/>
  <c r="K461"/>
  <c r="K424"/>
  <c r="K447"/>
  <c r="K488"/>
  <c r="K489"/>
  <c r="K446"/>
  <c r="K492"/>
  <c r="K487"/>
  <c r="K490"/>
  <c r="K491"/>
  <c r="K448"/>
  <c r="K438"/>
  <c r="K511"/>
  <c r="K519"/>
  <c r="K501"/>
  <c r="K450"/>
  <c r="K422"/>
  <c r="K453"/>
  <c r="K494"/>
  <c r="K427"/>
  <c r="K398"/>
  <c r="K507"/>
  <c r="K464"/>
  <c r="K465"/>
  <c r="K430"/>
  <c r="K468"/>
  <c r="K503"/>
  <c r="K498"/>
  <c r="K499"/>
  <c r="K456"/>
  <c r="K432"/>
  <c r="K435"/>
  <c r="K460"/>
  <c r="K509"/>
  <c r="K458"/>
  <c r="K459"/>
  <c r="K423"/>
  <c r="K502"/>
  <c r="K463"/>
  <c r="K474"/>
  <c r="K469"/>
  <c r="K428"/>
  <c r="K504"/>
  <c r="K505"/>
  <c r="K462"/>
  <c r="J242"/>
  <c r="R242"/>
  <c r="R233" s="1"/>
  <c r="K452"/>
  <c r="K457"/>
  <c r="K433"/>
  <c r="K444"/>
  <c r="K475"/>
  <c r="K443"/>
  <c r="K518"/>
  <c r="K479"/>
  <c r="K434"/>
  <c r="K517"/>
  <c r="K466"/>
  <c r="K467"/>
  <c r="K431"/>
  <c r="K510"/>
  <c r="K471"/>
  <c r="K525"/>
  <c r="K477"/>
  <c r="K421"/>
  <c r="K512"/>
  <c r="K513"/>
  <c r="K470"/>
  <c r="K516"/>
  <c r="K451"/>
  <c r="K514"/>
  <c r="K515"/>
  <c r="K472"/>
  <c r="K473"/>
  <c r="K439"/>
  <c r="K476"/>
  <c r="D60" i="29" l="1"/>
  <c r="M60" s="1"/>
  <c r="D61"/>
  <c r="M61" s="1"/>
  <c r="D3"/>
  <c r="M3" s="1"/>
  <c r="D47"/>
  <c r="M47" s="1"/>
  <c r="D27"/>
  <c r="M27" s="1"/>
  <c r="D13"/>
  <c r="M13" s="1"/>
  <c r="D8"/>
  <c r="M8" s="1"/>
  <c r="D10"/>
  <c r="M10" s="1"/>
  <c r="D50"/>
  <c r="M50" s="1"/>
  <c r="D25"/>
  <c r="M25" s="1"/>
  <c r="D19"/>
  <c r="M19" s="1"/>
  <c r="D24"/>
  <c r="M24" s="1"/>
  <c r="D15"/>
  <c r="M15" s="1"/>
  <c r="D16"/>
  <c r="M16" s="1"/>
  <c r="D11"/>
  <c r="M11" s="1"/>
  <c r="D38"/>
  <c r="M38" s="1"/>
  <c r="D43"/>
  <c r="M43" s="1"/>
  <c r="D26"/>
  <c r="M26" s="1"/>
  <c r="D45"/>
  <c r="M45" s="1"/>
  <c r="D44"/>
  <c r="M44" s="1"/>
  <c r="D21"/>
  <c r="M21" s="1"/>
  <c r="D65"/>
  <c r="M65" s="1"/>
  <c r="D66"/>
  <c r="M66" s="1"/>
  <c r="D62"/>
  <c r="M62" s="1"/>
  <c r="D36"/>
  <c r="M36" s="1"/>
  <c r="D4"/>
  <c r="M4" s="1"/>
  <c r="D22"/>
  <c r="M22" s="1"/>
  <c r="D46"/>
  <c r="M46" s="1"/>
  <c r="D35"/>
  <c r="M35" s="1"/>
  <c r="D48"/>
  <c r="M48" s="1"/>
  <c r="D34"/>
  <c r="M34" s="1"/>
  <c r="D53"/>
  <c r="M53" s="1"/>
  <c r="D57"/>
  <c r="M57" s="1"/>
  <c r="D37"/>
  <c r="M37" s="1"/>
  <c r="D51"/>
  <c r="M51" s="1"/>
  <c r="D52"/>
  <c r="M52" s="1"/>
  <c r="D14"/>
  <c r="M14" s="1"/>
  <c r="D32"/>
  <c r="M32" s="1"/>
  <c r="D31"/>
  <c r="M31" s="1"/>
  <c r="D30"/>
  <c r="M30" s="1"/>
  <c r="D39"/>
  <c r="M39" s="1"/>
  <c r="D59"/>
  <c r="M59" s="1"/>
  <c r="D20"/>
  <c r="M20" s="1"/>
  <c r="D12"/>
  <c r="M12" s="1"/>
  <c r="D55"/>
  <c r="M55" s="1"/>
  <c r="D58"/>
  <c r="M58" s="1"/>
  <c r="D33"/>
  <c r="M33" s="1"/>
  <c r="D6"/>
  <c r="M6" s="1"/>
  <c r="D7"/>
  <c r="M7" s="1"/>
  <c r="D23"/>
  <c r="M23" s="1"/>
  <c r="D63"/>
  <c r="M63" s="1"/>
  <c r="D64"/>
  <c r="M64" s="1"/>
  <c r="K412" i="8"/>
  <c r="E34" i="19" s="1"/>
  <c r="C34" s="1"/>
  <c r="K538" i="8"/>
  <c r="K402"/>
  <c r="K409"/>
  <c r="E31" i="19" s="1"/>
  <c r="C31" s="1"/>
  <c r="K404" i="8"/>
  <c r="E26" i="19" s="1"/>
  <c r="C26" s="1"/>
  <c r="K403" i="8"/>
  <c r="E25" i="19" s="1"/>
  <c r="C25" s="1"/>
  <c r="K405" i="8"/>
  <c r="E27" i="19" s="1"/>
  <c r="C27" s="1"/>
  <c r="K407" i="8"/>
  <c r="E29" i="19" s="1"/>
  <c r="C29" s="1"/>
  <c r="K406" i="8"/>
  <c r="E28" i="19" s="1"/>
  <c r="C28" s="1"/>
  <c r="K411" i="8"/>
  <c r="E33" i="19" s="1"/>
  <c r="C33" s="1"/>
  <c r="K410" i="8"/>
  <c r="E32" i="19" s="1"/>
  <c r="C32" s="1"/>
  <c r="K408" i="8"/>
  <c r="E30" i="19" s="1"/>
  <c r="C30" s="1"/>
  <c r="T233" i="8"/>
  <c r="R398"/>
  <c r="K413" l="1"/>
  <c r="K414" s="1"/>
  <c r="A32" i="19"/>
  <c r="K1" i="8"/>
  <c r="K539"/>
  <c r="E3" i="19"/>
  <c r="F3" s="1"/>
  <c r="T398" i="8"/>
  <c r="Q399"/>
  <c r="E24" i="19"/>
  <c r="E35" s="1"/>
  <c r="E36" l="1"/>
  <c r="C24"/>
  <c r="C35" s="1"/>
  <c r="H542" i="8"/>
  <c r="T71" i="29"/>
  <c r="L19" i="28"/>
  <c r="L20" s="1"/>
  <c r="L48"/>
</calcChain>
</file>

<file path=xl/comments1.xml><?xml version="1.0" encoding="utf-8"?>
<comments xmlns="http://schemas.openxmlformats.org/spreadsheetml/2006/main">
  <authors>
    <author>Nathalie BLANDINO</author>
  </authors>
  <commentList>
    <comment ref="A135" author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sec</t>
        </r>
      </text>
    </comment>
    <comment ref="A142" author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sec</t>
        </r>
      </text>
    </comment>
    <comment ref="A148" author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sec</t>
        </r>
      </text>
    </comment>
  </commentList>
</comments>
</file>

<file path=xl/comments2.xml><?xml version="1.0" encoding="utf-8"?>
<comments xmlns="http://schemas.openxmlformats.org/spreadsheetml/2006/main">
  <authors>
    <author>Nathalie BLANDINO</author>
  </authors>
  <commentList>
    <comment ref="F4" author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mettre date DROC</t>
        </r>
      </text>
    </comment>
  </commentList>
</comments>
</file>

<file path=xl/comments3.xml><?xml version="1.0" encoding="utf-8"?>
<comments xmlns="http://schemas.openxmlformats.org/spreadsheetml/2006/main">
  <authors>
    <author>Nathalie BLANDINO</author>
  </authors>
  <commentList>
    <comment ref="F4" author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mettre date DROC</t>
        </r>
      </text>
    </comment>
  </commentList>
</comments>
</file>

<file path=xl/comments4.xml><?xml version="1.0" encoding="utf-8"?>
<comments xmlns="http://schemas.openxmlformats.org/spreadsheetml/2006/main">
  <authors>
    <author>Sophie RIVIERE</author>
  </authors>
  <commentList>
    <comment ref="K7" authorId="0">
      <text>
        <r>
          <rPr>
            <b/>
            <sz val="9"/>
            <color indexed="81"/>
            <rFont val="Tahoma"/>
            <family val="2"/>
          </rPr>
          <t>Sophie RIVIERE:</t>
        </r>
        <r>
          <rPr>
            <sz val="9"/>
            <color indexed="81"/>
            <rFont val="Tahoma"/>
            <family val="2"/>
          </rPr>
          <t xml:space="preserve">
Différence de 29,08</t>
        </r>
      </text>
    </comment>
  </commentList>
</comments>
</file>

<file path=xl/sharedStrings.xml><?xml version="1.0" encoding="utf-8"?>
<sst xmlns="http://schemas.openxmlformats.org/spreadsheetml/2006/main" count="1787" uniqueCount="415">
  <si>
    <t>Libellé</t>
  </si>
  <si>
    <t>Montant</t>
  </si>
  <si>
    <t>Opération</t>
  </si>
  <si>
    <t xml:space="preserve">N° </t>
  </si>
  <si>
    <t xml:space="preserve">APPELS DE FONDS </t>
  </si>
  <si>
    <t>ETAT DES CREANCES : MAIRIE DE SAINT LEU</t>
  </si>
  <si>
    <t>PARTICIPATION CH 624 &amp; 93</t>
  </si>
  <si>
    <t>PTIT CANAL</t>
  </si>
  <si>
    <t>LAURENCY</t>
  </si>
  <si>
    <t>LE CAP</t>
  </si>
  <si>
    <t>CHALOUPE</t>
  </si>
  <si>
    <t>LAVOIR</t>
  </si>
  <si>
    <t>BUDGET</t>
  </si>
  <si>
    <t>RESTE A PERCEVOIR</t>
  </si>
  <si>
    <t>Payé</t>
  </si>
  <si>
    <t>Date</t>
  </si>
  <si>
    <t>FRAFU SECONDAIRE</t>
  </si>
  <si>
    <t>FRAFU SOCIAL</t>
  </si>
  <si>
    <t>Nbre js d'impayés</t>
  </si>
  <si>
    <t>Non appelé</t>
  </si>
  <si>
    <t>A payer</t>
  </si>
  <si>
    <t>Signature</t>
  </si>
  <si>
    <t>SOBEPRE</t>
  </si>
  <si>
    <t>Mandats</t>
  </si>
  <si>
    <t>Tx d'intérêts</t>
  </si>
  <si>
    <t>Base</t>
  </si>
  <si>
    <t>Etat des dépenses au 24/11/2014</t>
  </si>
  <si>
    <t>prévision 4tr restants à dépenser</t>
  </si>
  <si>
    <t>non encore appelé</t>
  </si>
  <si>
    <t xml:space="preserve">somme à appeler </t>
  </si>
  <si>
    <t>Sobepre</t>
  </si>
  <si>
    <t>ETAT DES CREANCES : CAF</t>
  </si>
  <si>
    <t xml:space="preserve">LA FONTAINE - LE LAVOIR       </t>
  </si>
  <si>
    <t xml:space="preserve">RAYMOND BARRE                 </t>
  </si>
  <si>
    <t xml:space="preserve">GRANDE RAVINE LES HAUTS       </t>
  </si>
  <si>
    <t xml:space="preserve">TAMARINIERS                    </t>
  </si>
  <si>
    <t>BARRAGE</t>
  </si>
  <si>
    <t>MANAPANY LES BAINS</t>
  </si>
  <si>
    <t>COMBAVAS</t>
  </si>
  <si>
    <t>RESERVOIRS DE STELLA</t>
  </si>
  <si>
    <t>CAMPHRIER</t>
  </si>
  <si>
    <t>POKER D'AS</t>
  </si>
  <si>
    <t>TAKAMAKA</t>
  </si>
  <si>
    <t>P'TIT CANAL</t>
  </si>
  <si>
    <t>JULES VIENNE</t>
  </si>
  <si>
    <t>DESIRE</t>
  </si>
  <si>
    <t>LE LAVOIR</t>
  </si>
  <si>
    <t>AUBEPINES</t>
  </si>
  <si>
    <t>LES PECHERS</t>
  </si>
  <si>
    <t>ALAMANDAS</t>
  </si>
  <si>
    <t>AMARYLLIS</t>
  </si>
  <si>
    <t>TAMARINIERS</t>
  </si>
  <si>
    <t>MIMOSAS</t>
  </si>
  <si>
    <t>AVENUE RAYMOND BARRE</t>
  </si>
  <si>
    <t>BOUTON D'OR</t>
  </si>
  <si>
    <t>PARC A MOUTON</t>
  </si>
  <si>
    <t>JOSEPHA FONTAINE</t>
  </si>
  <si>
    <t>DESIRE 2</t>
  </si>
  <si>
    <t>POKER D'AS 2</t>
  </si>
  <si>
    <t>PIVET VELIN</t>
  </si>
  <si>
    <t>RUE DE L'EGLISE</t>
  </si>
  <si>
    <t>FANFAN</t>
  </si>
  <si>
    <t>OISEAUX DE PARADIS</t>
  </si>
  <si>
    <t>RHI BUTTE CITRONNELLE</t>
  </si>
  <si>
    <t>PEPINIERE D'ENTREPRISE</t>
  </si>
  <si>
    <t>ETAT DES CREANCES : FEDER</t>
  </si>
  <si>
    <t>ETAT DES CREANCES : ADEME</t>
  </si>
  <si>
    <t>CRESSONIERE</t>
  </si>
  <si>
    <t>ETAT DES CREANCES : DIECCTE</t>
  </si>
  <si>
    <t>PEPINIERE</t>
  </si>
  <si>
    <t>ETAT DES CREANCES : REGION</t>
  </si>
  <si>
    <t>ETAT DES CREANCES : TCO</t>
  </si>
  <si>
    <t>FRAFU P'TIT CANAL</t>
  </si>
  <si>
    <t>ETAT DES CREANCES : CILGERE</t>
  </si>
  <si>
    <t>CONCESSION AMGT RHI CBLQ</t>
  </si>
  <si>
    <t>SCEAU DE SALOMON</t>
  </si>
  <si>
    <t>Solde fin GPA 09/2015</t>
  </si>
  <si>
    <t>FRAFU JULES VIENNE</t>
  </si>
  <si>
    <t>FRAFU DESIRE</t>
  </si>
  <si>
    <t>FRAFU LAVOIR</t>
  </si>
  <si>
    <t>Soldé - ok</t>
  </si>
  <si>
    <t>ETAT DES CREANCES : PETITE ILE</t>
  </si>
  <si>
    <t xml:space="preserve">SAINT-LEU </t>
  </si>
  <si>
    <t xml:space="preserve">PETITE-ILE </t>
  </si>
  <si>
    <t>CAF</t>
  </si>
  <si>
    <t>FEDER</t>
  </si>
  <si>
    <t>DIECCTE</t>
  </si>
  <si>
    <t>REGION</t>
  </si>
  <si>
    <t>TCO</t>
  </si>
  <si>
    <t>Budget</t>
  </si>
  <si>
    <t>Versé</t>
  </si>
  <si>
    <t>Total</t>
  </si>
  <si>
    <t>AF à lancer</t>
  </si>
  <si>
    <t>en attente</t>
  </si>
  <si>
    <t>VEFA SAFRANIERE</t>
  </si>
  <si>
    <t>ANNULE</t>
  </si>
  <si>
    <t>Observations</t>
  </si>
  <si>
    <t>ETAT DES CREANCES : FRAFU DEAL</t>
  </si>
  <si>
    <t>ETAT DES CREANCES : LBU DEAL</t>
  </si>
  <si>
    <t xml:space="preserve">Date OS </t>
  </si>
  <si>
    <t>Date DAT</t>
  </si>
  <si>
    <t>LA CHALOUPE (Paille en Queue)</t>
  </si>
  <si>
    <t>VEFA PETUNIAS</t>
  </si>
  <si>
    <t>VEFA CAP OUEST</t>
  </si>
  <si>
    <t>Date limite DAT (4 ans)</t>
  </si>
  <si>
    <t>LBU DEAL</t>
  </si>
  <si>
    <t>FRAFU DEAL</t>
  </si>
  <si>
    <t>FRAFU</t>
  </si>
  <si>
    <t>Appelé (Non payé)</t>
  </si>
  <si>
    <t>Fin convention</t>
  </si>
  <si>
    <t>Date limite démarrage</t>
  </si>
  <si>
    <t>observations</t>
  </si>
  <si>
    <t>DAT</t>
  </si>
  <si>
    <t>DADT / 2012 0706 FRAFU</t>
  </si>
  <si>
    <t>Eligibilité dépenses</t>
  </si>
  <si>
    <t>DADT / 2012 1065 FRAFU</t>
  </si>
  <si>
    <t>solde à demander avant</t>
  </si>
  <si>
    <t>SGAR / 2012 31966</t>
  </si>
  <si>
    <t>DAE1/2011-1446</t>
  </si>
  <si>
    <t>Clôture TCO</t>
  </si>
  <si>
    <t>ETAT DES CREANCES : EDF</t>
  </si>
  <si>
    <t>Modalités</t>
  </si>
  <si>
    <t>Date limite DROC (18 mois)</t>
  </si>
  <si>
    <t>Date limite demande de solde</t>
  </si>
  <si>
    <t>vérifier si prorog faite</t>
  </si>
  <si>
    <t>OBSERVATIONS</t>
  </si>
  <si>
    <t>dépenses acquittées entre 01/01/07 et 31/12/14 éligibles</t>
  </si>
  <si>
    <t>au 31/05/15</t>
  </si>
  <si>
    <t>PRZA LAURENCY</t>
  </si>
  <si>
    <t>ancien montant 127837,8</t>
  </si>
  <si>
    <t>LACAUSSADE 3</t>
  </si>
  <si>
    <t>RPA ST PHILIPPE</t>
  </si>
  <si>
    <t>VEFA ROSIERS 51 LLS</t>
  </si>
  <si>
    <t>VEFA ROSIERS 6 LLTS</t>
  </si>
  <si>
    <t>ETAT DES CREANCES : OFFICE DE L'EAU</t>
  </si>
  <si>
    <t>Eaux Usées</t>
  </si>
  <si>
    <t>AEP</t>
  </si>
  <si>
    <t xml:space="preserve">N° 15-0452 </t>
  </si>
  <si>
    <t xml:space="preserve">N° 15-0474 </t>
  </si>
  <si>
    <t xml:space="preserve">N° 15-0706 </t>
  </si>
  <si>
    <t>Dossier présage 30279 / Réseau AEU</t>
  </si>
  <si>
    <t>Demande de 26 394,54 € (Acpte 2)annulée le 30/07/13</t>
  </si>
  <si>
    <t>Solde à réalisation de fin travx à 83,46 %</t>
  </si>
  <si>
    <t>PLAINE ST PAUL (18 LLTS)</t>
  </si>
  <si>
    <t>N° 15-0735</t>
  </si>
  <si>
    <t>N° 15-0734</t>
  </si>
  <si>
    <t>N° 15-0707</t>
  </si>
  <si>
    <t>ILOT 6.2 (18 LLTS)</t>
  </si>
  <si>
    <t>N° 15-068</t>
  </si>
  <si>
    <t>ETAT DES CREANCES : MAIRIE ETANG-SALE</t>
  </si>
  <si>
    <t>Avenue R. BARRE</t>
  </si>
  <si>
    <t xml:space="preserve">Chaloupe/Paille en Queue </t>
  </si>
  <si>
    <t>?</t>
  </si>
  <si>
    <t>ETAT DES CREANCES : MAIRIE ST JOSEPH</t>
  </si>
  <si>
    <t>Montant corrigé : anciennt 212 081,00</t>
  </si>
  <si>
    <t>N° 13-0335</t>
  </si>
  <si>
    <t>N° 14-0678</t>
  </si>
  <si>
    <t>N° 14-0795</t>
  </si>
  <si>
    <t>N° 14-0316</t>
  </si>
  <si>
    <t>N° 14-0566</t>
  </si>
  <si>
    <t>N° 14-0686</t>
  </si>
  <si>
    <t>N° 14-0355</t>
  </si>
  <si>
    <t>N° 14-0429</t>
  </si>
  <si>
    <t>N° 13-0446</t>
  </si>
  <si>
    <t>N° 13-0333</t>
  </si>
  <si>
    <t>N° 13-0307</t>
  </si>
  <si>
    <t>N° 13-0326</t>
  </si>
  <si>
    <t>N° 13-0523</t>
  </si>
  <si>
    <t>N° 13-0311</t>
  </si>
  <si>
    <t>N° 13-0668</t>
  </si>
  <si>
    <t>N° 13-0310</t>
  </si>
  <si>
    <t>N° 13-0325</t>
  </si>
  <si>
    <t>N° 13-0334</t>
  </si>
  <si>
    <t>N° 13-0341</t>
  </si>
  <si>
    <t>N° 12-0612</t>
  </si>
  <si>
    <t>N° 12-0518</t>
  </si>
  <si>
    <t>N° 12-0459</t>
  </si>
  <si>
    <t>N° 12-0611</t>
  </si>
  <si>
    <t>N° 12-0458</t>
  </si>
  <si>
    <t>N° 12-0449</t>
  </si>
  <si>
    <t>N° 12-0416</t>
  </si>
  <si>
    <t>N° 12-0419</t>
  </si>
  <si>
    <t>N° 12-0461</t>
  </si>
  <si>
    <t>N° 12-0422</t>
  </si>
  <si>
    <t>N° 12-0463</t>
  </si>
  <si>
    <t>N° SHLS-FRAFU-11-0011</t>
  </si>
  <si>
    <t>N° SHLS-FRAFU-13-0004</t>
  </si>
  <si>
    <t>N° SHLS-FRAFU-13-0003</t>
  </si>
  <si>
    <t>N° SHLS-FRAFU-13-0005</t>
  </si>
  <si>
    <t>N° SHLS-FRAFU-13-0001</t>
  </si>
  <si>
    <t>N° SHLS-FRAFU-13-0006</t>
  </si>
  <si>
    <t>N° SHLS-FRAFU-13-0007</t>
  </si>
  <si>
    <t>N° SHLS-FRAFU-13-0002</t>
  </si>
  <si>
    <t>N° SHLS-FRAFU-13-0009</t>
  </si>
  <si>
    <t>N° SHLS-FRAFU-12-0002</t>
  </si>
  <si>
    <t>N° SHLS-FRAFU- 12-0007</t>
  </si>
  <si>
    <t>N° SHLS-FRAFU-12-0006</t>
  </si>
  <si>
    <t>N° SHLS-FRAFU-11-0023</t>
  </si>
  <si>
    <t>N° SHLS-FRAFU-11-0024</t>
  </si>
  <si>
    <t>N° SHLS-FRAFU-11-0016</t>
  </si>
  <si>
    <t>N° SHLS-FRAFU-11-0010</t>
  </si>
  <si>
    <t>N° 05-02069 DDE/SG-CCP</t>
  </si>
  <si>
    <t xml:space="preserve">Règlement de 1 290 562,67 € au lieu de 1 308 955,97                                                  </t>
  </si>
  <si>
    <t>Différence de 18 393,30 €</t>
  </si>
  <si>
    <t>Règlement de 555 158,77 au lieu de 573 552,97</t>
  </si>
  <si>
    <t>Différence de : 18 394,20</t>
  </si>
  <si>
    <t>SAINT-JOSEPH</t>
  </si>
  <si>
    <t>APPELE</t>
  </si>
  <si>
    <t>AF REALISES</t>
  </si>
  <si>
    <t>PAYE</t>
  </si>
  <si>
    <t>recalcul FRAFU ?</t>
  </si>
  <si>
    <t>N° SHLS-FRAFU-14-0003</t>
  </si>
  <si>
    <t>ok</t>
  </si>
  <si>
    <t>corrigé</t>
  </si>
  <si>
    <t xml:space="preserve">Prorogat° faite </t>
  </si>
  <si>
    <t>nouvelle dde à faire</t>
  </si>
  <si>
    <t>Date DCEO</t>
  </si>
  <si>
    <t>Diminution du montant des dépenses --&gt; TCO n' pas voulu payer</t>
  </si>
  <si>
    <t>N° SHLS-FRAFU-14-0012</t>
  </si>
  <si>
    <t>LES AUBEPINES</t>
  </si>
  <si>
    <t xml:space="preserve">LES AUBEPINES             </t>
  </si>
  <si>
    <t>Demande du 2ème acompte du 02/9/14 annulée pour un montant de 21000 € donc demande de solde d'un montant de 42000</t>
  </si>
  <si>
    <t xml:space="preserve">N° 10-0731 </t>
  </si>
  <si>
    <t>N° 11-0608</t>
  </si>
  <si>
    <t>N° 11-0390</t>
  </si>
  <si>
    <t>N° 11-0391</t>
  </si>
  <si>
    <t>N° 12-0655</t>
  </si>
  <si>
    <t>Date de la DROC</t>
  </si>
  <si>
    <t>Pas de suite à dde acpte 2 donc demande de solde de 66000 €</t>
  </si>
  <si>
    <t xml:space="preserve">Montant dépenses éligibles faux --&gt; avenant 1 </t>
  </si>
  <si>
    <t>N° 16-0310</t>
  </si>
  <si>
    <t>N° 15-0725</t>
  </si>
  <si>
    <t>Solde à réalisation de fin de trvx à 88,43 %</t>
  </si>
  <si>
    <t>écart 1000 € dû erreur DEAL</t>
  </si>
  <si>
    <t>arrêté de minoration</t>
  </si>
  <si>
    <t>CRESSONNIERE</t>
  </si>
  <si>
    <t>Arrêté de minoration</t>
  </si>
  <si>
    <t>RPA CHALOUPE</t>
  </si>
  <si>
    <t>VERVEINES DES INDES (ILOT 5.1)</t>
  </si>
  <si>
    <t>&lt; à 30 000 € : on a 2 ans pour demander l'ensemble des appels de fonds</t>
  </si>
  <si>
    <t>&gt; 30 000 € : au démarrage chantier (2ans) puis le solde, 4 ans à la date du 1er paiement AF.</t>
  </si>
  <si>
    <t>Suite à prorogat°</t>
  </si>
  <si>
    <t>VEFA PAULE &amp; GASTON (23 LLTS)</t>
  </si>
  <si>
    <t>N° 16-0379</t>
  </si>
  <si>
    <t>apparemment réglé - Voir Cathriana</t>
  </si>
  <si>
    <t>Suite à prorogation</t>
  </si>
  <si>
    <t xml:space="preserve">Suite à prorogation </t>
  </si>
  <si>
    <t>1er AF envoyé le 02/12/14.2ème envoi à la dde de la Mairie</t>
  </si>
  <si>
    <t>N° 16-0634</t>
  </si>
  <si>
    <t>EDD corrigé à 79,25%</t>
  </si>
  <si>
    <t>N° 16-0672</t>
  </si>
  <si>
    <t>HORTENSIAS (22 LLTS)</t>
  </si>
  <si>
    <t>BRAS DE LA PLAINE</t>
  </si>
  <si>
    <t>BRAS DE LA PLAINE (18 LLTS)</t>
  </si>
  <si>
    <t>N° 16-0720</t>
  </si>
  <si>
    <t>PALISSANDRE (30 LLS)</t>
  </si>
  <si>
    <t>N° 16-0719</t>
  </si>
  <si>
    <t>RPA DU PARC (40 LLTS)</t>
  </si>
  <si>
    <t>N° 16-0727</t>
  </si>
  <si>
    <t>AMATA</t>
  </si>
  <si>
    <t>CD61 &amp; 515</t>
  </si>
  <si>
    <t>LES PLATANES (28 LLTS)</t>
  </si>
  <si>
    <t>N° 16-0610</t>
  </si>
  <si>
    <t>TYPE SUBVENTION</t>
  </si>
  <si>
    <t>MOD</t>
  </si>
  <si>
    <t>Maîtrise de l'énergie</t>
  </si>
  <si>
    <t>POKER D'AS 1</t>
  </si>
  <si>
    <t>BOUTONS D'OR</t>
  </si>
  <si>
    <t>SALINE BARRAGE</t>
  </si>
  <si>
    <t>BUDGET TTC</t>
  </si>
  <si>
    <t>rattrapage des 1000 €</t>
  </si>
  <si>
    <t>N° 16-0764</t>
  </si>
  <si>
    <t>ILOT 5.6 (FAHAM)</t>
  </si>
  <si>
    <t>ILOT 6.1 (FLEURS JAUNES)</t>
  </si>
  <si>
    <t>AX 18 (ZAMBAVILLE)</t>
  </si>
  <si>
    <t>ILOT 5.1 (VERVEINES DES INDES)</t>
  </si>
  <si>
    <t>dde avenant faite</t>
  </si>
  <si>
    <t>Mqe conformité</t>
  </si>
  <si>
    <t xml:space="preserve"> </t>
  </si>
  <si>
    <t>suite à prorogation</t>
  </si>
  <si>
    <t>LES KAKIS (35 LLTS)</t>
  </si>
  <si>
    <t>En attente</t>
  </si>
  <si>
    <t>ST LEU</t>
  </si>
  <si>
    <t>ADEME</t>
  </si>
  <si>
    <t>PETITE ILE</t>
  </si>
  <si>
    <t>EDF</t>
  </si>
  <si>
    <t>OFFICE EAU</t>
  </si>
  <si>
    <t>ETG SALE</t>
  </si>
  <si>
    <t>ST JOSEPH</t>
  </si>
  <si>
    <t>DESIRE 1/2</t>
  </si>
  <si>
    <t>VERIF SOBEPRE</t>
  </si>
  <si>
    <t>Pepinière : dépenses pas atteintes</t>
  </si>
  <si>
    <t>MAURICE LEBON / VEFA BUTOR (55 LLTS)</t>
  </si>
  <si>
    <t>N° 16-0008</t>
  </si>
  <si>
    <t>N° 15-0003</t>
  </si>
  <si>
    <t>Prorogation</t>
  </si>
  <si>
    <t>Fin de la convention</t>
  </si>
  <si>
    <t xml:space="preserve">Suite à prorogat° </t>
  </si>
  <si>
    <t>Dde de prorogation faite</t>
  </si>
  <si>
    <t>PT BANANES &amp; TAMARINS</t>
  </si>
  <si>
    <t>N° 2017DD97400011</t>
  </si>
  <si>
    <t>VEFA ANCIEN HOPITAL (30 LLTS)</t>
  </si>
  <si>
    <t>CALIFORNIE (24 LLTS)</t>
  </si>
  <si>
    <t>N° 2017DD97400008</t>
  </si>
  <si>
    <t>N° 2017DD97400017</t>
  </si>
  <si>
    <t>INDIGO TR.1 (84 LLTS)</t>
  </si>
  <si>
    <t>FANFAN TR 2 / 8 LOTS</t>
  </si>
  <si>
    <t>DAKOTA (26 LLTS)</t>
  </si>
  <si>
    <t>N° 2017DD9740014</t>
  </si>
  <si>
    <t>Solde à réalisation de fin de trvx à 98,58 %</t>
  </si>
  <si>
    <t>3ème trimestre 2018</t>
  </si>
  <si>
    <t>ATTENTION</t>
  </si>
  <si>
    <t>BRAS MOUTONS (19 LLTS)</t>
  </si>
  <si>
    <t>N° 2017DD97400041</t>
  </si>
  <si>
    <t>LES FOURRAGERES (21 LLTS)</t>
  </si>
  <si>
    <t>N° 2017DD97400044</t>
  </si>
  <si>
    <t>VEFA EQUILIBRE (37 LLTS)</t>
  </si>
  <si>
    <t>N° 2017DD97400029</t>
  </si>
  <si>
    <t>ETAT DES CREANCES : LBU REHABILITATION DEAL</t>
  </si>
  <si>
    <t>100 MARCHES (10 LLS)</t>
  </si>
  <si>
    <t>BOUGAINVILLEES ( 26 LLS)</t>
  </si>
  <si>
    <t>CARAMBOLES (6 LLS)</t>
  </si>
  <si>
    <t>SHLS N° 17-0446</t>
  </si>
  <si>
    <t>SHLS N° 17-0447</t>
  </si>
  <si>
    <t>Date limite DROC (12 mois)</t>
  </si>
  <si>
    <t>CITRONNELLES (45 LLS)</t>
  </si>
  <si>
    <t>SHLS N° 17-0448</t>
  </si>
  <si>
    <t>SHLS N° 17-0445</t>
  </si>
  <si>
    <t>HUBERT DELISLE (74 LLS)</t>
  </si>
  <si>
    <t>BRAS DES ETANGS (31 LLS)</t>
  </si>
  <si>
    <t>SHLS N°17-0382</t>
  </si>
  <si>
    <t>SHLS N° 17-0415</t>
  </si>
  <si>
    <t>PAPYRUS &amp; CANNELLE E/SALE</t>
  </si>
  <si>
    <t>N° 17REC0185</t>
  </si>
  <si>
    <t>N° 1546C0070</t>
  </si>
  <si>
    <t>N° 17REC0128</t>
  </si>
  <si>
    <t>N° 17REC0124</t>
  </si>
  <si>
    <t>N° 17REC0121</t>
  </si>
  <si>
    <t>Z'AMBAVILLE</t>
  </si>
  <si>
    <t>Solde à réalisation de fin de trx à 98,99%</t>
  </si>
  <si>
    <t>Solde conditionné à la vente des parcelles</t>
  </si>
  <si>
    <t>Demandé par BBL</t>
  </si>
  <si>
    <t>Participat° Communale Validat° CRAC au 31/12/16</t>
  </si>
  <si>
    <t>Participat° Communale Validat° CRAC au 31/12/17</t>
  </si>
  <si>
    <t xml:space="preserve">Demandé par BBL </t>
  </si>
  <si>
    <t>N°18REC0030</t>
  </si>
  <si>
    <t>N° 2018DD97400059</t>
  </si>
  <si>
    <t>CANNELLE (30 LLTS)</t>
  </si>
  <si>
    <t>CROUS ST PIERRE</t>
  </si>
  <si>
    <t>DIRED/20180248</t>
  </si>
  <si>
    <t>Solde à demander avant</t>
  </si>
  <si>
    <t>ETAT DES CREANCES : RECTORAT</t>
  </si>
  <si>
    <t>CPER 2015-2020 VOLET 1 Mesure 1-1-3</t>
  </si>
  <si>
    <t>INDIGO TR.2 (22 LLS)</t>
  </si>
  <si>
    <t>INDIGO TR.2 (34 LLTS)</t>
  </si>
  <si>
    <t>OPALE (17 LLS)</t>
  </si>
  <si>
    <t>PAPYRUS (33 LLS)</t>
  </si>
  <si>
    <t>N° 2018DD97400065</t>
  </si>
  <si>
    <t>N° 2018DD97400067</t>
  </si>
  <si>
    <t>N° 2018DD97400068</t>
  </si>
  <si>
    <t>N° 2018DD97400060</t>
  </si>
  <si>
    <t>BELLEVUE (128 LLS)</t>
  </si>
  <si>
    <t>SHLS N° 18-0127</t>
  </si>
  <si>
    <t>Mise hors d'air</t>
  </si>
  <si>
    <t>Fondations</t>
  </si>
  <si>
    <t>remise des clés</t>
  </si>
  <si>
    <t>Remise des clés</t>
  </si>
  <si>
    <t>Date limite DAT (2 ans à la signature de la convention)</t>
  </si>
  <si>
    <t>CROUS TAMPON</t>
  </si>
  <si>
    <t>DIRED/20180457</t>
  </si>
  <si>
    <t>Solde à réalisation de fin de trvx à 99,91 %</t>
  </si>
  <si>
    <t>COCO TURPIN (39 LLS)</t>
  </si>
  <si>
    <t>N° 2018DD97400085</t>
  </si>
  <si>
    <t>opérat° clôturée par DEAL (voir CA)</t>
  </si>
  <si>
    <t>ECART 2018</t>
  </si>
  <si>
    <t>Différence de :</t>
  </si>
  <si>
    <t>POINSETIAS (31 LLS)</t>
  </si>
  <si>
    <t>SHLS N° 18-0122</t>
  </si>
  <si>
    <t>SHLS N° 18-0123</t>
  </si>
  <si>
    <t>CANAL LILIS (23 LLS)</t>
  </si>
  <si>
    <t>SHLS N° 18-0125</t>
  </si>
  <si>
    <t>Base éligible non atteinte ?</t>
  </si>
  <si>
    <t>Payé au pororata des travaux réalisés</t>
  </si>
  <si>
    <t>REHABILITATION</t>
  </si>
  <si>
    <t>Partenariat Efficacité Energétique</t>
  </si>
  <si>
    <t>suite à prorogat° 2</t>
  </si>
  <si>
    <t xml:space="preserve">   + 60 mois de prorogation</t>
  </si>
  <si>
    <t>Avenue Raymond Barre</t>
  </si>
  <si>
    <t>LA SERRE</t>
  </si>
  <si>
    <t>N° 18REC0063</t>
  </si>
  <si>
    <t>manque DGD Hoareau Plafond / pb épaisseur isolant</t>
  </si>
  <si>
    <t>convention signée SODEGIS</t>
  </si>
  <si>
    <t>manque DGD SOREPLAC / PG ROBERT / DOE SOREPLAC / levée de réserves</t>
  </si>
  <si>
    <t>envoyer éléments</t>
  </si>
  <si>
    <t>en cours de signature</t>
  </si>
  <si>
    <t>LA CURE 1</t>
  </si>
  <si>
    <t>LA CURE 2</t>
  </si>
  <si>
    <t xml:space="preserve">manque DGD SMOI </t>
  </si>
  <si>
    <t>RECTORAT</t>
  </si>
  <si>
    <t>LBU REHAB</t>
  </si>
  <si>
    <t>OPERATION</t>
  </si>
  <si>
    <t xml:space="preserve">RECTORAT </t>
  </si>
  <si>
    <t>ETANG-SALE</t>
  </si>
  <si>
    <t>CD 61</t>
  </si>
  <si>
    <t>secondaire 1e tr</t>
  </si>
  <si>
    <t>FRAFU Primaire assainissement</t>
  </si>
  <si>
    <t>Secondaire 2ème tranche</t>
  </si>
  <si>
    <t>TOTAL SUBVENTIONS</t>
  </si>
  <si>
    <t>%</t>
  </si>
  <si>
    <t>CONTRÔLE</t>
  </si>
  <si>
    <t>AF PAYES</t>
  </si>
  <si>
    <t>Cr</t>
  </si>
  <si>
    <t>x</t>
  </si>
  <si>
    <t>CH. GALET 1 &amp; 2/LA CHAPELLE / CASABIANCA/ORCHIDEES/CHOKA BLEU/LA CURE2</t>
  </si>
  <si>
    <t>TOTAL PERCU 2018</t>
  </si>
</sst>
</file>

<file path=xl/styles.xml><?xml version="1.0" encoding="utf-8"?>
<styleSheet xmlns="http://schemas.openxmlformats.org/spreadsheetml/2006/main">
  <numFmts count="6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#,##0.00\ _€"/>
    <numFmt numFmtId="167" formatCode="[$-40C]mmm\-yy;@"/>
    <numFmt numFmtId="168" formatCode="#,##0.0000"/>
    <numFmt numFmtId="169" formatCode="dd/mm/yy;@"/>
  </numFmts>
  <fonts count="27">
    <font>
      <sz val="10"/>
      <name val="Arial"/>
    </font>
    <font>
      <sz val="9"/>
      <name val="ScalaSansPro-Regular"/>
      <family val="3"/>
    </font>
    <font>
      <b/>
      <sz val="9"/>
      <name val="ScalaSansPro-Regular"/>
      <family val="3"/>
    </font>
    <font>
      <sz val="9"/>
      <color rgb="FFFF0000"/>
      <name val="ScalaSansPro-Regular"/>
      <family val="3"/>
    </font>
    <font>
      <b/>
      <sz val="9"/>
      <color rgb="FFFF0000"/>
      <name val="ScalaSansPro-Regular"/>
      <family val="3"/>
    </font>
    <font>
      <b/>
      <sz val="10"/>
      <name val="Arial"/>
      <family val="2"/>
    </font>
    <font>
      <sz val="10"/>
      <name val="Arial"/>
      <family val="2"/>
    </font>
    <font>
      <i/>
      <sz val="9"/>
      <name val="ScalaSansPro-Regular"/>
      <family val="3"/>
    </font>
    <font>
      <i/>
      <sz val="9"/>
      <color rgb="FFFF0000"/>
      <name val="ScalaSansPro-Regular"/>
      <family val="3"/>
    </font>
    <font>
      <i/>
      <sz val="10"/>
      <name val="Arial"/>
      <family val="2"/>
    </font>
    <font>
      <b/>
      <i/>
      <sz val="10"/>
      <name val="Arial"/>
      <family val="2"/>
    </font>
    <font>
      <b/>
      <i/>
      <sz val="9"/>
      <name val="ScalaSansPro-Regular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9"/>
      <name val="ScalaSansPro-Regular"/>
      <family val="3"/>
    </font>
    <font>
      <i/>
      <sz val="10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ScalaSansPro-Regular"/>
      <family val="3"/>
    </font>
    <font>
      <b/>
      <sz val="10"/>
      <name val="ScalaSansPro-Regular"/>
      <family val="3"/>
    </font>
    <font>
      <b/>
      <sz val="9"/>
      <color theme="1"/>
      <name val="ScalaSansPro-Regular"/>
      <family val="3"/>
    </font>
    <font>
      <b/>
      <sz val="9"/>
      <color rgb="FF002060"/>
      <name val="ScalaSansPro-Regular"/>
      <family val="3"/>
    </font>
    <font>
      <b/>
      <sz val="9"/>
      <color theme="0"/>
      <name val="ScalaSansPro-Regular"/>
      <family val="3"/>
    </font>
    <font>
      <sz val="1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39997558519241921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rgb="FFFF0000"/>
      </left>
      <right style="medium">
        <color auto="1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 style="medium">
        <color auto="1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auto="1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rgb="FFFF0000"/>
      </bottom>
      <diagonal/>
    </border>
  </borders>
  <cellStyleXfs count="3">
    <xf numFmtId="0" fontId="0" fillId="0" borderId="0"/>
    <xf numFmtId="9" fontId="6" fillId="0" borderId="0" applyFont="0" applyFill="0" applyBorder="0" applyAlignment="0" applyProtection="0"/>
    <xf numFmtId="165" fontId="26" fillId="0" borderId="0" applyFont="0" applyFill="0" applyBorder="0" applyAlignment="0" applyProtection="0"/>
  </cellStyleXfs>
  <cellXfs count="106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top"/>
    </xf>
    <xf numFmtId="0" fontId="2" fillId="2" borderId="2" xfId="0" applyFont="1" applyFill="1" applyBorder="1" applyAlignment="1">
      <alignment horizontal="center" vertical="top" wrapText="1"/>
    </xf>
    <xf numFmtId="0" fontId="1" fillId="0" borderId="6" xfId="0" applyFont="1" applyFill="1" applyBorder="1"/>
    <xf numFmtId="0" fontId="3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14" fontId="2" fillId="0" borderId="0" xfId="0" applyNumberFormat="1" applyFont="1" applyAlignment="1"/>
    <xf numFmtId="4" fontId="2" fillId="2" borderId="2" xfId="0" applyNumberFormat="1" applyFont="1" applyFill="1" applyBorder="1" applyAlignment="1">
      <alignment horizontal="center" vertical="top"/>
    </xf>
    <xf numFmtId="4" fontId="2" fillId="2" borderId="11" xfId="0" applyNumberFormat="1" applyFont="1" applyFill="1" applyBorder="1" applyAlignment="1">
      <alignment horizontal="center" vertical="top"/>
    </xf>
    <xf numFmtId="4" fontId="2" fillId="2" borderId="10" xfId="0" applyNumberFormat="1" applyFont="1" applyFill="1" applyBorder="1" applyAlignment="1">
      <alignment horizontal="center" vertical="top"/>
    </xf>
    <xf numFmtId="0" fontId="1" fillId="0" borderId="0" xfId="0" applyFont="1" applyFill="1" applyAlignment="1">
      <alignment horizontal="center" vertical="top"/>
    </xf>
    <xf numFmtId="0" fontId="2" fillId="0" borderId="6" xfId="0" applyFont="1" applyFill="1" applyBorder="1" applyAlignment="1">
      <alignment vertical="center" wrapText="1"/>
    </xf>
    <xf numFmtId="14" fontId="1" fillId="0" borderId="6" xfId="0" applyNumberFormat="1" applyFont="1" applyFill="1" applyBorder="1"/>
    <xf numFmtId="4" fontId="1" fillId="0" borderId="6" xfId="0" applyNumberFormat="1" applyFont="1" applyFill="1" applyBorder="1"/>
    <xf numFmtId="4" fontId="2" fillId="0" borderId="1" xfId="0" applyNumberFormat="1" applyFont="1" applyFill="1" applyBorder="1"/>
    <xf numFmtId="0" fontId="2" fillId="0" borderId="6" xfId="0" applyFont="1" applyFill="1" applyBorder="1" applyAlignment="1">
      <alignment horizontal="center"/>
    </xf>
    <xf numFmtId="0" fontId="2" fillId="0" borderId="6" xfId="0" applyFont="1" applyFill="1" applyBorder="1"/>
    <xf numFmtId="4" fontId="2" fillId="0" borderId="0" xfId="0" applyNumberFormat="1" applyFont="1" applyFill="1" applyBorder="1"/>
    <xf numFmtId="0" fontId="2" fillId="0" borderId="1" xfId="0" applyFont="1" applyFill="1" applyBorder="1"/>
    <xf numFmtId="4" fontId="2" fillId="0" borderId="6" xfId="0" applyNumberFormat="1" applyFont="1" applyFill="1" applyBorder="1"/>
    <xf numFmtId="4" fontId="1" fillId="0" borderId="1" xfId="0" applyNumberFormat="1" applyFont="1" applyFill="1" applyBorder="1"/>
    <xf numFmtId="4" fontId="1" fillId="0" borderId="0" xfId="0" applyNumberFormat="1" applyFont="1" applyFill="1" applyBorder="1"/>
    <xf numFmtId="0" fontId="1" fillId="0" borderId="1" xfId="0" applyFont="1" applyFill="1" applyBorder="1"/>
    <xf numFmtId="0" fontId="1" fillId="0" borderId="0" xfId="0" applyFont="1" applyFill="1"/>
    <xf numFmtId="4" fontId="1" fillId="0" borderId="0" xfId="0" applyNumberFormat="1" applyFont="1" applyFill="1"/>
    <xf numFmtId="0" fontId="3" fillId="0" borderId="6" xfId="0" applyFont="1" applyFill="1" applyBorder="1"/>
    <xf numFmtId="14" fontId="3" fillId="0" borderId="6" xfId="0" applyNumberFormat="1" applyFont="1" applyFill="1" applyBorder="1"/>
    <xf numFmtId="14" fontId="1" fillId="0" borderId="1" xfId="0" applyNumberFormat="1" applyFont="1" applyFill="1" applyBorder="1"/>
    <xf numFmtId="0" fontId="3" fillId="0" borderId="0" xfId="0" applyFont="1" applyFill="1"/>
    <xf numFmtId="0" fontId="3" fillId="0" borderId="8" xfId="0" applyFont="1" applyFill="1" applyBorder="1"/>
    <xf numFmtId="14" fontId="3" fillId="0" borderId="8" xfId="0" applyNumberFormat="1" applyFont="1" applyFill="1" applyBorder="1"/>
    <xf numFmtId="4" fontId="3" fillId="0" borderId="8" xfId="0" applyNumberFormat="1" applyFont="1" applyFill="1" applyBorder="1"/>
    <xf numFmtId="4" fontId="1" fillId="0" borderId="5" xfId="0" applyNumberFormat="1" applyFont="1" applyFill="1" applyBorder="1"/>
    <xf numFmtId="14" fontId="1" fillId="0" borderId="8" xfId="0" applyNumberFormat="1" applyFont="1" applyFill="1" applyBorder="1"/>
    <xf numFmtId="4" fontId="1" fillId="0" borderId="7" xfId="0" applyNumberFormat="1" applyFont="1" applyFill="1" applyBorder="1"/>
    <xf numFmtId="0" fontId="1" fillId="0" borderId="5" xfId="0" applyFont="1" applyFill="1" applyBorder="1"/>
    <xf numFmtId="0" fontId="1" fillId="0" borderId="8" xfId="0" applyFont="1" applyFill="1" applyBorder="1"/>
    <xf numFmtId="4" fontId="1" fillId="0" borderId="8" xfId="0" applyNumberFormat="1" applyFont="1" applyFill="1" applyBorder="1"/>
    <xf numFmtId="4" fontId="2" fillId="0" borderId="2" xfId="0" applyNumberFormat="1" applyFont="1" applyFill="1" applyBorder="1"/>
    <xf numFmtId="0" fontId="1" fillId="0" borderId="6" xfId="0" applyNumberFormat="1" applyFont="1" applyFill="1" applyBorder="1" applyAlignment="1">
      <alignment horizontal="center"/>
    </xf>
    <xf numFmtId="0" fontId="1" fillId="0" borderId="6" xfId="0" applyNumberFormat="1" applyFont="1" applyFill="1" applyBorder="1"/>
    <xf numFmtId="0" fontId="1" fillId="0" borderId="8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0" fontId="1" fillId="0" borderId="0" xfId="0" applyFont="1" applyBorder="1"/>
    <xf numFmtId="0" fontId="2" fillId="0" borderId="2" xfId="0" applyFont="1" applyBorder="1" applyAlignment="1"/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1" fillId="0" borderId="8" xfId="0" applyFont="1" applyBorder="1"/>
    <xf numFmtId="0" fontId="1" fillId="0" borderId="4" xfId="0" applyFont="1" applyBorder="1"/>
    <xf numFmtId="14" fontId="1" fillId="0" borderId="8" xfId="0" applyNumberFormat="1" applyFont="1" applyBorder="1"/>
    <xf numFmtId="0" fontId="1" fillId="0" borderId="8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4" fontId="1" fillId="0" borderId="4" xfId="0" applyNumberFormat="1" applyFont="1" applyFill="1" applyBorder="1"/>
    <xf numFmtId="0" fontId="1" fillId="0" borderId="4" xfId="0" applyFont="1" applyFill="1" applyBorder="1"/>
    <xf numFmtId="4" fontId="2" fillId="0" borderId="8" xfId="0" applyNumberFormat="1" applyFont="1" applyBorder="1"/>
    <xf numFmtId="0" fontId="1" fillId="0" borderId="2" xfId="0" applyFont="1" applyBorder="1" applyAlignment="1">
      <alignment horizontal="center"/>
    </xf>
    <xf numFmtId="0" fontId="1" fillId="0" borderId="2" xfId="0" applyFont="1" applyBorder="1"/>
    <xf numFmtId="10" fontId="1" fillId="0" borderId="0" xfId="0" applyNumberFormat="1" applyFont="1"/>
    <xf numFmtId="4" fontId="2" fillId="0" borderId="2" xfId="0" applyNumberFormat="1" applyFont="1" applyBorder="1"/>
    <xf numFmtId="14" fontId="1" fillId="0" borderId="0" xfId="0" applyNumberFormat="1" applyFont="1" applyAlignment="1">
      <alignment horizontal="center" vertical="top"/>
    </xf>
    <xf numFmtId="0" fontId="1" fillId="0" borderId="3" xfId="0" applyFont="1" applyBorder="1" applyAlignment="1">
      <alignment horizontal="center"/>
    </xf>
    <xf numFmtId="0" fontId="1" fillId="0" borderId="3" xfId="0" applyFont="1" applyBorder="1"/>
    <xf numFmtId="0" fontId="1" fillId="0" borderId="6" xfId="0" applyFont="1" applyBorder="1"/>
    <xf numFmtId="14" fontId="1" fillId="0" borderId="6" xfId="0" applyNumberFormat="1" applyFont="1" applyBorder="1"/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8" xfId="0" applyFont="1" applyBorder="1"/>
    <xf numFmtId="4" fontId="1" fillId="0" borderId="6" xfId="0" applyNumberFormat="1" applyFont="1" applyBorder="1"/>
    <xf numFmtId="0" fontId="2" fillId="0" borderId="0" xfId="0" applyFont="1" applyAlignment="1">
      <alignment horizontal="center"/>
    </xf>
    <xf numFmtId="0" fontId="1" fillId="0" borderId="6" xfId="0" applyFont="1" applyFill="1" applyBorder="1" applyAlignment="1">
      <alignment vertical="center" wrapText="1"/>
    </xf>
    <xf numFmtId="0" fontId="1" fillId="0" borderId="14" xfId="0" applyFont="1" applyBorder="1" applyAlignment="1">
      <alignment horizontal="center"/>
    </xf>
    <xf numFmtId="0" fontId="1" fillId="0" borderId="14" xfId="0" applyFont="1" applyBorder="1"/>
    <xf numFmtId="0" fontId="1" fillId="0" borderId="0" xfId="0" applyNumberFormat="1" applyFont="1"/>
    <xf numFmtId="0" fontId="2" fillId="2" borderId="11" xfId="0" applyNumberFormat="1" applyFont="1" applyFill="1" applyBorder="1" applyAlignment="1">
      <alignment horizontal="center" vertical="top"/>
    </xf>
    <xf numFmtId="0" fontId="2" fillId="0" borderId="2" xfId="0" applyNumberFormat="1" applyFont="1" applyBorder="1"/>
    <xf numFmtId="0" fontId="1" fillId="0" borderId="4" xfId="0" applyNumberFormat="1" applyFont="1" applyBorder="1"/>
    <xf numFmtId="165" fontId="1" fillId="0" borderId="6" xfId="0" applyNumberFormat="1" applyFont="1" applyFill="1" applyBorder="1"/>
    <xf numFmtId="165" fontId="2" fillId="0" borderId="2" xfId="0" applyNumberFormat="1" applyFont="1" applyFill="1" applyBorder="1"/>
    <xf numFmtId="14" fontId="1" fillId="0" borderId="0" xfId="0" applyNumberFormat="1" applyFont="1"/>
    <xf numFmtId="14" fontId="2" fillId="2" borderId="2" xfId="0" applyNumberFormat="1" applyFont="1" applyFill="1" applyBorder="1" applyAlignment="1">
      <alignment horizontal="center" vertical="top"/>
    </xf>
    <xf numFmtId="14" fontId="2" fillId="0" borderId="1" xfId="0" applyNumberFormat="1" applyFont="1" applyFill="1" applyBorder="1"/>
    <xf numFmtId="14" fontId="2" fillId="0" borderId="2" xfId="0" applyNumberFormat="1" applyFont="1" applyBorder="1"/>
    <xf numFmtId="14" fontId="1" fillId="0" borderId="14" xfId="0" applyNumberFormat="1" applyFont="1" applyBorder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4" fontId="1" fillId="0" borderId="0" xfId="0" applyNumberFormat="1" applyFont="1"/>
    <xf numFmtId="0" fontId="2" fillId="0" borderId="0" xfId="0" applyFont="1" applyAlignment="1">
      <alignment horizontal="center"/>
    </xf>
    <xf numFmtId="4" fontId="0" fillId="0" borderId="3" xfId="0" applyNumberFormat="1" applyBorder="1"/>
    <xf numFmtId="0" fontId="0" fillId="0" borderId="1" xfId="0" applyBorder="1"/>
    <xf numFmtId="4" fontId="0" fillId="0" borderId="1" xfId="0" applyNumberFormat="1" applyBorder="1"/>
    <xf numFmtId="0" fontId="0" fillId="0" borderId="2" xfId="0" applyFill="1" applyBorder="1"/>
    <xf numFmtId="4" fontId="0" fillId="0" borderId="2" xfId="0" applyNumberFormat="1" applyBorder="1"/>
    <xf numFmtId="0" fontId="1" fillId="3" borderId="0" xfId="0" applyFont="1" applyFill="1"/>
    <xf numFmtId="0" fontId="1" fillId="0" borderId="2" xfId="0" applyFont="1" applyFill="1" applyBorder="1" applyAlignment="1">
      <alignment horizontal="center"/>
    </xf>
    <xf numFmtId="0" fontId="1" fillId="0" borderId="2" xfId="0" applyFont="1" applyFill="1" applyBorder="1"/>
    <xf numFmtId="0" fontId="1" fillId="0" borderId="0" xfId="0" applyFont="1" applyFill="1" applyAlignment="1">
      <alignment horizontal="center"/>
    </xf>
    <xf numFmtId="0" fontId="1" fillId="0" borderId="3" xfId="0" applyFont="1" applyFill="1" applyBorder="1"/>
    <xf numFmtId="0" fontId="1" fillId="0" borderId="13" xfId="0" applyFont="1" applyFill="1" applyBorder="1"/>
    <xf numFmtId="4" fontId="2" fillId="0" borderId="8" xfId="0" applyNumberFormat="1" applyFont="1" applyFill="1" applyBorder="1"/>
    <xf numFmtId="14" fontId="2" fillId="0" borderId="6" xfId="0" applyNumberFormat="1" applyFont="1" applyFill="1" applyBorder="1"/>
    <xf numFmtId="165" fontId="2" fillId="0" borderId="6" xfId="0" applyNumberFormat="1" applyFont="1" applyFill="1" applyBorder="1"/>
    <xf numFmtId="0" fontId="2" fillId="0" borderId="0" xfId="0" applyFont="1" applyFill="1"/>
    <xf numFmtId="9" fontId="1" fillId="0" borderId="6" xfId="1" applyFont="1" applyFill="1" applyBorder="1"/>
    <xf numFmtId="9" fontId="1" fillId="0" borderId="6" xfId="1" applyNumberFormat="1" applyFont="1" applyFill="1" applyBorder="1"/>
    <xf numFmtId="4" fontId="1" fillId="4" borderId="1" xfId="0" applyNumberFormat="1" applyFont="1" applyFill="1" applyBorder="1"/>
    <xf numFmtId="4" fontId="1" fillId="5" borderId="1" xfId="0" applyNumberFormat="1" applyFont="1" applyFill="1" applyBorder="1"/>
    <xf numFmtId="4" fontId="1" fillId="3" borderId="0" xfId="0" applyNumberFormat="1" applyFont="1" applyFill="1" applyBorder="1"/>
    <xf numFmtId="4" fontId="3" fillId="0" borderId="0" xfId="0" applyNumberFormat="1" applyFont="1" applyFill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1" fillId="0" borderId="5" xfId="0" applyFont="1" applyFill="1" applyBorder="1" applyAlignment="1">
      <alignment horizontal="left" vertical="center"/>
    </xf>
    <xf numFmtId="0" fontId="2" fillId="6" borderId="3" xfId="0" applyFont="1" applyFill="1" applyBorder="1" applyAlignment="1">
      <alignment horizontal="left" vertical="center"/>
    </xf>
    <xf numFmtId="0" fontId="2" fillId="6" borderId="4" xfId="0" applyFont="1" applyFill="1" applyBorder="1" applyAlignment="1">
      <alignment vertical="center" wrapText="1"/>
    </xf>
    <xf numFmtId="14" fontId="1" fillId="6" borderId="4" xfId="0" applyNumberFormat="1" applyFont="1" applyFill="1" applyBorder="1"/>
    <xf numFmtId="4" fontId="1" fillId="6" borderId="4" xfId="0" applyNumberFormat="1" applyFont="1" applyFill="1" applyBorder="1"/>
    <xf numFmtId="4" fontId="2" fillId="6" borderId="3" xfId="0" applyNumberFormat="1" applyFont="1" applyFill="1" applyBorder="1"/>
    <xf numFmtId="0" fontId="2" fillId="6" borderId="4" xfId="0" applyFont="1" applyFill="1" applyBorder="1" applyAlignment="1">
      <alignment horizontal="center"/>
    </xf>
    <xf numFmtId="0" fontId="2" fillId="6" borderId="4" xfId="0" applyFont="1" applyFill="1" applyBorder="1"/>
    <xf numFmtId="4" fontId="2" fillId="6" borderId="14" xfId="0" applyNumberFormat="1" applyFont="1" applyFill="1" applyBorder="1"/>
    <xf numFmtId="0" fontId="2" fillId="6" borderId="3" xfId="0" applyFont="1" applyFill="1" applyBorder="1"/>
    <xf numFmtId="4" fontId="2" fillId="6" borderId="4" xfId="0" applyNumberFormat="1" applyFont="1" applyFill="1" applyBorder="1"/>
    <xf numFmtId="0" fontId="2" fillId="6" borderId="1" xfId="0" applyFont="1" applyFill="1" applyBorder="1" applyAlignment="1">
      <alignment horizontal="left" vertical="center"/>
    </xf>
    <xf numFmtId="0" fontId="2" fillId="6" borderId="6" xfId="0" applyFont="1" applyFill="1" applyBorder="1" applyAlignment="1">
      <alignment vertical="center" wrapText="1"/>
    </xf>
    <xf numFmtId="14" fontId="1" fillId="6" borderId="6" xfId="0" applyNumberFormat="1" applyFont="1" applyFill="1" applyBorder="1"/>
    <xf numFmtId="4" fontId="2" fillId="6" borderId="1" xfId="0" applyNumberFormat="1" applyFont="1" applyFill="1" applyBorder="1"/>
    <xf numFmtId="0" fontId="2" fillId="6" borderId="6" xfId="0" applyNumberFormat="1" applyFont="1" applyFill="1" applyBorder="1" applyAlignment="1">
      <alignment horizontal="center"/>
    </xf>
    <xf numFmtId="0" fontId="2" fillId="6" borderId="6" xfId="0" applyFont="1" applyFill="1" applyBorder="1"/>
    <xf numFmtId="4" fontId="2" fillId="6" borderId="0" xfId="0" applyNumberFormat="1" applyFont="1" applyFill="1" applyBorder="1"/>
    <xf numFmtId="0" fontId="2" fillId="6" borderId="1" xfId="0" applyFont="1" applyFill="1" applyBorder="1"/>
    <xf numFmtId="4" fontId="2" fillId="6" borderId="6" xfId="0" applyNumberFormat="1" applyFont="1" applyFill="1" applyBorder="1"/>
    <xf numFmtId="0" fontId="2" fillId="6" borderId="4" xfId="0" applyNumberFormat="1" applyFont="1" applyFill="1" applyBorder="1" applyAlignment="1">
      <alignment horizontal="center"/>
    </xf>
    <xf numFmtId="0" fontId="1" fillId="6" borderId="1" xfId="0" applyFont="1" applyFill="1" applyBorder="1"/>
    <xf numFmtId="0" fontId="1" fillId="6" borderId="1" xfId="0" applyFont="1" applyFill="1" applyBorder="1" applyAlignment="1">
      <alignment horizontal="center"/>
    </xf>
    <xf numFmtId="4" fontId="1" fillId="6" borderId="1" xfId="0" applyNumberFormat="1" applyFont="1" applyFill="1" applyBorder="1"/>
    <xf numFmtId="0" fontId="2" fillId="6" borderId="3" xfId="0" applyFont="1" applyFill="1" applyBorder="1" applyAlignment="1">
      <alignment horizontal="left"/>
    </xf>
    <xf numFmtId="0" fontId="1" fillId="6" borderId="4" xfId="0" applyFont="1" applyFill="1" applyBorder="1" applyAlignment="1">
      <alignment horizontal="center"/>
    </xf>
    <xf numFmtId="0" fontId="1" fillId="6" borderId="4" xfId="0" applyFont="1" applyFill="1" applyBorder="1"/>
    <xf numFmtId="0" fontId="2" fillId="0" borderId="0" xfId="0" applyFont="1" applyFill="1" applyBorder="1" applyAlignment="1">
      <alignment horizontal="center"/>
    </xf>
    <xf numFmtId="4" fontId="2" fillId="0" borderId="0" xfId="0" applyNumberFormat="1" applyFont="1" applyFill="1" applyBorder="1" applyAlignment="1">
      <alignment horizontal="center"/>
    </xf>
    <xf numFmtId="14" fontId="2" fillId="6" borderId="1" xfId="0" applyNumberFormat="1" applyFont="1" applyFill="1" applyBorder="1"/>
    <xf numFmtId="0" fontId="2" fillId="6" borderId="6" xfId="0" applyNumberFormat="1" applyFont="1" applyFill="1" applyBorder="1"/>
    <xf numFmtId="14" fontId="2" fillId="6" borderId="6" xfId="0" applyNumberFormat="1" applyFont="1" applyFill="1" applyBorder="1"/>
    <xf numFmtId="165" fontId="2" fillId="6" borderId="6" xfId="0" applyNumberFormat="1" applyFont="1" applyFill="1" applyBorder="1"/>
    <xf numFmtId="14" fontId="2" fillId="6" borderId="3" xfId="0" applyNumberFormat="1" applyFont="1" applyFill="1" applyBorder="1"/>
    <xf numFmtId="0" fontId="2" fillId="6" borderId="4" xfId="0" applyNumberFormat="1" applyFont="1" applyFill="1" applyBorder="1"/>
    <xf numFmtId="9" fontId="1" fillId="0" borderId="8" xfId="1" applyFont="1" applyFill="1" applyBorder="1"/>
    <xf numFmtId="4" fontId="1" fillId="3" borderId="7" xfId="0" applyNumberFormat="1" applyFont="1" applyFill="1" applyBorder="1"/>
    <xf numFmtId="14" fontId="1" fillId="0" borderId="5" xfId="0" applyNumberFormat="1" applyFont="1" applyFill="1" applyBorder="1"/>
    <xf numFmtId="0" fontId="1" fillId="0" borderId="8" xfId="0" applyNumberFormat="1" applyFont="1" applyFill="1" applyBorder="1"/>
    <xf numFmtId="165" fontId="1" fillId="0" borderId="8" xfId="0" applyNumberFormat="1" applyFont="1" applyFill="1" applyBorder="1"/>
    <xf numFmtId="14" fontId="2" fillId="6" borderId="4" xfId="0" applyNumberFormat="1" applyFont="1" applyFill="1" applyBorder="1"/>
    <xf numFmtId="165" fontId="2" fillId="6" borderId="4" xfId="0" applyNumberFormat="1" applyFont="1" applyFill="1" applyBorder="1"/>
    <xf numFmtId="4" fontId="1" fillId="5" borderId="5" xfId="0" applyNumberFormat="1" applyFont="1" applyFill="1" applyBorder="1"/>
    <xf numFmtId="0" fontId="7" fillId="0" borderId="0" xfId="0" applyFont="1"/>
    <xf numFmtId="10" fontId="7" fillId="0" borderId="0" xfId="0" applyNumberFormat="1" applyFont="1"/>
    <xf numFmtId="4" fontId="7" fillId="0" borderId="0" xfId="0" applyNumberFormat="1" applyFont="1" applyFill="1"/>
    <xf numFmtId="4" fontId="7" fillId="0" borderId="0" xfId="0" applyNumberFormat="1" applyFont="1" applyFill="1" applyBorder="1"/>
    <xf numFmtId="4" fontId="7" fillId="4" borderId="0" xfId="0" applyNumberFormat="1" applyFont="1" applyFill="1"/>
    <xf numFmtId="4" fontId="7" fillId="0" borderId="0" xfId="0" applyNumberFormat="1" applyFont="1"/>
    <xf numFmtId="4" fontId="7" fillId="0" borderId="0" xfId="0" applyNumberFormat="1" applyFont="1" applyAlignment="1">
      <alignment horizontal="center" vertical="top"/>
    </xf>
    <xf numFmtId="4" fontId="7" fillId="0" borderId="0" xfId="0" applyNumberFormat="1" applyFont="1" applyFill="1" applyAlignment="1">
      <alignment horizontal="center" vertical="top"/>
    </xf>
    <xf numFmtId="4" fontId="8" fillId="0" borderId="0" xfId="0" applyNumberFormat="1" applyFont="1" applyFill="1"/>
    <xf numFmtId="165" fontId="2" fillId="6" borderId="3" xfId="0" applyNumberFormat="1" applyFont="1" applyFill="1" applyBorder="1"/>
    <xf numFmtId="0" fontId="2" fillId="2" borderId="4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14" fontId="2" fillId="6" borderId="4" xfId="0" applyNumberFormat="1" applyFont="1" applyFill="1" applyBorder="1" applyAlignment="1">
      <alignment horizontal="center" vertical="center"/>
    </xf>
    <xf numFmtId="14" fontId="1" fillId="0" borderId="6" xfId="0" applyNumberFormat="1" applyFont="1" applyFill="1" applyBorder="1" applyAlignment="1">
      <alignment horizontal="center" vertical="center"/>
    </xf>
    <xf numFmtId="14" fontId="1" fillId="0" borderId="8" xfId="0" applyNumberFormat="1" applyFont="1" applyFill="1" applyBorder="1" applyAlignment="1">
      <alignment horizontal="center" vertical="center"/>
    </xf>
    <xf numFmtId="14" fontId="3" fillId="0" borderId="6" xfId="0" applyNumberFormat="1" applyFont="1" applyFill="1" applyBorder="1" applyAlignment="1">
      <alignment horizontal="center" vertical="center"/>
    </xf>
    <xf numFmtId="14" fontId="2" fillId="6" borderId="6" xfId="0" applyNumberFormat="1" applyFont="1" applyFill="1" applyBorder="1" applyAlignment="1">
      <alignment horizontal="center" vertical="center"/>
    </xf>
    <xf numFmtId="14" fontId="2" fillId="0" borderId="6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4" fontId="7" fillId="0" borderId="0" xfId="0" applyNumberFormat="1" applyFont="1" applyBorder="1"/>
    <xf numFmtId="0" fontId="2" fillId="0" borderId="0" xfId="0" applyFont="1" applyFill="1" applyBorder="1"/>
    <xf numFmtId="165" fontId="2" fillId="6" borderId="1" xfId="0" applyNumberFormat="1" applyFont="1" applyFill="1" applyBorder="1"/>
    <xf numFmtId="0" fontId="6" fillId="0" borderId="1" xfId="0" applyFont="1" applyBorder="1"/>
    <xf numFmtId="4" fontId="9" fillId="0" borderId="0" xfId="0" applyNumberFormat="1" applyFont="1"/>
    <xf numFmtId="4" fontId="4" fillId="0" borderId="8" xfId="0" applyNumberFormat="1" applyFont="1" applyFill="1" applyBorder="1"/>
    <xf numFmtId="4" fontId="4" fillId="0" borderId="6" xfId="0" applyNumberFormat="1" applyFont="1" applyFill="1" applyBorder="1"/>
    <xf numFmtId="0" fontId="2" fillId="4" borderId="1" xfId="0" applyFont="1" applyFill="1" applyBorder="1" applyAlignment="1">
      <alignment horizontal="left"/>
    </xf>
    <xf numFmtId="0" fontId="2" fillId="4" borderId="6" xfId="0" applyFont="1" applyFill="1" applyBorder="1"/>
    <xf numFmtId="14" fontId="1" fillId="4" borderId="6" xfId="0" applyNumberFormat="1" applyFont="1" applyFill="1" applyBorder="1"/>
    <xf numFmtId="4" fontId="2" fillId="4" borderId="6" xfId="0" applyNumberFormat="1" applyFont="1" applyFill="1" applyBorder="1"/>
    <xf numFmtId="4" fontId="1" fillId="4" borderId="6" xfId="0" applyNumberFormat="1" applyFont="1" applyFill="1" applyBorder="1"/>
    <xf numFmtId="0" fontId="1" fillId="4" borderId="6" xfId="0" applyFont="1" applyFill="1" applyBorder="1" applyAlignment="1">
      <alignment horizontal="center"/>
    </xf>
    <xf numFmtId="0" fontId="1" fillId="4" borderId="6" xfId="0" applyFont="1" applyFill="1" applyBorder="1"/>
    <xf numFmtId="0" fontId="1" fillId="4" borderId="1" xfId="0" applyFont="1" applyFill="1" applyBorder="1"/>
    <xf numFmtId="4" fontId="10" fillId="0" borderId="0" xfId="0" applyNumberFormat="1" applyFont="1"/>
    <xf numFmtId="14" fontId="2" fillId="4" borderId="6" xfId="0" applyNumberFormat="1" applyFont="1" applyFill="1" applyBorder="1"/>
    <xf numFmtId="4" fontId="2" fillId="4" borderId="0" xfId="0" applyNumberFormat="1" applyFont="1" applyFill="1" applyBorder="1"/>
    <xf numFmtId="14" fontId="2" fillId="4" borderId="1" xfId="0" applyNumberFormat="1" applyFont="1" applyFill="1" applyBorder="1"/>
    <xf numFmtId="0" fontId="2" fillId="4" borderId="6" xfId="0" applyNumberFormat="1" applyFont="1" applyFill="1" applyBorder="1"/>
    <xf numFmtId="165" fontId="2" fillId="4" borderId="6" xfId="0" applyNumberFormat="1" applyFont="1" applyFill="1" applyBorder="1"/>
    <xf numFmtId="0" fontId="2" fillId="4" borderId="0" xfId="0" applyFont="1" applyFill="1"/>
    <xf numFmtId="0" fontId="1" fillId="4" borderId="6" xfId="0" applyNumberFormat="1" applyFont="1" applyFill="1" applyBorder="1" applyAlignment="1">
      <alignment horizontal="center"/>
    </xf>
    <xf numFmtId="165" fontId="1" fillId="4" borderId="6" xfId="0" applyNumberFormat="1" applyFont="1" applyFill="1" applyBorder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4" fontId="2" fillId="0" borderId="0" xfId="0" applyNumberFormat="1" applyFont="1" applyFill="1"/>
    <xf numFmtId="0" fontId="7" fillId="0" borderId="0" xfId="0" applyFont="1" applyAlignment="1">
      <alignment horizontal="center" vertical="top"/>
    </xf>
    <xf numFmtId="165" fontId="7" fillId="0" borderId="0" xfId="0" applyNumberFormat="1" applyFont="1" applyAlignment="1">
      <alignment horizontal="center" vertical="top"/>
    </xf>
    <xf numFmtId="0" fontId="7" fillId="0" borderId="0" xfId="0" applyFont="1" applyFill="1"/>
    <xf numFmtId="0" fontId="8" fillId="0" borderId="0" xfId="0" applyFont="1" applyFill="1"/>
    <xf numFmtId="4" fontId="11" fillId="0" borderId="0" xfId="0" applyNumberFormat="1" applyFont="1"/>
    <xf numFmtId="0" fontId="2" fillId="6" borderId="6" xfId="0" applyFont="1" applyFill="1" applyBorder="1" applyAlignment="1">
      <alignment horizontal="center"/>
    </xf>
    <xf numFmtId="14" fontId="1" fillId="6" borderId="3" xfId="0" applyNumberFormat="1" applyFont="1" applyFill="1" applyBorder="1"/>
    <xf numFmtId="0" fontId="2" fillId="4" borderId="0" xfId="0" applyFont="1" applyFill="1" applyBorder="1" applyAlignment="1">
      <alignment horizontal="center"/>
    </xf>
    <xf numFmtId="0" fontId="1" fillId="0" borderId="6" xfId="0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Fill="1" applyAlignment="1">
      <alignment vertical="center"/>
    </xf>
    <xf numFmtId="165" fontId="3" fillId="0" borderId="8" xfId="0" applyNumberFormat="1" applyFont="1" applyFill="1" applyBorder="1"/>
    <xf numFmtId="165" fontId="4" fillId="6" borderId="4" xfId="0" applyNumberFormat="1" applyFont="1" applyFill="1" applyBorder="1"/>
    <xf numFmtId="0" fontId="2" fillId="0" borderId="0" xfId="0" applyFont="1" applyAlignment="1">
      <alignment horizontal="center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65" fontId="1" fillId="0" borderId="0" xfId="0" applyNumberFormat="1" applyFont="1" applyFill="1" applyAlignment="1">
      <alignment horizontal="center" vertical="top"/>
    </xf>
    <xf numFmtId="2" fontId="7" fillId="0" borderId="0" xfId="0" applyNumberFormat="1" applyFont="1" applyFill="1" applyAlignment="1">
      <alignment horizontal="center" vertical="top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2" borderId="12" xfId="0" applyFont="1" applyFill="1" applyBorder="1" applyAlignment="1">
      <alignment vertical="top" wrapText="1"/>
    </xf>
    <xf numFmtId="4" fontId="0" fillId="0" borderId="0" xfId="0" applyNumberFormat="1"/>
    <xf numFmtId="10" fontId="1" fillId="0" borderId="6" xfId="1" applyNumberFormat="1" applyFont="1" applyFill="1" applyBorder="1"/>
    <xf numFmtId="0" fontId="1" fillId="4" borderId="1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vertical="top" wrapText="1"/>
    </xf>
    <xf numFmtId="0" fontId="2" fillId="2" borderId="3" xfId="0" applyFont="1" applyFill="1" applyBorder="1" applyAlignment="1">
      <alignment vertical="top"/>
    </xf>
    <xf numFmtId="0" fontId="2" fillId="2" borderId="5" xfId="0" applyFont="1" applyFill="1" applyBorder="1" applyAlignment="1">
      <alignment horizontal="center" vertical="center"/>
    </xf>
    <xf numFmtId="4" fontId="2" fillId="2" borderId="2" xfId="0" applyNumberFormat="1" applyFont="1" applyFill="1" applyBorder="1" applyAlignment="1">
      <alignment horizontal="center" vertical="center"/>
    </xf>
    <xf numFmtId="4" fontId="2" fillId="2" borderId="11" xfId="0" applyNumberFormat="1" applyFont="1" applyFill="1" applyBorder="1" applyAlignment="1">
      <alignment horizontal="center" vertical="center"/>
    </xf>
    <xf numFmtId="4" fontId="2" fillId="2" borderId="10" xfId="0" applyNumberFormat="1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7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/>
    </xf>
    <xf numFmtId="14" fontId="1" fillId="0" borderId="0" xfId="0" applyNumberFormat="1" applyFont="1" applyFill="1" applyAlignment="1">
      <alignment horizontal="center" vertical="top"/>
    </xf>
    <xf numFmtId="4" fontId="2" fillId="0" borderId="2" xfId="0" applyNumberFormat="1" applyFont="1" applyFill="1" applyBorder="1" applyAlignment="1">
      <alignment horizontal="center" vertical="top"/>
    </xf>
    <xf numFmtId="4" fontId="2" fillId="0" borderId="11" xfId="0" applyNumberFormat="1" applyFont="1" applyFill="1" applyBorder="1" applyAlignment="1">
      <alignment horizontal="center" vertical="top"/>
    </xf>
    <xf numFmtId="4" fontId="2" fillId="0" borderId="10" xfId="0" applyNumberFormat="1" applyFont="1" applyFill="1" applyBorder="1" applyAlignment="1">
      <alignment horizontal="center" vertical="top"/>
    </xf>
    <xf numFmtId="0" fontId="2" fillId="0" borderId="2" xfId="0" applyFont="1" applyFill="1" applyBorder="1" applyAlignment="1">
      <alignment horizontal="center" vertical="top" wrapText="1"/>
    </xf>
    <xf numFmtId="0" fontId="4" fillId="0" borderId="0" xfId="0" applyFont="1" applyFill="1"/>
    <xf numFmtId="4" fontId="1" fillId="6" borderId="3" xfId="0" applyNumberFormat="1" applyFont="1" applyFill="1" applyBorder="1"/>
    <xf numFmtId="0" fontId="1" fillId="6" borderId="4" xfId="0" applyNumberFormat="1" applyFont="1" applyFill="1" applyBorder="1" applyAlignment="1">
      <alignment horizontal="center"/>
    </xf>
    <xf numFmtId="0" fontId="1" fillId="6" borderId="4" xfId="0" applyNumberFormat="1" applyFont="1" applyFill="1" applyBorder="1"/>
    <xf numFmtId="165" fontId="1" fillId="6" borderId="4" xfId="0" applyNumberFormat="1" applyFont="1" applyFill="1" applyBorder="1"/>
    <xf numFmtId="0" fontId="1" fillId="6" borderId="3" xfId="0" applyNumberFormat="1" applyFont="1" applyFill="1" applyBorder="1" applyAlignment="1">
      <alignment horizontal="center"/>
    </xf>
    <xf numFmtId="0" fontId="1" fillId="6" borderId="3" xfId="0" applyNumberFormat="1" applyFont="1" applyFill="1" applyBorder="1"/>
    <xf numFmtId="165" fontId="1" fillId="6" borderId="3" xfId="0" applyNumberFormat="1" applyFont="1" applyFill="1" applyBorder="1"/>
    <xf numFmtId="4" fontId="2" fillId="6" borderId="3" xfId="1" applyNumberFormat="1" applyFont="1" applyFill="1" applyBorder="1"/>
    <xf numFmtId="14" fontId="1" fillId="6" borderId="4" xfId="0" applyNumberFormat="1" applyFont="1" applyFill="1" applyBorder="1" applyAlignment="1">
      <alignment horizontal="center" vertical="center"/>
    </xf>
    <xf numFmtId="14" fontId="3" fillId="0" borderId="4" xfId="0" applyNumberFormat="1" applyFont="1" applyFill="1" applyBorder="1"/>
    <xf numFmtId="0" fontId="2" fillId="0" borderId="3" xfId="0" applyFont="1" applyFill="1" applyBorder="1" applyAlignment="1">
      <alignment horizontal="left" vertical="center"/>
    </xf>
    <xf numFmtId="14" fontId="1" fillId="0" borderId="4" xfId="0" applyNumberFormat="1" applyFont="1" applyFill="1" applyBorder="1"/>
    <xf numFmtId="4" fontId="1" fillId="0" borderId="3" xfId="0" applyNumberFormat="1" applyFont="1" applyFill="1" applyBorder="1"/>
    <xf numFmtId="0" fontId="1" fillId="0" borderId="4" xfId="0" applyNumberFormat="1" applyFont="1" applyFill="1" applyBorder="1" applyAlignment="1">
      <alignment horizontal="center"/>
    </xf>
    <xf numFmtId="4" fontId="1" fillId="0" borderId="14" xfId="0" applyNumberFormat="1" applyFont="1" applyFill="1" applyBorder="1"/>
    <xf numFmtId="14" fontId="1" fillId="0" borderId="3" xfId="0" applyNumberFormat="1" applyFont="1" applyFill="1" applyBorder="1"/>
    <xf numFmtId="165" fontId="1" fillId="0" borderId="4" xfId="0" applyNumberFormat="1" applyFont="1" applyFill="1" applyBorder="1"/>
    <xf numFmtId="4" fontId="1" fillId="0" borderId="1" xfId="0" applyNumberFormat="1" applyFont="1" applyFill="1" applyBorder="1" applyAlignment="1">
      <alignment horizontal="center"/>
    </xf>
    <xf numFmtId="4" fontId="1" fillId="0" borderId="0" xfId="0" applyNumberFormat="1" applyFont="1" applyFill="1" applyBorder="1" applyAlignment="1">
      <alignment horizontal="center"/>
    </xf>
    <xf numFmtId="4" fontId="2" fillId="0" borderId="6" xfId="1" applyNumberFormat="1" applyFont="1" applyFill="1" applyBorder="1"/>
    <xf numFmtId="165" fontId="1" fillId="0" borderId="0" xfId="0" applyNumberFormat="1" applyFont="1" applyFill="1" applyAlignment="1">
      <alignment horizontal="left" vertical="top"/>
    </xf>
    <xf numFmtId="0" fontId="2" fillId="7" borderId="3" xfId="0" applyFont="1" applyFill="1" applyBorder="1" applyAlignment="1">
      <alignment horizontal="left" vertical="center"/>
    </xf>
    <xf numFmtId="14" fontId="2" fillId="7" borderId="4" xfId="0" applyNumberFormat="1" applyFont="1" applyFill="1" applyBorder="1"/>
    <xf numFmtId="4" fontId="2" fillId="7" borderId="4" xfId="0" applyNumberFormat="1" applyFont="1" applyFill="1" applyBorder="1"/>
    <xf numFmtId="4" fontId="2" fillId="7" borderId="3" xfId="0" applyNumberFormat="1" applyFont="1" applyFill="1" applyBorder="1"/>
    <xf numFmtId="4" fontId="2" fillId="7" borderId="4" xfId="0" applyNumberFormat="1" applyFont="1" applyFill="1" applyBorder="1" applyAlignment="1">
      <alignment horizontal="center"/>
    </xf>
    <xf numFmtId="4" fontId="2" fillId="7" borderId="14" xfId="0" applyNumberFormat="1" applyFont="1" applyFill="1" applyBorder="1"/>
    <xf numFmtId="165" fontId="2" fillId="7" borderId="3" xfId="0" applyNumberFormat="1" applyFont="1" applyFill="1" applyBorder="1"/>
    <xf numFmtId="0" fontId="1" fillId="7" borderId="1" xfId="0" applyFont="1" applyFill="1" applyBorder="1" applyAlignment="1">
      <alignment horizontal="left" vertical="center"/>
    </xf>
    <xf numFmtId="14" fontId="3" fillId="7" borderId="6" xfId="0" applyNumberFormat="1" applyFont="1" applyFill="1" applyBorder="1"/>
    <xf numFmtId="9" fontId="1" fillId="7" borderId="6" xfId="1" applyFont="1" applyFill="1" applyBorder="1"/>
    <xf numFmtId="4" fontId="1" fillId="7" borderId="1" xfId="0" applyNumberFormat="1" applyFont="1" applyFill="1" applyBorder="1"/>
    <xf numFmtId="0" fontId="1" fillId="7" borderId="6" xfId="0" applyNumberFormat="1" applyFont="1" applyFill="1" applyBorder="1" applyAlignment="1">
      <alignment horizontal="center"/>
    </xf>
    <xf numFmtId="14" fontId="1" fillId="7" borderId="6" xfId="0" applyNumberFormat="1" applyFont="1" applyFill="1" applyBorder="1"/>
    <xf numFmtId="4" fontId="1" fillId="7" borderId="0" xfId="0" applyNumberFormat="1" applyFont="1" applyFill="1" applyBorder="1"/>
    <xf numFmtId="14" fontId="1" fillId="7" borderId="1" xfId="0" applyNumberFormat="1" applyFont="1" applyFill="1" applyBorder="1"/>
    <xf numFmtId="0" fontId="1" fillId="7" borderId="6" xfId="0" applyNumberFormat="1" applyFont="1" applyFill="1" applyBorder="1"/>
    <xf numFmtId="165" fontId="1" fillId="7" borderId="6" xfId="0" applyNumberFormat="1" applyFont="1" applyFill="1" applyBorder="1"/>
    <xf numFmtId="0" fontId="2" fillId="7" borderId="1" xfId="0" applyFont="1" applyFill="1" applyBorder="1" applyAlignment="1">
      <alignment horizontal="left" vertical="center"/>
    </xf>
    <xf numFmtId="0" fontId="2" fillId="7" borderId="6" xfId="0" applyFont="1" applyFill="1" applyBorder="1" applyAlignment="1">
      <alignment vertical="center" wrapText="1"/>
    </xf>
    <xf numFmtId="4" fontId="1" fillId="7" borderId="6" xfId="0" applyNumberFormat="1" applyFont="1" applyFill="1" applyBorder="1"/>
    <xf numFmtId="4" fontId="2" fillId="7" borderId="1" xfId="0" applyNumberFormat="1" applyFont="1" applyFill="1" applyBorder="1"/>
    <xf numFmtId="0" fontId="2" fillId="7" borderId="6" xfId="0" applyFont="1" applyFill="1" applyBorder="1" applyAlignment="1">
      <alignment horizontal="center"/>
    </xf>
    <xf numFmtId="0" fontId="2" fillId="7" borderId="6" xfId="0" applyFont="1" applyFill="1" applyBorder="1"/>
    <xf numFmtId="4" fontId="2" fillId="7" borderId="0" xfId="0" applyNumberFormat="1" applyFont="1" applyFill="1" applyBorder="1"/>
    <xf numFmtId="0" fontId="2" fillId="7" borderId="1" xfId="0" applyFont="1" applyFill="1" applyBorder="1"/>
    <xf numFmtId="4" fontId="2" fillId="7" borderId="6" xfId="0" applyNumberFormat="1" applyFont="1" applyFill="1" applyBorder="1"/>
    <xf numFmtId="0" fontId="1" fillId="7" borderId="6" xfId="0" applyFont="1" applyFill="1" applyBorder="1"/>
    <xf numFmtId="0" fontId="1" fillId="7" borderId="1" xfId="0" applyFont="1" applyFill="1" applyBorder="1"/>
    <xf numFmtId="0" fontId="3" fillId="7" borderId="6" xfId="0" applyFont="1" applyFill="1" applyBorder="1"/>
    <xf numFmtId="4" fontId="3" fillId="7" borderId="6" xfId="0" applyNumberFormat="1" applyFont="1" applyFill="1" applyBorder="1"/>
    <xf numFmtId="0" fontId="1" fillId="7" borderId="6" xfId="0" applyFont="1" applyFill="1" applyBorder="1" applyAlignment="1">
      <alignment vertical="center" wrapText="1"/>
    </xf>
    <xf numFmtId="166" fontId="1" fillId="0" borderId="6" xfId="0" applyNumberFormat="1" applyFont="1" applyBorder="1" applyAlignment="1">
      <alignment horizontal="right"/>
    </xf>
    <xf numFmtId="0" fontId="1" fillId="3" borderId="8" xfId="0" applyFont="1" applyFill="1" applyBorder="1"/>
    <xf numFmtId="0" fontId="2" fillId="2" borderId="4" xfId="0" applyFont="1" applyFill="1" applyBorder="1" applyAlignment="1">
      <alignment vertical="top"/>
    </xf>
    <xf numFmtId="0" fontId="2" fillId="2" borderId="8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left" vertical="center"/>
    </xf>
    <xf numFmtId="0" fontId="1" fillId="0" borderId="6" xfId="0" applyFont="1" applyFill="1" applyBorder="1" applyAlignment="1">
      <alignment horizontal="left" vertical="center"/>
    </xf>
    <xf numFmtId="0" fontId="1" fillId="0" borderId="8" xfId="0" applyFont="1" applyFill="1" applyBorder="1" applyAlignment="1">
      <alignment horizontal="left" vertical="center"/>
    </xf>
    <xf numFmtId="0" fontId="2" fillId="6" borderId="6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horizontal="left" vertical="center"/>
    </xf>
    <xf numFmtId="0" fontId="3" fillId="7" borderId="6" xfId="0" applyFont="1" applyFill="1" applyBorder="1" applyAlignment="1">
      <alignment vertical="center"/>
    </xf>
    <xf numFmtId="14" fontId="3" fillId="7" borderId="6" xfId="0" applyNumberFormat="1" applyFont="1" applyFill="1" applyBorder="1" applyAlignment="1">
      <alignment vertical="center"/>
    </xf>
    <xf numFmtId="14" fontId="1" fillId="7" borderId="6" xfId="0" applyNumberFormat="1" applyFont="1" applyFill="1" applyBorder="1" applyAlignment="1">
      <alignment vertical="center" wrapText="1"/>
    </xf>
    <xf numFmtId="14" fontId="1" fillId="7" borderId="6" xfId="0" applyNumberFormat="1" applyFont="1" applyFill="1" applyBorder="1" applyAlignment="1">
      <alignment vertical="center"/>
    </xf>
    <xf numFmtId="9" fontId="1" fillId="7" borderId="6" xfId="1" applyFont="1" applyFill="1" applyBorder="1" applyAlignment="1">
      <alignment vertical="center"/>
    </xf>
    <xf numFmtId="4" fontId="1" fillId="7" borderId="1" xfId="0" applyNumberFormat="1" applyFont="1" applyFill="1" applyBorder="1" applyAlignment="1">
      <alignment vertical="center"/>
    </xf>
    <xf numFmtId="0" fontId="1" fillId="7" borderId="6" xfId="0" applyNumberFormat="1" applyFont="1" applyFill="1" applyBorder="1" applyAlignment="1">
      <alignment horizontal="center" vertical="center"/>
    </xf>
    <xf numFmtId="4" fontId="1" fillId="7" borderId="0" xfId="0" applyNumberFormat="1" applyFont="1" applyFill="1" applyBorder="1" applyAlignment="1">
      <alignment vertical="center"/>
    </xf>
    <xf numFmtId="14" fontId="1" fillId="7" borderId="1" xfId="0" applyNumberFormat="1" applyFont="1" applyFill="1" applyBorder="1" applyAlignment="1">
      <alignment vertical="center"/>
    </xf>
    <xf numFmtId="0" fontId="1" fillId="7" borderId="6" xfId="0" applyFont="1" applyFill="1" applyBorder="1" applyAlignment="1">
      <alignment vertical="center"/>
    </xf>
    <xf numFmtId="165" fontId="1" fillId="7" borderId="6" xfId="0" applyNumberFormat="1" applyFont="1" applyFill="1" applyBorder="1" applyAlignment="1">
      <alignment vertical="center"/>
    </xf>
    <xf numFmtId="0" fontId="2" fillId="8" borderId="3" xfId="0" applyFont="1" applyFill="1" applyBorder="1" applyAlignment="1">
      <alignment horizontal="left" vertical="center"/>
    </xf>
    <xf numFmtId="14" fontId="2" fillId="8" borderId="4" xfId="0" applyNumberFormat="1" applyFont="1" applyFill="1" applyBorder="1"/>
    <xf numFmtId="4" fontId="2" fillId="8" borderId="4" xfId="0" applyNumberFormat="1" applyFont="1" applyFill="1" applyBorder="1"/>
    <xf numFmtId="4" fontId="2" fillId="8" borderId="3" xfId="0" applyNumberFormat="1" applyFont="1" applyFill="1" applyBorder="1"/>
    <xf numFmtId="0" fontId="2" fillId="8" borderId="4" xfId="0" applyNumberFormat="1" applyFont="1" applyFill="1" applyBorder="1" applyAlignment="1">
      <alignment horizontal="center"/>
    </xf>
    <xf numFmtId="4" fontId="2" fillId="8" borderId="14" xfId="0" applyNumberFormat="1" applyFont="1" applyFill="1" applyBorder="1"/>
    <xf numFmtId="14" fontId="2" fillId="8" borderId="3" xfId="0" applyNumberFormat="1" applyFont="1" applyFill="1" applyBorder="1"/>
    <xf numFmtId="0" fontId="2" fillId="8" borderId="4" xfId="0" applyFont="1" applyFill="1" applyBorder="1"/>
    <xf numFmtId="165" fontId="2" fillId="8" borderId="4" xfId="0" applyNumberFormat="1" applyFont="1" applyFill="1" applyBorder="1"/>
    <xf numFmtId="0" fontId="1" fillId="8" borderId="1" xfId="0" applyFont="1" applyFill="1" applyBorder="1" applyAlignment="1">
      <alignment horizontal="left" vertical="center"/>
    </xf>
    <xf numFmtId="0" fontId="1" fillId="8" borderId="6" xfId="0" applyFont="1" applyFill="1" applyBorder="1" applyAlignment="1">
      <alignment vertical="center" wrapText="1"/>
    </xf>
    <xf numFmtId="14" fontId="1" fillId="8" borderId="6" xfId="0" applyNumberFormat="1" applyFont="1" applyFill="1" applyBorder="1" applyAlignment="1">
      <alignment vertical="center"/>
    </xf>
    <xf numFmtId="14" fontId="1" fillId="8" borderId="6" xfId="0" applyNumberFormat="1" applyFont="1" applyFill="1" applyBorder="1" applyAlignment="1">
      <alignment vertical="center" wrapText="1"/>
    </xf>
    <xf numFmtId="9" fontId="1" fillId="8" borderId="6" xfId="1" applyFont="1" applyFill="1" applyBorder="1" applyAlignment="1">
      <alignment vertical="center"/>
    </xf>
    <xf numFmtId="4" fontId="1" fillId="8" borderId="1" xfId="0" applyNumberFormat="1" applyFont="1" applyFill="1" applyBorder="1" applyAlignment="1">
      <alignment vertical="center"/>
    </xf>
    <xf numFmtId="0" fontId="1" fillId="8" borderId="6" xfId="0" applyNumberFormat="1" applyFont="1" applyFill="1" applyBorder="1" applyAlignment="1">
      <alignment horizontal="center" vertical="center"/>
    </xf>
    <xf numFmtId="4" fontId="1" fillId="8" borderId="0" xfId="0" applyNumberFormat="1" applyFont="1" applyFill="1" applyBorder="1" applyAlignment="1">
      <alignment vertical="center"/>
    </xf>
    <xf numFmtId="14" fontId="1" fillId="8" borderId="1" xfId="0" applyNumberFormat="1" applyFont="1" applyFill="1" applyBorder="1" applyAlignment="1">
      <alignment vertical="center"/>
    </xf>
    <xf numFmtId="0" fontId="1" fillId="8" borderId="6" xfId="0" applyFont="1" applyFill="1" applyBorder="1" applyAlignment="1">
      <alignment vertical="center"/>
    </xf>
    <xf numFmtId="4" fontId="2" fillId="8" borderId="6" xfId="0" applyNumberFormat="1" applyFont="1" applyFill="1" applyBorder="1" applyAlignment="1">
      <alignment vertical="center"/>
    </xf>
    <xf numFmtId="165" fontId="1" fillId="8" borderId="6" xfId="0" applyNumberFormat="1" applyFont="1" applyFill="1" applyBorder="1" applyAlignment="1">
      <alignment vertical="center"/>
    </xf>
    <xf numFmtId="4" fontId="1" fillId="8" borderId="6" xfId="0" applyNumberFormat="1" applyFont="1" applyFill="1" applyBorder="1" applyAlignment="1">
      <alignment vertical="center"/>
    </xf>
    <xf numFmtId="14" fontId="1" fillId="8" borderId="6" xfId="0" applyNumberFormat="1" applyFont="1" applyFill="1" applyBorder="1"/>
    <xf numFmtId="9" fontId="1" fillId="8" borderId="6" xfId="1" applyFont="1" applyFill="1" applyBorder="1"/>
    <xf numFmtId="4" fontId="1" fillId="8" borderId="1" xfId="0" applyNumberFormat="1" applyFont="1" applyFill="1" applyBorder="1"/>
    <xf numFmtId="0" fontId="1" fillId="8" borderId="6" xfId="0" applyNumberFormat="1" applyFont="1" applyFill="1" applyBorder="1" applyAlignment="1">
      <alignment horizontal="center"/>
    </xf>
    <xf numFmtId="4" fontId="1" fillId="8" borderId="0" xfId="0" applyNumberFormat="1" applyFont="1" applyFill="1" applyBorder="1"/>
    <xf numFmtId="14" fontId="1" fillId="8" borderId="1" xfId="0" applyNumberFormat="1" applyFont="1" applyFill="1" applyBorder="1"/>
    <xf numFmtId="0" fontId="1" fillId="8" borderId="6" xfId="0" applyFont="1" applyFill="1" applyBorder="1"/>
    <xf numFmtId="165" fontId="1" fillId="8" borderId="6" xfId="0" applyNumberFormat="1" applyFont="1" applyFill="1" applyBorder="1"/>
    <xf numFmtId="4" fontId="1" fillId="8" borderId="6" xfId="0" applyNumberFormat="1" applyFont="1" applyFill="1" applyBorder="1"/>
    <xf numFmtId="0" fontId="1" fillId="8" borderId="5" xfId="0" applyFont="1" applyFill="1" applyBorder="1" applyAlignment="1">
      <alignment horizontal="left" vertical="center"/>
    </xf>
    <xf numFmtId="0" fontId="1" fillId="8" borderId="8" xfId="0" applyFont="1" applyFill="1" applyBorder="1" applyAlignment="1">
      <alignment vertical="center" wrapText="1"/>
    </xf>
    <xf numFmtId="14" fontId="1" fillId="8" borderId="8" xfId="0" applyNumberFormat="1" applyFont="1" applyFill="1" applyBorder="1"/>
    <xf numFmtId="4" fontId="1" fillId="8" borderId="5" xfId="0" applyNumberFormat="1" applyFont="1" applyFill="1" applyBorder="1"/>
    <xf numFmtId="0" fontId="1" fillId="8" borderId="8" xfId="0" applyNumberFormat="1" applyFont="1" applyFill="1" applyBorder="1" applyAlignment="1">
      <alignment horizontal="center"/>
    </xf>
    <xf numFmtId="4" fontId="1" fillId="8" borderId="7" xfId="0" applyNumberFormat="1" applyFont="1" applyFill="1" applyBorder="1"/>
    <xf numFmtId="14" fontId="1" fillId="8" borderId="5" xfId="0" applyNumberFormat="1" applyFont="1" applyFill="1" applyBorder="1"/>
    <xf numFmtId="0" fontId="1" fillId="8" borderId="8" xfId="0" applyFont="1" applyFill="1" applyBorder="1"/>
    <xf numFmtId="165" fontId="1" fillId="8" borderId="8" xfId="0" applyNumberFormat="1" applyFont="1" applyFill="1" applyBorder="1"/>
    <xf numFmtId="4" fontId="1" fillId="8" borderId="8" xfId="0" applyNumberFormat="1" applyFont="1" applyFill="1" applyBorder="1"/>
    <xf numFmtId="165" fontId="1" fillId="7" borderId="6" xfId="0" applyNumberFormat="1" applyFont="1" applyFill="1" applyBorder="1" applyAlignment="1">
      <alignment wrapText="1"/>
    </xf>
    <xf numFmtId="165" fontId="1" fillId="0" borderId="1" xfId="0" applyNumberFormat="1" applyFont="1" applyFill="1" applyBorder="1"/>
    <xf numFmtId="17" fontId="14" fillId="0" borderId="0" xfId="0" applyNumberFormat="1" applyFont="1"/>
    <xf numFmtId="166" fontId="14" fillId="0" borderId="0" xfId="0" applyNumberFormat="1" applyFont="1"/>
    <xf numFmtId="0" fontId="14" fillId="0" borderId="0" xfId="0" applyFont="1"/>
    <xf numFmtId="0" fontId="2" fillId="9" borderId="0" xfId="0" applyFont="1" applyFill="1" applyAlignment="1">
      <alignment horizontal="center"/>
    </xf>
    <xf numFmtId="0" fontId="2" fillId="10" borderId="0" xfId="0" applyFont="1" applyFill="1" applyAlignment="1">
      <alignment horizontal="center"/>
    </xf>
    <xf numFmtId="166" fontId="14" fillId="9" borderId="0" xfId="0" applyNumberFormat="1" applyFont="1" applyFill="1"/>
    <xf numFmtId="166" fontId="14" fillId="10" borderId="0" xfId="0" applyNumberFormat="1" applyFont="1" applyFill="1"/>
    <xf numFmtId="4" fontId="14" fillId="0" borderId="0" xfId="0" applyNumberFormat="1" applyFont="1"/>
    <xf numFmtId="0" fontId="14" fillId="0" borderId="0" xfId="0" applyFont="1" applyAlignment="1">
      <alignment horizontal="center"/>
    </xf>
    <xf numFmtId="4" fontId="15" fillId="0" borderId="0" xfId="0" applyNumberFormat="1" applyFont="1"/>
    <xf numFmtId="0" fontId="16" fillId="0" borderId="0" xfId="0" applyFont="1"/>
    <xf numFmtId="0" fontId="17" fillId="9" borderId="0" xfId="0" applyFont="1" applyFill="1" applyAlignment="1">
      <alignment horizontal="center"/>
    </xf>
    <xf numFmtId="17" fontId="1" fillId="0" borderId="0" xfId="0" applyNumberFormat="1" applyFont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4" fontId="3" fillId="4" borderId="6" xfId="0" applyNumberFormat="1" applyFont="1" applyFill="1" applyBorder="1"/>
    <xf numFmtId="14" fontId="1" fillId="4" borderId="1" xfId="0" applyNumberFormat="1" applyFont="1" applyFill="1" applyBorder="1"/>
    <xf numFmtId="14" fontId="2" fillId="6" borderId="4" xfId="0" applyNumberFormat="1" applyFont="1" applyFill="1" applyBorder="1" applyAlignment="1">
      <alignment horizontal="right" vertical="center"/>
    </xf>
    <xf numFmtId="14" fontId="3" fillId="0" borderId="8" xfId="0" applyNumberFormat="1" applyFont="1" applyFill="1" applyBorder="1" applyAlignment="1">
      <alignment horizontal="center"/>
    </xf>
    <xf numFmtId="14" fontId="4" fillId="0" borderId="8" xfId="0" applyNumberFormat="1" applyFont="1" applyFill="1" applyBorder="1" applyAlignment="1">
      <alignment horizontal="center"/>
    </xf>
    <xf numFmtId="14" fontId="4" fillId="6" borderId="4" xfId="0" applyNumberFormat="1" applyFont="1" applyFill="1" applyBorder="1"/>
    <xf numFmtId="4" fontId="2" fillId="0" borderId="5" xfId="0" applyNumberFormat="1" applyFont="1" applyFill="1" applyBorder="1"/>
    <xf numFmtId="14" fontId="2" fillId="0" borderId="5" xfId="0" applyNumberFormat="1" applyFont="1" applyFill="1" applyBorder="1"/>
    <xf numFmtId="0" fontId="8" fillId="0" borderId="0" xfId="0" applyFont="1"/>
    <xf numFmtId="165" fontId="3" fillId="8" borderId="6" xfId="0" applyNumberFormat="1" applyFont="1" applyFill="1" applyBorder="1"/>
    <xf numFmtId="4" fontId="1" fillId="8" borderId="3" xfId="0" applyNumberFormat="1" applyFont="1" applyFill="1" applyBorder="1"/>
    <xf numFmtId="0" fontId="3" fillId="8" borderId="8" xfId="0" applyFont="1" applyFill="1" applyBorder="1"/>
    <xf numFmtId="14" fontId="3" fillId="8" borderId="8" xfId="0" applyNumberFormat="1" applyFont="1" applyFill="1" applyBorder="1"/>
    <xf numFmtId="4" fontId="3" fillId="8" borderId="8" xfId="0" applyNumberFormat="1" applyFont="1" applyFill="1" applyBorder="1"/>
    <xf numFmtId="165" fontId="1" fillId="8" borderId="5" xfId="0" applyNumberFormat="1" applyFont="1" applyFill="1" applyBorder="1"/>
    <xf numFmtId="0" fontId="2" fillId="8" borderId="4" xfId="0" applyFont="1" applyFill="1" applyBorder="1" applyAlignment="1">
      <alignment vertical="center" wrapText="1"/>
    </xf>
    <xf numFmtId="14" fontId="1" fillId="8" borderId="4" xfId="0" applyNumberFormat="1" applyFont="1" applyFill="1" applyBorder="1"/>
    <xf numFmtId="0" fontId="2" fillId="8" borderId="4" xfId="0" applyFont="1" applyFill="1" applyBorder="1" applyAlignment="1">
      <alignment horizontal="center"/>
    </xf>
    <xf numFmtId="165" fontId="1" fillId="0" borderId="0" xfId="0" applyNumberFormat="1" applyFont="1"/>
    <xf numFmtId="0" fontId="2" fillId="8" borderId="1" xfId="0" applyFont="1" applyFill="1" applyBorder="1" applyAlignment="1">
      <alignment horizontal="left" vertical="center"/>
    </xf>
    <xf numFmtId="0" fontId="2" fillId="8" borderId="6" xfId="0" applyFont="1" applyFill="1" applyBorder="1" applyAlignment="1">
      <alignment vertical="center" wrapText="1"/>
    </xf>
    <xf numFmtId="4" fontId="2" fillId="8" borderId="1" xfId="0" applyNumberFormat="1" applyFont="1" applyFill="1" applyBorder="1"/>
    <xf numFmtId="0" fontId="2" fillId="8" borderId="6" xfId="0" applyFont="1" applyFill="1" applyBorder="1" applyAlignment="1">
      <alignment horizontal="center"/>
    </xf>
    <xf numFmtId="0" fontId="2" fillId="8" borderId="6" xfId="0" applyFont="1" applyFill="1" applyBorder="1"/>
    <xf numFmtId="4" fontId="2" fillId="8" borderId="0" xfId="0" applyNumberFormat="1" applyFont="1" applyFill="1" applyBorder="1"/>
    <xf numFmtId="0" fontId="2" fillId="8" borderId="1" xfId="0" applyFont="1" applyFill="1" applyBorder="1"/>
    <xf numFmtId="4" fontId="2" fillId="8" borderId="6" xfId="0" applyNumberFormat="1" applyFont="1" applyFill="1" applyBorder="1"/>
    <xf numFmtId="0" fontId="1" fillId="8" borderId="6" xfId="0" applyNumberFormat="1" applyFont="1" applyFill="1" applyBorder="1"/>
    <xf numFmtId="0" fontId="2" fillId="8" borderId="3" xfId="0" applyFont="1" applyFill="1" applyBorder="1"/>
    <xf numFmtId="14" fontId="3" fillId="8" borderId="6" xfId="0" applyNumberFormat="1" applyFont="1" applyFill="1" applyBorder="1"/>
    <xf numFmtId="0" fontId="1" fillId="8" borderId="1" xfId="0" applyFont="1" applyFill="1" applyBorder="1"/>
    <xf numFmtId="14" fontId="2" fillId="8" borderId="6" xfId="0" applyNumberFormat="1" applyFont="1" applyFill="1" applyBorder="1"/>
    <xf numFmtId="0" fontId="2" fillId="8" borderId="6" xfId="0" applyNumberFormat="1" applyFont="1" applyFill="1" applyBorder="1" applyAlignment="1">
      <alignment horizontal="center"/>
    </xf>
    <xf numFmtId="165" fontId="2" fillId="8" borderId="6" xfId="0" applyNumberFormat="1" applyFont="1" applyFill="1" applyBorder="1"/>
    <xf numFmtId="165" fontId="2" fillId="8" borderId="3" xfId="0" applyNumberFormat="1" applyFont="1" applyFill="1" applyBorder="1"/>
    <xf numFmtId="0" fontId="2" fillId="0" borderId="6" xfId="0" applyNumberFormat="1" applyFont="1" applyFill="1" applyBorder="1"/>
    <xf numFmtId="14" fontId="2" fillId="8" borderId="6" xfId="0" applyNumberFormat="1" applyFont="1" applyFill="1" applyBorder="1" applyAlignment="1">
      <alignment horizontal="center" vertical="center"/>
    </xf>
    <xf numFmtId="14" fontId="2" fillId="8" borderId="1" xfId="0" applyNumberFormat="1" applyFont="1" applyFill="1" applyBorder="1"/>
    <xf numFmtId="0" fontId="2" fillId="8" borderId="3" xfId="0" applyNumberFormat="1" applyFont="1" applyFill="1" applyBorder="1"/>
    <xf numFmtId="0" fontId="3" fillId="8" borderId="6" xfId="0" applyFont="1" applyFill="1" applyBorder="1"/>
    <xf numFmtId="14" fontId="3" fillId="8" borderId="6" xfId="0" applyNumberFormat="1" applyFont="1" applyFill="1" applyBorder="1" applyAlignment="1">
      <alignment horizontal="center" vertical="center"/>
    </xf>
    <xf numFmtId="14" fontId="2" fillId="8" borderId="4" xfId="0" applyNumberFormat="1" applyFont="1" applyFill="1" applyBorder="1" applyAlignment="1">
      <alignment horizontal="center" vertical="center"/>
    </xf>
    <xf numFmtId="0" fontId="2" fillId="8" borderId="4" xfId="0" applyNumberFormat="1" applyFont="1" applyFill="1" applyBorder="1"/>
    <xf numFmtId="14" fontId="1" fillId="8" borderId="6" xfId="0" applyNumberFormat="1" applyFont="1" applyFill="1" applyBorder="1" applyAlignment="1">
      <alignment horizontal="center" vertical="center"/>
    </xf>
    <xf numFmtId="14" fontId="1" fillId="8" borderId="8" xfId="0" applyNumberFormat="1" applyFont="1" applyFill="1" applyBorder="1" applyAlignment="1">
      <alignment horizontal="center" vertical="center"/>
    </xf>
    <xf numFmtId="9" fontId="1" fillId="8" borderId="8" xfId="1" applyFont="1" applyFill="1" applyBorder="1"/>
    <xf numFmtId="0" fontId="1" fillId="8" borderId="8" xfId="0" applyNumberFormat="1" applyFont="1" applyFill="1" applyBorder="1"/>
    <xf numFmtId="0" fontId="2" fillId="8" borderId="6" xfId="0" applyNumberFormat="1" applyFont="1" applyFill="1" applyBorder="1"/>
    <xf numFmtId="10" fontId="1" fillId="7" borderId="6" xfId="1" applyNumberFormat="1" applyFont="1" applyFill="1" applyBorder="1"/>
    <xf numFmtId="0" fontId="1" fillId="0" borderId="0" xfId="0" applyFont="1" applyAlignment="1">
      <alignment horizontal="left"/>
    </xf>
    <xf numFmtId="0" fontId="2" fillId="8" borderId="6" xfId="0" applyFont="1" applyFill="1" applyBorder="1" applyAlignment="1">
      <alignment horizontal="left" vertical="center"/>
    </xf>
    <xf numFmtId="0" fontId="1" fillId="8" borderId="6" xfId="0" applyFont="1" applyFill="1" applyBorder="1" applyAlignment="1">
      <alignment horizontal="left" vertical="center"/>
    </xf>
    <xf numFmtId="10" fontId="1" fillId="8" borderId="6" xfId="1" applyNumberFormat="1" applyFont="1" applyFill="1" applyBorder="1"/>
    <xf numFmtId="14" fontId="4" fillId="0" borderId="6" xfId="0" applyNumberFormat="1" applyFont="1" applyFill="1" applyBorder="1"/>
    <xf numFmtId="164" fontId="1" fillId="8" borderId="8" xfId="0" applyNumberFormat="1" applyFont="1" applyFill="1" applyBorder="1"/>
    <xf numFmtId="4" fontId="3" fillId="8" borderId="6" xfId="0" applyNumberFormat="1" applyFont="1" applyFill="1" applyBorder="1"/>
    <xf numFmtId="0" fontId="2" fillId="8" borderId="4" xfId="0" applyFont="1" applyFill="1" applyBorder="1" applyAlignment="1">
      <alignment horizontal="left" vertical="center"/>
    </xf>
    <xf numFmtId="0" fontId="1" fillId="8" borderId="0" xfId="0" applyFont="1" applyFill="1"/>
    <xf numFmtId="0" fontId="1" fillId="8" borderId="8" xfId="0" applyFont="1" applyFill="1" applyBorder="1" applyAlignment="1">
      <alignment horizontal="left" vertical="center"/>
    </xf>
    <xf numFmtId="0" fontId="6" fillId="0" borderId="0" xfId="0" applyFont="1"/>
    <xf numFmtId="2" fontId="7" fillId="0" borderId="0" xfId="0" applyNumberFormat="1" applyFont="1"/>
    <xf numFmtId="165" fontId="1" fillId="0" borderId="5" xfId="0" applyNumberFormat="1" applyFont="1" applyFill="1" applyBorder="1"/>
    <xf numFmtId="4" fontId="2" fillId="6" borderId="4" xfId="1" applyNumberFormat="1" applyFont="1" applyFill="1" applyBorder="1"/>
    <xf numFmtId="0" fontId="1" fillId="0" borderId="3" xfId="0" applyFont="1" applyFill="1" applyBorder="1" applyAlignment="1">
      <alignment horizontal="left" vertical="center"/>
    </xf>
    <xf numFmtId="14" fontId="1" fillId="0" borderId="4" xfId="0" applyNumberFormat="1" applyFont="1" applyFill="1" applyBorder="1" applyAlignment="1">
      <alignment horizontal="center" vertical="center"/>
    </xf>
    <xf numFmtId="9" fontId="1" fillId="0" borderId="4" xfId="1" applyFont="1" applyFill="1" applyBorder="1"/>
    <xf numFmtId="0" fontId="1" fillId="0" borderId="4" xfId="0" applyNumberFormat="1" applyFont="1" applyFill="1" applyBorder="1"/>
    <xf numFmtId="4" fontId="1" fillId="0" borderId="6" xfId="1" applyNumberFormat="1" applyFont="1" applyFill="1" applyBorder="1"/>
    <xf numFmtId="4" fontId="1" fillId="0" borderId="0" xfId="0" applyNumberFormat="1" applyFont="1" applyFill="1" applyAlignment="1">
      <alignment horizontal="center" vertical="top"/>
    </xf>
    <xf numFmtId="4" fontId="2" fillId="6" borderId="14" xfId="0" applyNumberFormat="1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1" fillId="0" borderId="6" xfId="0" applyFont="1" applyFill="1" applyBorder="1" applyAlignment="1">
      <alignment horizontal="center" vertical="center"/>
    </xf>
    <xf numFmtId="14" fontId="4" fillId="0" borderId="8" xfId="0" applyNumberFormat="1" applyFont="1" applyFill="1" applyBorder="1"/>
    <xf numFmtId="165" fontId="18" fillId="8" borderId="6" xfId="0" applyNumberFormat="1" applyFont="1" applyFill="1" applyBorder="1"/>
    <xf numFmtId="0" fontId="1" fillId="0" borderId="0" xfId="0" applyFont="1" applyFill="1" applyBorder="1"/>
    <xf numFmtId="14" fontId="2" fillId="6" borderId="4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4" fontId="2" fillId="0" borderId="0" xfId="0" applyNumberFormat="1" applyFont="1"/>
    <xf numFmtId="0" fontId="19" fillId="0" borderId="0" xfId="0" applyFont="1"/>
    <xf numFmtId="4" fontId="19" fillId="0" borderId="0" xfId="0" applyNumberFormat="1" applyFont="1"/>
    <xf numFmtId="0" fontId="9" fillId="0" borderId="0" xfId="0" applyFont="1"/>
    <xf numFmtId="0" fontId="11" fillId="0" borderId="0" xfId="0" applyFont="1"/>
    <xf numFmtId="0" fontId="7" fillId="0" borderId="0" xfId="0" applyFont="1" applyAlignment="1">
      <alignment horizontal="center"/>
    </xf>
    <xf numFmtId="3" fontId="1" fillId="0" borderId="0" xfId="0" applyNumberFormat="1" applyFont="1"/>
    <xf numFmtId="3" fontId="2" fillId="0" borderId="0" xfId="0" applyNumberFormat="1" applyFont="1"/>
    <xf numFmtId="3" fontId="7" fillId="0" borderId="0" xfId="0" applyNumberFormat="1" applyFont="1"/>
    <xf numFmtId="166" fontId="16" fillId="11" borderId="0" xfId="0" applyNumberFormat="1" applyFont="1" applyFill="1"/>
    <xf numFmtId="0" fontId="20" fillId="9" borderId="0" xfId="0" applyFont="1" applyFill="1" applyAlignment="1">
      <alignment horizontal="center"/>
    </xf>
    <xf numFmtId="4" fontId="17" fillId="9" borderId="0" xfId="0" applyNumberFormat="1" applyFont="1" applyFill="1" applyAlignment="1">
      <alignment horizontal="center"/>
    </xf>
    <xf numFmtId="166" fontId="17" fillId="9" borderId="0" xfId="0" applyNumberFormat="1" applyFont="1" applyFill="1" applyAlignment="1">
      <alignment horizontal="center"/>
    </xf>
    <xf numFmtId="4" fontId="1" fillId="0" borderId="14" xfId="0" applyNumberFormat="1" applyFont="1" applyBorder="1"/>
    <xf numFmtId="0" fontId="4" fillId="8" borderId="3" xfId="0" applyFont="1" applyFill="1" applyBorder="1" applyAlignment="1">
      <alignment horizontal="left" vertical="center"/>
    </xf>
    <xf numFmtId="0" fontId="3" fillId="8" borderId="4" xfId="0" applyFont="1" applyFill="1" applyBorder="1"/>
    <xf numFmtId="14" fontId="3" fillId="8" borderId="4" xfId="0" applyNumberFormat="1" applyFont="1" applyFill="1" applyBorder="1"/>
    <xf numFmtId="4" fontId="3" fillId="8" borderId="4" xfId="0" applyNumberFormat="1" applyFont="1" applyFill="1" applyBorder="1"/>
    <xf numFmtId="4" fontId="3" fillId="8" borderId="3" xfId="0" applyNumberFormat="1" applyFont="1" applyFill="1" applyBorder="1"/>
    <xf numFmtId="0" fontId="3" fillId="8" borderId="4" xfId="0" applyNumberFormat="1" applyFont="1" applyFill="1" applyBorder="1" applyAlignment="1">
      <alignment horizontal="center"/>
    </xf>
    <xf numFmtId="4" fontId="3" fillId="8" borderId="14" xfId="0" applyNumberFormat="1" applyFont="1" applyFill="1" applyBorder="1"/>
    <xf numFmtId="0" fontId="3" fillId="8" borderId="3" xfId="0" applyFont="1" applyFill="1" applyBorder="1"/>
    <xf numFmtId="165" fontId="3" fillId="8" borderId="4" xfId="0" applyNumberFormat="1" applyFont="1" applyFill="1" applyBorder="1"/>
    <xf numFmtId="0" fontId="3" fillId="8" borderId="1" xfId="0" applyFont="1" applyFill="1" applyBorder="1" applyAlignment="1">
      <alignment horizontal="left" vertical="center"/>
    </xf>
    <xf numFmtId="4" fontId="3" fillId="8" borderId="1" xfId="0" applyNumberFormat="1" applyFont="1" applyFill="1" applyBorder="1"/>
    <xf numFmtId="0" fontId="3" fillId="8" borderId="6" xfId="0" applyNumberFormat="1" applyFont="1" applyFill="1" applyBorder="1" applyAlignment="1">
      <alignment horizontal="center"/>
    </xf>
    <xf numFmtId="4" fontId="3" fillId="8" borderId="0" xfId="0" applyNumberFormat="1" applyFont="1" applyFill="1" applyBorder="1"/>
    <xf numFmtId="14" fontId="3" fillId="8" borderId="1" xfId="0" applyNumberFormat="1" applyFont="1" applyFill="1" applyBorder="1"/>
    <xf numFmtId="0" fontId="2" fillId="8" borderId="2" xfId="0" applyFont="1" applyFill="1" applyBorder="1" applyAlignment="1"/>
    <xf numFmtId="4" fontId="2" fillId="8" borderId="2" xfId="0" applyNumberFormat="1" applyFont="1" applyFill="1" applyBorder="1"/>
    <xf numFmtId="0" fontId="2" fillId="8" borderId="2" xfId="0" applyFont="1" applyFill="1" applyBorder="1" applyAlignment="1">
      <alignment horizontal="center"/>
    </xf>
    <xf numFmtId="0" fontId="2" fillId="8" borderId="2" xfId="0" applyFont="1" applyFill="1" applyBorder="1"/>
    <xf numFmtId="14" fontId="1" fillId="0" borderId="0" xfId="0" applyNumberFormat="1" applyFont="1" applyFill="1" applyBorder="1"/>
    <xf numFmtId="167" fontId="1" fillId="0" borderId="0" xfId="0" applyNumberFormat="1" applyFont="1" applyFill="1" applyBorder="1"/>
    <xf numFmtId="0" fontId="5" fillId="0" borderId="3" xfId="0" applyFont="1" applyBorder="1" applyAlignment="1">
      <alignment horizontal="center" vertical="center" wrapText="1"/>
    </xf>
    <xf numFmtId="0" fontId="6" fillId="0" borderId="3" xfId="0" applyFont="1" applyBorder="1"/>
    <xf numFmtId="167" fontId="1" fillId="0" borderId="0" xfId="0" applyNumberFormat="1" applyFont="1"/>
    <xf numFmtId="0" fontId="0" fillId="0" borderId="0" xfId="0" applyBorder="1"/>
    <xf numFmtId="167" fontId="1" fillId="0" borderId="0" xfId="0" applyNumberFormat="1" applyFont="1" applyFill="1" applyBorder="1" applyAlignment="1">
      <alignment wrapText="1"/>
    </xf>
    <xf numFmtId="0" fontId="5" fillId="0" borderId="0" xfId="0" applyFont="1"/>
    <xf numFmtId="14" fontId="2" fillId="0" borderId="0" xfId="0" applyNumberFormat="1" applyFont="1" applyFill="1" applyBorder="1" applyAlignment="1">
      <alignment wrapText="1"/>
    </xf>
    <xf numFmtId="0" fontId="21" fillId="0" borderId="0" xfId="0" applyFont="1"/>
    <xf numFmtId="4" fontId="21" fillId="0" borderId="0" xfId="0" applyNumberFormat="1" applyFont="1"/>
    <xf numFmtId="4" fontId="22" fillId="0" borderId="0" xfId="0" applyNumberFormat="1" applyFont="1"/>
    <xf numFmtId="14" fontId="2" fillId="6" borderId="3" xfId="0" applyNumberFormat="1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left" vertical="top"/>
    </xf>
    <xf numFmtId="0" fontId="1" fillId="0" borderId="0" xfId="0" applyFont="1" applyFill="1" applyBorder="1" applyAlignment="1">
      <alignment horizontal="center" vertical="top"/>
    </xf>
    <xf numFmtId="0" fontId="1" fillId="4" borderId="8" xfId="0" applyNumberFormat="1" applyFont="1" applyFill="1" applyBorder="1" applyAlignment="1">
      <alignment horizontal="center"/>
    </xf>
    <xf numFmtId="14" fontId="2" fillId="0" borderId="4" xfId="0" applyNumberFormat="1" applyFont="1" applyFill="1" applyBorder="1"/>
    <xf numFmtId="4" fontId="2" fillId="0" borderId="4" xfId="1" applyNumberFormat="1" applyFont="1" applyFill="1" applyBorder="1"/>
    <xf numFmtId="0" fontId="3" fillId="0" borderId="0" xfId="0" applyFont="1" applyFill="1" applyAlignment="1">
      <alignment horizontal="center" vertical="center"/>
    </xf>
    <xf numFmtId="14" fontId="2" fillId="8" borderId="4" xfId="0" applyNumberFormat="1" applyFont="1" applyFill="1" applyBorder="1" applyAlignment="1">
      <alignment horizontal="right"/>
    </xf>
    <xf numFmtId="165" fontId="1" fillId="8" borderId="1" xfId="0" applyNumberFormat="1" applyFont="1" applyFill="1" applyBorder="1"/>
    <xf numFmtId="14" fontId="2" fillId="8" borderId="3" xfId="0" applyNumberFormat="1" applyFont="1" applyFill="1" applyBorder="1" applyAlignment="1">
      <alignment horizontal="right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0" borderId="14" xfId="0" applyFont="1" applyBorder="1" applyAlignment="1"/>
    <xf numFmtId="4" fontId="2" fillId="0" borderId="14" xfId="0" applyNumberFormat="1" applyFont="1" applyFill="1" applyBorder="1"/>
    <xf numFmtId="0" fontId="2" fillId="0" borderId="14" xfId="0" applyFont="1" applyBorder="1"/>
    <xf numFmtId="0" fontId="2" fillId="0" borderId="3" xfId="0" applyFont="1" applyBorder="1" applyAlignment="1"/>
    <xf numFmtId="4" fontId="2" fillId="0" borderId="3" xfId="0" applyNumberFormat="1" applyFont="1" applyFill="1" applyBorder="1"/>
    <xf numFmtId="0" fontId="2" fillId="0" borderId="3" xfId="0" applyFont="1" applyBorder="1"/>
    <xf numFmtId="0" fontId="1" fillId="0" borderId="0" xfId="0" applyFont="1" applyBorder="1" applyAlignment="1">
      <alignment horizontal="center"/>
    </xf>
    <xf numFmtId="0" fontId="2" fillId="0" borderId="0" xfId="0" applyFont="1" applyBorder="1" applyAlignment="1"/>
    <xf numFmtId="0" fontId="2" fillId="0" borderId="0" xfId="0" applyFont="1" applyBorder="1"/>
    <xf numFmtId="0" fontId="2" fillId="0" borderId="1" xfId="0" applyFont="1" applyBorder="1" applyAlignment="1"/>
    <xf numFmtId="0" fontId="2" fillId="0" borderId="5" xfId="0" applyFont="1" applyBorder="1" applyAlignment="1"/>
    <xf numFmtId="0" fontId="2" fillId="0" borderId="12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7" xfId="0" applyFont="1" applyBorder="1"/>
    <xf numFmtId="4" fontId="2" fillId="0" borderId="7" xfId="0" applyNumberFormat="1" applyFont="1" applyFill="1" applyBorder="1"/>
    <xf numFmtId="0" fontId="2" fillId="0" borderId="1" xfId="0" applyFont="1" applyBorder="1"/>
    <xf numFmtId="0" fontId="2" fillId="0" borderId="5" xfId="0" applyFont="1" applyBorder="1"/>
    <xf numFmtId="0" fontId="2" fillId="0" borderId="7" xfId="0" applyFont="1" applyBorder="1" applyAlignment="1"/>
    <xf numFmtId="0" fontId="2" fillId="8" borderId="5" xfId="0" applyFont="1" applyFill="1" applyBorder="1" applyAlignment="1"/>
    <xf numFmtId="0" fontId="2" fillId="8" borderId="7" xfId="0" applyFont="1" applyFill="1" applyBorder="1" applyAlignment="1"/>
    <xf numFmtId="4" fontId="2" fillId="8" borderId="8" xfId="0" applyNumberFormat="1" applyFont="1" applyFill="1" applyBorder="1"/>
    <xf numFmtId="4" fontId="2" fillId="8" borderId="5" xfId="0" applyNumberFormat="1" applyFont="1" applyFill="1" applyBorder="1"/>
    <xf numFmtId="0" fontId="2" fillId="8" borderId="5" xfId="0" applyFont="1" applyFill="1" applyBorder="1" applyAlignment="1">
      <alignment horizontal="center"/>
    </xf>
    <xf numFmtId="0" fontId="2" fillId="8" borderId="5" xfId="0" applyFont="1" applyFill="1" applyBorder="1"/>
    <xf numFmtId="14" fontId="2" fillId="0" borderId="3" xfId="0" applyNumberFormat="1" applyFont="1" applyBorder="1" applyAlignment="1"/>
    <xf numFmtId="0" fontId="2" fillId="8" borderId="8" xfId="0" applyFont="1" applyFill="1" applyBorder="1" applyAlignment="1"/>
    <xf numFmtId="14" fontId="4" fillId="0" borderId="3" xfId="0" applyNumberFormat="1" applyFont="1" applyBorder="1" applyAlignment="1">
      <alignment horizontal="center"/>
    </xf>
    <xf numFmtId="0" fontId="4" fillId="0" borderId="1" xfId="0" applyFont="1" applyBorder="1" applyAlignment="1"/>
    <xf numFmtId="14" fontId="1" fillId="0" borderId="0" xfId="0" applyNumberFormat="1" applyFont="1" applyFill="1" applyBorder="1" applyAlignment="1">
      <alignment horizontal="center" vertical="center"/>
    </xf>
    <xf numFmtId="10" fontId="0" fillId="0" borderId="0" xfId="1" applyNumberFormat="1" applyFont="1"/>
    <xf numFmtId="14" fontId="4" fillId="6" borderId="3" xfId="0" applyNumberFormat="1" applyFont="1" applyFill="1" applyBorder="1"/>
    <xf numFmtId="9" fontId="1" fillId="8" borderId="6" xfId="1" applyNumberFormat="1" applyFont="1" applyFill="1" applyBorder="1"/>
    <xf numFmtId="0" fontId="4" fillId="0" borderId="5" xfId="0" applyFont="1" applyBorder="1" applyAlignment="1"/>
    <xf numFmtId="14" fontId="3" fillId="0" borderId="0" xfId="0" applyNumberFormat="1" applyFont="1" applyFill="1" applyBorder="1"/>
    <xf numFmtId="0" fontId="1" fillId="0" borderId="0" xfId="0" applyNumberFormat="1" applyFont="1" applyFill="1" applyBorder="1"/>
    <xf numFmtId="14" fontId="1" fillId="6" borderId="14" xfId="0" applyNumberFormat="1" applyFont="1" applyFill="1" applyBorder="1"/>
    <xf numFmtId="9" fontId="1" fillId="0" borderId="5" xfId="1" applyFont="1" applyFill="1" applyBorder="1"/>
    <xf numFmtId="0" fontId="1" fillId="0" borderId="5" xfId="0" applyNumberFormat="1" applyFont="1" applyFill="1" applyBorder="1" applyAlignment="1">
      <alignment horizontal="center"/>
    </xf>
    <xf numFmtId="0" fontId="1" fillId="6" borderId="14" xfId="0" applyNumberFormat="1" applyFont="1" applyFill="1" applyBorder="1"/>
    <xf numFmtId="14" fontId="1" fillId="0" borderId="5" xfId="0" applyNumberFormat="1" applyFont="1" applyFill="1" applyBorder="1" applyAlignment="1">
      <alignment horizontal="center" vertical="center"/>
    </xf>
    <xf numFmtId="14" fontId="2" fillId="6" borderId="14" xfId="0" applyNumberFormat="1" applyFont="1" applyFill="1" applyBorder="1"/>
    <xf numFmtId="4" fontId="1" fillId="0" borderId="1" xfId="1" applyNumberFormat="1" applyFont="1" applyFill="1" applyBorder="1"/>
    <xf numFmtId="14" fontId="23" fillId="6" borderId="4" xfId="0" applyNumberFormat="1" applyFont="1" applyFill="1" applyBorder="1" applyAlignment="1">
      <alignment horizontal="center" vertical="center"/>
    </xf>
    <xf numFmtId="14" fontId="3" fillId="0" borderId="7" xfId="0" applyNumberFormat="1" applyFont="1" applyFill="1" applyBorder="1"/>
    <xf numFmtId="14" fontId="1" fillId="0" borderId="7" xfId="0" applyNumberFormat="1" applyFont="1" applyFill="1" applyBorder="1" applyAlignment="1">
      <alignment horizontal="center" vertical="center"/>
    </xf>
    <xf numFmtId="14" fontId="1" fillId="6" borderId="12" xfId="0" applyNumberFormat="1" applyFont="1" applyFill="1" applyBorder="1" applyAlignment="1">
      <alignment horizontal="center" vertical="center"/>
    </xf>
    <xf numFmtId="0" fontId="1" fillId="0" borderId="8" xfId="0" applyNumberFormat="1" applyFont="1" applyFill="1" applyBorder="1" applyAlignment="1">
      <alignment horizontal="center" vertical="center"/>
    </xf>
    <xf numFmtId="0" fontId="1" fillId="0" borderId="7" xfId="0" applyNumberFormat="1" applyFont="1" applyFill="1" applyBorder="1" applyAlignment="1">
      <alignment horizontal="center" vertical="center"/>
    </xf>
    <xf numFmtId="14" fontId="4" fillId="0" borderId="1" xfId="0" applyNumberFormat="1" applyFont="1" applyFill="1" applyBorder="1"/>
    <xf numFmtId="14" fontId="2" fillId="0" borderId="1" xfId="0" applyNumberFormat="1" applyFont="1" applyFill="1" applyBorder="1" applyAlignment="1">
      <alignment horizontal="center" vertical="center"/>
    </xf>
    <xf numFmtId="0" fontId="1" fillId="8" borderId="4" xfId="0" applyFont="1" applyFill="1" applyBorder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4" fontId="1" fillId="0" borderId="1" xfId="0" applyNumberFormat="1" applyFont="1" applyFill="1" applyBorder="1" applyAlignment="1">
      <alignment vertical="center"/>
    </xf>
    <xf numFmtId="4" fontId="7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vertical="center"/>
    </xf>
    <xf numFmtId="0" fontId="1" fillId="0" borderId="6" xfId="0" applyFont="1" applyFill="1" applyBorder="1" applyAlignment="1">
      <alignment vertical="center"/>
    </xf>
    <xf numFmtId="14" fontId="1" fillId="0" borderId="6" xfId="0" applyNumberFormat="1" applyFont="1" applyFill="1" applyBorder="1" applyAlignment="1">
      <alignment vertical="center"/>
    </xf>
    <xf numFmtId="9" fontId="1" fillId="0" borderId="6" xfId="1" applyFont="1" applyFill="1" applyBorder="1" applyAlignment="1">
      <alignment vertical="center"/>
    </xf>
    <xf numFmtId="4" fontId="1" fillId="0" borderId="1" xfId="0" applyNumberFormat="1" applyFont="1" applyFill="1" applyBorder="1" applyAlignment="1">
      <alignment vertical="center"/>
    </xf>
    <xf numFmtId="4" fontId="1" fillId="0" borderId="0" xfId="0" applyNumberFormat="1" applyFont="1" applyFill="1" applyBorder="1" applyAlignment="1">
      <alignment vertical="center"/>
    </xf>
    <xf numFmtId="0" fontId="1" fillId="0" borderId="6" xfId="0" applyNumberFormat="1" applyFont="1" applyFill="1" applyBorder="1" applyAlignment="1">
      <alignment vertical="center"/>
    </xf>
    <xf numFmtId="165" fontId="1" fillId="0" borderId="6" xfId="0" applyNumberFormat="1" applyFont="1" applyFill="1" applyBorder="1" applyAlignment="1">
      <alignment vertical="center"/>
    </xf>
    <xf numFmtId="0" fontId="3" fillId="0" borderId="6" xfId="0" applyFont="1" applyFill="1" applyBorder="1" applyAlignment="1">
      <alignment vertical="center"/>
    </xf>
    <xf numFmtId="14" fontId="3" fillId="0" borderId="6" xfId="0" applyNumberFormat="1" applyFont="1" applyFill="1" applyBorder="1" applyAlignment="1">
      <alignment vertical="center"/>
    </xf>
    <xf numFmtId="0" fontId="1" fillId="0" borderId="8" xfId="0" applyFont="1" applyFill="1" applyBorder="1" applyAlignment="1">
      <alignment vertical="center"/>
    </xf>
    <xf numFmtId="14" fontId="3" fillId="0" borderId="8" xfId="0" applyNumberFormat="1" applyFont="1" applyFill="1" applyBorder="1" applyAlignment="1">
      <alignment vertical="center"/>
    </xf>
    <xf numFmtId="14" fontId="1" fillId="0" borderId="8" xfId="0" applyNumberFormat="1" applyFont="1" applyFill="1" applyBorder="1" applyAlignment="1">
      <alignment vertical="center"/>
    </xf>
    <xf numFmtId="9" fontId="1" fillId="0" borderId="8" xfId="1" applyFont="1" applyFill="1" applyBorder="1" applyAlignment="1">
      <alignment vertical="center"/>
    </xf>
    <xf numFmtId="4" fontId="1" fillId="0" borderId="5" xfId="0" applyNumberFormat="1" applyFont="1" applyFill="1" applyBorder="1" applyAlignment="1">
      <alignment vertical="center"/>
    </xf>
    <xf numFmtId="4" fontId="1" fillId="0" borderId="7" xfId="0" applyNumberFormat="1" applyFont="1" applyFill="1" applyBorder="1" applyAlignment="1">
      <alignment vertical="center"/>
    </xf>
    <xf numFmtId="14" fontId="1" fillId="0" borderId="5" xfId="0" applyNumberFormat="1" applyFont="1" applyFill="1" applyBorder="1" applyAlignment="1">
      <alignment vertical="center"/>
    </xf>
    <xf numFmtId="0" fontId="1" fillId="0" borderId="8" xfId="0" applyNumberFormat="1" applyFont="1" applyFill="1" applyBorder="1" applyAlignment="1">
      <alignment vertical="center"/>
    </xf>
    <xf numFmtId="165" fontId="1" fillId="0" borderId="8" xfId="0" applyNumberFormat="1" applyFont="1" applyFill="1" applyBorder="1" applyAlignment="1">
      <alignment vertical="center"/>
    </xf>
    <xf numFmtId="4" fontId="4" fillId="0" borderId="0" xfId="0" applyNumberFormat="1" applyFont="1"/>
    <xf numFmtId="0" fontId="2" fillId="6" borderId="4" xfId="0" applyFont="1" applyFill="1" applyBorder="1" applyAlignment="1">
      <alignment vertical="center"/>
    </xf>
    <xf numFmtId="14" fontId="2" fillId="6" borderId="4" xfId="0" applyNumberFormat="1" applyFont="1" applyFill="1" applyBorder="1" applyAlignment="1">
      <alignment vertical="center"/>
    </xf>
    <xf numFmtId="4" fontId="2" fillId="6" borderId="4" xfId="0" applyNumberFormat="1" applyFont="1" applyFill="1" applyBorder="1" applyAlignment="1">
      <alignment vertical="center"/>
    </xf>
    <xf numFmtId="4" fontId="2" fillId="6" borderId="3" xfId="0" applyNumberFormat="1" applyFont="1" applyFill="1" applyBorder="1" applyAlignment="1">
      <alignment vertical="center"/>
    </xf>
    <xf numFmtId="0" fontId="2" fillId="6" borderId="4" xfId="0" applyNumberFormat="1" applyFont="1" applyFill="1" applyBorder="1" applyAlignment="1">
      <alignment horizontal="center" vertical="center"/>
    </xf>
    <xf numFmtId="4" fontId="2" fillId="6" borderId="14" xfId="0" applyNumberFormat="1" applyFont="1" applyFill="1" applyBorder="1" applyAlignment="1">
      <alignment vertical="center"/>
    </xf>
    <xf numFmtId="14" fontId="2" fillId="6" borderId="3" xfId="0" applyNumberFormat="1" applyFont="1" applyFill="1" applyBorder="1" applyAlignment="1">
      <alignment vertical="center"/>
    </xf>
    <xf numFmtId="0" fontId="2" fillId="6" borderId="4" xfId="0" applyNumberFormat="1" applyFont="1" applyFill="1" applyBorder="1" applyAlignment="1">
      <alignment vertical="center"/>
    </xf>
    <xf numFmtId="165" fontId="2" fillId="6" borderId="4" xfId="0" applyNumberFormat="1" applyFont="1" applyFill="1" applyBorder="1" applyAlignment="1">
      <alignment vertical="center"/>
    </xf>
    <xf numFmtId="14" fontId="1" fillId="6" borderId="4" xfId="0" applyNumberFormat="1" applyFont="1" applyFill="1" applyBorder="1" applyAlignment="1">
      <alignment vertical="center"/>
    </xf>
    <xf numFmtId="4" fontId="1" fillId="6" borderId="3" xfId="0" applyNumberFormat="1" applyFont="1" applyFill="1" applyBorder="1" applyAlignment="1">
      <alignment vertical="center"/>
    </xf>
    <xf numFmtId="0" fontId="1" fillId="6" borderId="4" xfId="0" applyNumberFormat="1" applyFont="1" applyFill="1" applyBorder="1" applyAlignment="1">
      <alignment horizontal="center" vertical="center"/>
    </xf>
    <xf numFmtId="14" fontId="1" fillId="6" borderId="3" xfId="0" applyNumberFormat="1" applyFont="1" applyFill="1" applyBorder="1" applyAlignment="1">
      <alignment vertical="center"/>
    </xf>
    <xf numFmtId="0" fontId="1" fillId="6" borderId="4" xfId="0" applyNumberFormat="1" applyFont="1" applyFill="1" applyBorder="1" applyAlignment="1">
      <alignment vertical="center"/>
    </xf>
    <xf numFmtId="165" fontId="1" fillId="6" borderId="4" xfId="0" applyNumberFormat="1" applyFont="1" applyFill="1" applyBorder="1" applyAlignment="1">
      <alignment vertical="center"/>
    </xf>
    <xf numFmtId="0" fontId="2" fillId="6" borderId="4" xfId="0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vertical="center"/>
    </xf>
    <xf numFmtId="14" fontId="1" fillId="0" borderId="1" xfId="0" applyNumberFormat="1" applyFont="1" applyFill="1" applyBorder="1" applyAlignment="1">
      <alignment vertical="center"/>
    </xf>
    <xf numFmtId="0" fontId="0" fillId="8" borderId="5" xfId="0" applyFill="1" applyBorder="1" applyAlignment="1">
      <alignment vertical="center"/>
    </xf>
    <xf numFmtId="14" fontId="4" fillId="8" borderId="4" xfId="0" applyNumberFormat="1" applyFont="1" applyFill="1" applyBorder="1"/>
    <xf numFmtId="0" fontId="0" fillId="8" borderId="1" xfId="0" applyFill="1" applyBorder="1" applyAlignment="1">
      <alignment vertical="center"/>
    </xf>
    <xf numFmtId="0" fontId="2" fillId="12" borderId="1" xfId="0" applyFont="1" applyFill="1" applyBorder="1" applyAlignment="1">
      <alignment horizontal="left" vertical="center"/>
    </xf>
    <xf numFmtId="0" fontId="1" fillId="12" borderId="6" xfId="0" applyFont="1" applyFill="1" applyBorder="1" applyAlignment="1">
      <alignment horizontal="center" vertical="center"/>
    </xf>
    <xf numFmtId="14" fontId="3" fillId="12" borderId="6" xfId="0" applyNumberFormat="1" applyFont="1" applyFill="1" applyBorder="1"/>
    <xf numFmtId="4" fontId="1" fillId="12" borderId="6" xfId="1" applyNumberFormat="1" applyFont="1" applyFill="1" applyBorder="1"/>
    <xf numFmtId="4" fontId="1" fillId="12" borderId="6" xfId="0" applyNumberFormat="1" applyFont="1" applyFill="1" applyBorder="1"/>
    <xf numFmtId="0" fontId="1" fillId="12" borderId="6" xfId="0" applyNumberFormat="1" applyFont="1" applyFill="1" applyBorder="1" applyAlignment="1">
      <alignment horizontal="center"/>
    </xf>
    <xf numFmtId="4" fontId="1" fillId="12" borderId="0" xfId="0" applyNumberFormat="1" applyFont="1" applyFill="1" applyBorder="1"/>
    <xf numFmtId="14" fontId="1" fillId="12" borderId="1" xfId="0" applyNumberFormat="1" applyFont="1" applyFill="1" applyBorder="1"/>
    <xf numFmtId="14" fontId="2" fillId="6" borderId="12" xfId="0" applyNumberFormat="1" applyFont="1" applyFill="1" applyBorder="1" applyAlignment="1">
      <alignment horizontal="center" vertical="center"/>
    </xf>
    <xf numFmtId="14" fontId="2" fillId="6" borderId="14" xfId="0" applyNumberFormat="1" applyFont="1" applyFill="1" applyBorder="1" applyAlignment="1">
      <alignment horizontal="right"/>
    </xf>
    <xf numFmtId="14" fontId="2" fillId="0" borderId="0" xfId="0" applyNumberFormat="1" applyFont="1" applyFill="1" applyBorder="1" applyAlignment="1">
      <alignment horizontal="right"/>
    </xf>
    <xf numFmtId="14" fontId="2" fillId="0" borderId="0" xfId="0" applyNumberFormat="1" applyFont="1" applyFill="1" applyBorder="1"/>
    <xf numFmtId="14" fontId="2" fillId="0" borderId="0" xfId="0" applyNumberFormat="1" applyFont="1" applyFill="1" applyBorder="1" applyAlignment="1">
      <alignment horizontal="center" vertical="center"/>
    </xf>
    <xf numFmtId="14" fontId="1" fillId="0" borderId="7" xfId="0" applyNumberFormat="1" applyFont="1" applyFill="1" applyBorder="1"/>
    <xf numFmtId="9" fontId="1" fillId="0" borderId="1" xfId="1" applyFont="1" applyFill="1" applyBorder="1"/>
    <xf numFmtId="0" fontId="1" fillId="0" borderId="1" xfId="0" applyNumberFormat="1" applyFont="1" applyFill="1" applyBorder="1" applyAlignment="1">
      <alignment horizontal="center"/>
    </xf>
    <xf numFmtId="14" fontId="24" fillId="0" borderId="6" xfId="0" applyNumberFormat="1" applyFont="1" applyFill="1" applyBorder="1" applyAlignment="1">
      <alignment horizontal="center"/>
    </xf>
    <xf numFmtId="14" fontId="4" fillId="4" borderId="6" xfId="0" applyNumberFormat="1" applyFont="1" applyFill="1" applyBorder="1"/>
    <xf numFmtId="4" fontId="2" fillId="0" borderId="2" xfId="0" applyNumberFormat="1" applyFont="1" applyFill="1" applyBorder="1" applyAlignment="1">
      <alignment horizontal="center"/>
    </xf>
    <xf numFmtId="0" fontId="2" fillId="7" borderId="3" xfId="0" applyFont="1" applyFill="1" applyBorder="1" applyAlignment="1"/>
    <xf numFmtId="0" fontId="2" fillId="7" borderId="14" xfId="0" applyFont="1" applyFill="1" applyBorder="1" applyAlignment="1"/>
    <xf numFmtId="14" fontId="2" fillId="7" borderId="3" xfId="0" applyNumberFormat="1" applyFont="1" applyFill="1" applyBorder="1" applyAlignment="1"/>
    <xf numFmtId="0" fontId="2" fillId="7" borderId="12" xfId="0" applyFont="1" applyFill="1" applyBorder="1" applyAlignment="1">
      <alignment horizontal="center"/>
    </xf>
    <xf numFmtId="14" fontId="2" fillId="7" borderId="3" xfId="0" applyNumberFormat="1" applyFont="1" applyFill="1" applyBorder="1"/>
    <xf numFmtId="0" fontId="2" fillId="7" borderId="14" xfId="0" applyFont="1" applyFill="1" applyBorder="1"/>
    <xf numFmtId="0" fontId="2" fillId="7" borderId="1" xfId="0" applyFont="1" applyFill="1" applyBorder="1" applyAlignment="1"/>
    <xf numFmtId="0" fontId="2" fillId="7" borderId="0" xfId="0" applyFont="1" applyFill="1" applyBorder="1" applyAlignment="1"/>
    <xf numFmtId="0" fontId="2" fillId="7" borderId="15" xfId="0" applyFont="1" applyFill="1" applyBorder="1" applyAlignment="1">
      <alignment horizontal="center"/>
    </xf>
    <xf numFmtId="0" fontId="2" fillId="7" borderId="0" xfId="0" applyFont="1" applyFill="1" applyBorder="1"/>
    <xf numFmtId="0" fontId="2" fillId="7" borderId="5" xfId="0" applyFont="1" applyFill="1" applyBorder="1" applyAlignment="1"/>
    <xf numFmtId="0" fontId="2" fillId="7" borderId="7" xfId="0" applyFont="1" applyFill="1" applyBorder="1" applyAlignment="1"/>
    <xf numFmtId="4" fontId="2" fillId="7" borderId="5" xfId="0" applyNumberFormat="1" applyFont="1" applyFill="1" applyBorder="1"/>
    <xf numFmtId="0" fontId="2" fillId="7" borderId="13" xfId="0" applyFont="1" applyFill="1" applyBorder="1" applyAlignment="1">
      <alignment horizontal="center"/>
    </xf>
    <xf numFmtId="0" fontId="2" fillId="7" borderId="5" xfId="0" applyFont="1" applyFill="1" applyBorder="1"/>
    <xf numFmtId="4" fontId="2" fillId="7" borderId="7" xfId="0" applyNumberFormat="1" applyFont="1" applyFill="1" applyBorder="1"/>
    <xf numFmtId="0" fontId="2" fillId="7" borderId="7" xfId="0" applyFont="1" applyFill="1" applyBorder="1"/>
    <xf numFmtId="4" fontId="2" fillId="7" borderId="8" xfId="0" applyNumberFormat="1" applyFont="1" applyFill="1" applyBorder="1"/>
    <xf numFmtId="14" fontId="1" fillId="0" borderId="6" xfId="0" applyNumberFormat="1" applyFont="1" applyFill="1" applyBorder="1" applyAlignment="1">
      <alignment horizontal="right"/>
    </xf>
    <xf numFmtId="10" fontId="1" fillId="0" borderId="1" xfId="1" applyNumberFormat="1" applyFont="1" applyFill="1" applyBorder="1"/>
    <xf numFmtId="168" fontId="1" fillId="0" borderId="0" xfId="0" applyNumberFormat="1" applyFont="1" applyFill="1" applyBorder="1"/>
    <xf numFmtId="14" fontId="4" fillId="8" borderId="6" xfId="0" applyNumberFormat="1" applyFont="1" applyFill="1" applyBorder="1" applyAlignment="1">
      <alignment horizontal="center"/>
    </xf>
    <xf numFmtId="14" fontId="4" fillId="8" borderId="6" xfId="0" applyNumberFormat="1" applyFont="1" applyFill="1" applyBorder="1"/>
    <xf numFmtId="0" fontId="2" fillId="7" borderId="3" xfId="0" applyFont="1" applyFill="1" applyBorder="1"/>
    <xf numFmtId="14" fontId="2" fillId="7" borderId="5" xfId="0" applyNumberFormat="1" applyFont="1" applyFill="1" applyBorder="1"/>
    <xf numFmtId="0" fontId="0" fillId="0" borderId="0" xfId="0" applyFill="1"/>
    <xf numFmtId="0" fontId="2" fillId="7" borderId="4" xfId="0" applyFont="1" applyFill="1" applyBorder="1" applyAlignment="1">
      <alignment vertical="center" wrapText="1"/>
    </xf>
    <xf numFmtId="14" fontId="1" fillId="7" borderId="3" xfId="0" applyNumberFormat="1" applyFont="1" applyFill="1" applyBorder="1"/>
    <xf numFmtId="4" fontId="1" fillId="7" borderId="4" xfId="0" applyNumberFormat="1" applyFont="1" applyFill="1" applyBorder="1"/>
    <xf numFmtId="0" fontId="2" fillId="7" borderId="4" xfId="0" applyFont="1" applyFill="1" applyBorder="1" applyAlignment="1">
      <alignment horizontal="center"/>
    </xf>
    <xf numFmtId="0" fontId="2" fillId="7" borderId="4" xfId="0" applyFont="1" applyFill="1" applyBorder="1"/>
    <xf numFmtId="0" fontId="1" fillId="7" borderId="5" xfId="0" applyFont="1" applyFill="1" applyBorder="1" applyAlignment="1">
      <alignment horizontal="left" vertical="center"/>
    </xf>
    <xf numFmtId="0" fontId="1" fillId="7" borderId="8" xfId="0" applyFont="1" applyFill="1" applyBorder="1"/>
    <xf numFmtId="14" fontId="1" fillId="7" borderId="8" xfId="0" applyNumberFormat="1" applyFont="1" applyFill="1" applyBorder="1"/>
    <xf numFmtId="4" fontId="1" fillId="7" borderId="8" xfId="0" applyNumberFormat="1" applyFont="1" applyFill="1" applyBorder="1"/>
    <xf numFmtId="4" fontId="1" fillId="7" borderId="5" xfId="0" applyNumberFormat="1" applyFont="1" applyFill="1" applyBorder="1"/>
    <xf numFmtId="0" fontId="1" fillId="7" borderId="8" xfId="0" applyNumberFormat="1" applyFont="1" applyFill="1" applyBorder="1" applyAlignment="1">
      <alignment horizontal="center"/>
    </xf>
    <xf numFmtId="4" fontId="1" fillId="7" borderId="7" xfId="0" applyNumberFormat="1" applyFont="1" applyFill="1" applyBorder="1"/>
    <xf numFmtId="14" fontId="1" fillId="7" borderId="5" xfId="0" applyNumberFormat="1" applyFont="1" applyFill="1" applyBorder="1"/>
    <xf numFmtId="165" fontId="1" fillId="7" borderId="8" xfId="0" applyNumberFormat="1" applyFont="1" applyFill="1" applyBorder="1"/>
    <xf numFmtId="4" fontId="1" fillId="3" borderId="14" xfId="0" applyNumberFormat="1" applyFont="1" applyFill="1" applyBorder="1"/>
    <xf numFmtId="0" fontId="6" fillId="0" borderId="0" xfId="0" applyFont="1" applyFill="1"/>
    <xf numFmtId="14" fontId="1" fillId="6" borderId="3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65" fontId="1" fillId="0" borderId="0" xfId="0" applyNumberFormat="1" applyFont="1" applyAlignment="1">
      <alignment horizontal="center" vertical="center"/>
    </xf>
    <xf numFmtId="0" fontId="1" fillId="0" borderId="0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vertical="center" wrapText="1"/>
    </xf>
    <xf numFmtId="9" fontId="1" fillId="0" borderId="15" xfId="1" applyFont="1" applyFill="1" applyBorder="1"/>
    <xf numFmtId="14" fontId="2" fillId="0" borderId="3" xfId="0" applyNumberFormat="1" applyFont="1" applyFill="1" applyBorder="1"/>
    <xf numFmtId="165" fontId="2" fillId="0" borderId="4" xfId="0" applyNumberFormat="1" applyFont="1" applyFill="1" applyBorder="1"/>
    <xf numFmtId="0" fontId="11" fillId="0" borderId="0" xfId="0" applyFont="1" applyFill="1"/>
    <xf numFmtId="0" fontId="1" fillId="0" borderId="5" xfId="0" applyFont="1" applyFill="1" applyBorder="1" applyAlignment="1">
      <alignment vertical="center" wrapText="1"/>
    </xf>
    <xf numFmtId="9" fontId="1" fillId="0" borderId="13" xfId="1" applyFont="1" applyFill="1" applyBorder="1"/>
    <xf numFmtId="0" fontId="1" fillId="0" borderId="7" xfId="0" applyNumberFormat="1" applyFont="1" applyFill="1" applyBorder="1" applyAlignment="1">
      <alignment horizontal="center"/>
    </xf>
    <xf numFmtId="0" fontId="1" fillId="0" borderId="7" xfId="0" applyFont="1" applyFill="1" applyBorder="1"/>
    <xf numFmtId="4" fontId="2" fillId="0" borderId="9" xfId="0" applyNumberFormat="1" applyFont="1" applyFill="1" applyBorder="1"/>
    <xf numFmtId="0" fontId="2" fillId="0" borderId="10" xfId="0" applyFont="1" applyBorder="1" applyAlignment="1">
      <alignment horizontal="center"/>
    </xf>
    <xf numFmtId="4" fontId="2" fillId="0" borderId="10" xfId="0" applyNumberFormat="1" applyFont="1" applyFill="1" applyBorder="1"/>
    <xf numFmtId="0" fontId="2" fillId="0" borderId="10" xfId="0" applyFont="1" applyBorder="1"/>
    <xf numFmtId="4" fontId="2" fillId="0" borderId="11" xfId="0" applyNumberFormat="1" applyFont="1" applyFill="1" applyBorder="1"/>
    <xf numFmtId="14" fontId="1" fillId="8" borderId="6" xfId="0" applyNumberFormat="1" applyFont="1" applyFill="1" applyBorder="1" applyAlignment="1">
      <alignment wrapText="1"/>
    </xf>
    <xf numFmtId="0" fontId="2" fillId="0" borderId="6" xfId="0" applyFont="1" applyFill="1" applyBorder="1" applyAlignment="1">
      <alignment vertical="center"/>
    </xf>
    <xf numFmtId="14" fontId="2" fillId="0" borderId="6" xfId="0" applyNumberFormat="1" applyFont="1" applyFill="1" applyBorder="1" applyAlignment="1">
      <alignment vertical="center"/>
    </xf>
    <xf numFmtId="4" fontId="2" fillId="0" borderId="0" xfId="0" applyNumberFormat="1" applyFont="1" applyFill="1" applyBorder="1" applyAlignment="1">
      <alignment vertical="center"/>
    </xf>
    <xf numFmtId="0" fontId="1" fillId="0" borderId="5" xfId="0" applyNumberFormat="1" applyFont="1" applyFill="1" applyBorder="1" applyAlignment="1">
      <alignment horizontal="center" vertical="center"/>
    </xf>
    <xf numFmtId="4" fontId="1" fillId="0" borderId="0" xfId="0" applyNumberFormat="1" applyFont="1" applyFill="1" applyAlignment="1">
      <alignment vertical="center"/>
    </xf>
    <xf numFmtId="0" fontId="1" fillId="8" borderId="4" xfId="0" applyNumberFormat="1" applyFont="1" applyFill="1" applyBorder="1" applyAlignment="1">
      <alignment horizontal="center"/>
    </xf>
    <xf numFmtId="4" fontId="1" fillId="8" borderId="14" xfId="0" applyNumberFormat="1" applyFont="1" applyFill="1" applyBorder="1"/>
    <xf numFmtId="14" fontId="1" fillId="8" borderId="3" xfId="0" applyNumberFormat="1" applyFont="1" applyFill="1" applyBorder="1"/>
    <xf numFmtId="165" fontId="1" fillId="8" borderId="4" xfId="0" applyNumberFormat="1" applyFont="1" applyFill="1" applyBorder="1"/>
    <xf numFmtId="4" fontId="1" fillId="8" borderId="0" xfId="0" applyNumberFormat="1" applyFont="1" applyFill="1" applyBorder="1" applyAlignment="1">
      <alignment horizontal="right"/>
    </xf>
    <xf numFmtId="14" fontId="2" fillId="7" borderId="1" xfId="0" applyNumberFormat="1" applyFont="1" applyFill="1" applyBorder="1" applyAlignment="1"/>
    <xf numFmtId="14" fontId="2" fillId="7" borderId="1" xfId="0" applyNumberFormat="1" applyFont="1" applyFill="1" applyBorder="1"/>
    <xf numFmtId="14" fontId="1" fillId="8" borderId="0" xfId="0" applyNumberFormat="1" applyFont="1" applyFill="1" applyBorder="1" applyAlignment="1">
      <alignment horizontal="center" vertical="center"/>
    </xf>
    <xf numFmtId="0" fontId="1" fillId="0" borderId="7" xfId="0" applyNumberFormat="1" applyFont="1" applyFill="1" applyBorder="1"/>
    <xf numFmtId="14" fontId="2" fillId="6" borderId="14" xfId="0" applyNumberFormat="1" applyFont="1" applyFill="1" applyBorder="1" applyAlignment="1">
      <alignment vertical="center"/>
    </xf>
    <xf numFmtId="14" fontId="1" fillId="0" borderId="0" xfId="0" applyNumberFormat="1" applyFont="1" applyFill="1" applyBorder="1" applyAlignment="1">
      <alignment vertical="center"/>
    </xf>
    <xf numFmtId="14" fontId="2" fillId="0" borderId="5" xfId="0" applyNumberFormat="1" applyFont="1" applyFill="1" applyBorder="1" applyAlignment="1">
      <alignment vertical="center"/>
    </xf>
    <xf numFmtId="14" fontId="2" fillId="6" borderId="14" xfId="0" applyNumberFormat="1" applyFont="1" applyFill="1" applyBorder="1" applyAlignment="1">
      <alignment horizontal="center" vertical="center"/>
    </xf>
    <xf numFmtId="165" fontId="1" fillId="0" borderId="5" xfId="0" applyNumberFormat="1" applyFont="1" applyFill="1" applyBorder="1" applyAlignment="1">
      <alignment vertical="center"/>
    </xf>
    <xf numFmtId="0" fontId="1" fillId="6" borderId="4" xfId="0" applyFont="1" applyFill="1" applyBorder="1" applyAlignment="1">
      <alignment horizontal="center" vertical="center"/>
    </xf>
    <xf numFmtId="14" fontId="3" fillId="6" borderId="4" xfId="0" applyNumberFormat="1" applyFont="1" applyFill="1" applyBorder="1"/>
    <xf numFmtId="0" fontId="1" fillId="6" borderId="14" xfId="0" applyNumberFormat="1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vertical="center"/>
    </xf>
    <xf numFmtId="0" fontId="2" fillId="0" borderId="6" xfId="0" applyNumberFormat="1" applyFont="1" applyFill="1" applyBorder="1" applyAlignment="1">
      <alignment vertical="center"/>
    </xf>
    <xf numFmtId="165" fontId="2" fillId="0" borderId="6" xfId="0" applyNumberFormat="1" applyFont="1" applyFill="1" applyBorder="1" applyAlignment="1">
      <alignment vertical="center"/>
    </xf>
    <xf numFmtId="14" fontId="4" fillId="0" borderId="6" xfId="0" applyNumberFormat="1" applyFont="1" applyFill="1" applyBorder="1" applyAlignment="1">
      <alignment vertical="center"/>
    </xf>
    <xf numFmtId="0" fontId="2" fillId="0" borderId="1" xfId="0" applyFont="1" applyFill="1" applyBorder="1" applyAlignment="1">
      <alignment vertical="center" wrapText="1"/>
    </xf>
    <xf numFmtId="14" fontId="2" fillId="0" borderId="0" xfId="0" applyNumberFormat="1" applyFont="1" applyFill="1" applyBorder="1" applyAlignment="1">
      <alignment vertical="center"/>
    </xf>
    <xf numFmtId="0" fontId="2" fillId="0" borderId="4" xfId="0" applyNumberFormat="1" applyFont="1" applyFill="1" applyBorder="1" applyAlignment="1">
      <alignment horizontal="center"/>
    </xf>
    <xf numFmtId="0" fontId="2" fillId="0" borderId="4" xfId="0" applyNumberFormat="1" applyFont="1" applyFill="1" applyBorder="1"/>
    <xf numFmtId="14" fontId="2" fillId="8" borderId="4" xfId="0" applyNumberFormat="1" applyFont="1" applyFill="1" applyBorder="1" applyAlignment="1">
      <alignment horizontal="center"/>
    </xf>
    <xf numFmtId="14" fontId="4" fillId="8" borderId="8" xfId="0" applyNumberFormat="1" applyFont="1" applyFill="1" applyBorder="1" applyAlignment="1">
      <alignment horizontal="center"/>
    </xf>
    <xf numFmtId="14" fontId="2" fillId="8" borderId="6" xfId="0" applyNumberFormat="1" applyFont="1" applyFill="1" applyBorder="1" applyAlignment="1">
      <alignment horizontal="center"/>
    </xf>
    <xf numFmtId="14" fontId="2" fillId="8" borderId="3" xfId="0" applyNumberFormat="1" applyFont="1" applyFill="1" applyBorder="1" applyAlignment="1">
      <alignment horizontal="center" vertical="center"/>
    </xf>
    <xf numFmtId="4" fontId="2" fillId="8" borderId="3" xfId="1" applyNumberFormat="1" applyFont="1" applyFill="1" applyBorder="1"/>
    <xf numFmtId="0" fontId="1" fillId="8" borderId="4" xfId="0" applyNumberFormat="1" applyFont="1" applyFill="1" applyBorder="1"/>
    <xf numFmtId="14" fontId="2" fillId="8" borderId="1" xfId="0" applyNumberFormat="1" applyFont="1" applyFill="1" applyBorder="1" applyAlignment="1">
      <alignment horizontal="center" vertical="center"/>
    </xf>
    <xf numFmtId="14" fontId="4" fillId="8" borderId="4" xfId="0" applyNumberFormat="1" applyFont="1" applyFill="1" applyBorder="1" applyAlignment="1">
      <alignment horizontal="center"/>
    </xf>
    <xf numFmtId="4" fontId="2" fillId="7" borderId="1" xfId="0" applyNumberFormat="1" applyFont="1" applyFill="1" applyBorder="1" applyAlignment="1">
      <alignment horizontal="center"/>
    </xf>
    <xf numFmtId="4" fontId="1" fillId="3" borderId="0" xfId="0" applyNumberFormat="1" applyFont="1" applyFill="1"/>
    <xf numFmtId="0" fontId="1" fillId="0" borderId="0" xfId="0" applyFont="1" applyAlignment="1">
      <alignment horizontal="right"/>
    </xf>
    <xf numFmtId="0" fontId="2" fillId="9" borderId="17" xfId="0" applyFont="1" applyFill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8" xfId="0" applyFont="1" applyBorder="1"/>
    <xf numFmtId="0" fontId="2" fillId="10" borderId="19" xfId="0" applyFont="1" applyFill="1" applyBorder="1" applyAlignment="1">
      <alignment horizontal="center"/>
    </xf>
    <xf numFmtId="166" fontId="14" fillId="0" borderId="20" xfId="0" applyNumberFormat="1" applyFont="1" applyBorder="1"/>
    <xf numFmtId="166" fontId="14" fillId="0" borderId="21" xfId="0" applyNumberFormat="1" applyFont="1" applyBorder="1"/>
    <xf numFmtId="0" fontId="1" fillId="0" borderId="23" xfId="0" applyFont="1" applyBorder="1" applyAlignment="1">
      <alignment horizontal="center"/>
    </xf>
    <xf numFmtId="0" fontId="1" fillId="0" borderId="23" xfId="0" applyFont="1" applyBorder="1"/>
    <xf numFmtId="0" fontId="2" fillId="9" borderId="25" xfId="0" applyFont="1" applyFill="1" applyBorder="1" applyAlignment="1">
      <alignment horizontal="center"/>
    </xf>
    <xf numFmtId="166" fontId="14" fillId="0" borderId="26" xfId="0" applyNumberFormat="1" applyFont="1" applyBorder="1"/>
    <xf numFmtId="166" fontId="14" fillId="0" borderId="27" xfId="0" applyNumberFormat="1" applyFont="1" applyBorder="1"/>
    <xf numFmtId="166" fontId="15" fillId="0" borderId="28" xfId="0" applyNumberFormat="1" applyFont="1" applyBorder="1"/>
    <xf numFmtId="0" fontId="2" fillId="10" borderId="25" xfId="0" applyFont="1" applyFill="1" applyBorder="1" applyAlignment="1">
      <alignment horizontal="center"/>
    </xf>
    <xf numFmtId="0" fontId="14" fillId="0" borderId="26" xfId="0" applyNumberFormat="1" applyFont="1" applyBorder="1"/>
    <xf numFmtId="0" fontId="14" fillId="0" borderId="26" xfId="0" applyFont="1" applyBorder="1"/>
    <xf numFmtId="0" fontId="14" fillId="0" borderId="25" xfId="0" applyNumberFormat="1" applyFont="1" applyBorder="1"/>
    <xf numFmtId="0" fontId="14" fillId="0" borderId="29" xfId="0" applyFont="1" applyBorder="1"/>
    <xf numFmtId="0" fontId="1" fillId="0" borderId="16" xfId="0" applyFont="1" applyBorder="1" applyAlignment="1">
      <alignment horizontal="center"/>
    </xf>
    <xf numFmtId="0" fontId="1" fillId="0" borderId="16" xfId="0" applyFont="1" applyBorder="1"/>
    <xf numFmtId="166" fontId="14" fillId="0" borderId="30" xfId="0" applyNumberFormat="1" applyFont="1" applyBorder="1"/>
    <xf numFmtId="10" fontId="1" fillId="0" borderId="8" xfId="1" applyNumberFormat="1" applyFont="1" applyFill="1" applyBorder="1"/>
    <xf numFmtId="165" fontId="1" fillId="3" borderId="8" xfId="0" applyNumberFormat="1" applyFont="1" applyFill="1" applyBorder="1"/>
    <xf numFmtId="14" fontId="1" fillId="0" borderId="7" xfId="0" applyNumberFormat="1" applyFont="1" applyFill="1" applyBorder="1" applyAlignment="1">
      <alignment vertical="center"/>
    </xf>
    <xf numFmtId="14" fontId="4" fillId="0" borderId="8" xfId="0" applyNumberFormat="1" applyFont="1" applyFill="1" applyBorder="1" applyAlignment="1">
      <alignment vertical="center"/>
    </xf>
    <xf numFmtId="0" fontId="4" fillId="0" borderId="0" xfId="0" applyFont="1"/>
    <xf numFmtId="166" fontId="15" fillId="9" borderId="22" xfId="0" applyNumberFormat="1" applyFont="1" applyFill="1" applyBorder="1"/>
    <xf numFmtId="166" fontId="15" fillId="9" borderId="24" xfId="0" applyNumberFormat="1" applyFont="1" applyFill="1" applyBorder="1"/>
    <xf numFmtId="0" fontId="1" fillId="0" borderId="25" xfId="0" applyFont="1" applyBorder="1"/>
    <xf numFmtId="0" fontId="1" fillId="0" borderId="26" xfId="0" applyFont="1" applyBorder="1"/>
    <xf numFmtId="4" fontId="1" fillId="0" borderId="26" xfId="0" applyNumberFormat="1" applyFont="1" applyBorder="1"/>
    <xf numFmtId="4" fontId="2" fillId="0" borderId="28" xfId="0" applyNumberFormat="1" applyFont="1" applyBorder="1"/>
    <xf numFmtId="0" fontId="1" fillId="0" borderId="29" xfId="0" applyFont="1" applyBorder="1"/>
    <xf numFmtId="4" fontId="1" fillId="0" borderId="27" xfId="0" applyNumberFormat="1" applyFont="1" applyBorder="1"/>
    <xf numFmtId="4" fontId="1" fillId="0" borderId="30" xfId="0" applyNumberFormat="1" applyFont="1" applyBorder="1"/>
    <xf numFmtId="0" fontId="2" fillId="6" borderId="3" xfId="0" applyFont="1" applyFill="1" applyBorder="1" applyAlignment="1">
      <alignment vertical="center" wrapText="1"/>
    </xf>
    <xf numFmtId="4" fontId="2" fillId="6" borderId="12" xfId="1" applyNumberFormat="1" applyFont="1" applyFill="1" applyBorder="1"/>
    <xf numFmtId="0" fontId="2" fillId="6" borderId="14" xfId="0" applyNumberFormat="1" applyFont="1" applyFill="1" applyBorder="1" applyAlignment="1">
      <alignment horizontal="center"/>
    </xf>
    <xf numFmtId="0" fontId="2" fillId="6" borderId="14" xfId="0" applyFont="1" applyFill="1" applyBorder="1"/>
    <xf numFmtId="0" fontId="2" fillId="6" borderId="1" xfId="0" applyFont="1" applyFill="1" applyBorder="1" applyAlignment="1">
      <alignment vertical="center" wrapText="1"/>
    </xf>
    <xf numFmtId="14" fontId="1" fillId="6" borderId="1" xfId="0" applyNumberFormat="1" applyFont="1" applyFill="1" applyBorder="1"/>
    <xf numFmtId="4" fontId="2" fillId="6" borderId="15" xfId="1" applyNumberFormat="1" applyFont="1" applyFill="1" applyBorder="1"/>
    <xf numFmtId="0" fontId="1" fillId="6" borderId="0" xfId="0" applyNumberFormat="1" applyFont="1" applyFill="1" applyBorder="1" applyAlignment="1">
      <alignment horizontal="center"/>
    </xf>
    <xf numFmtId="0" fontId="1" fillId="6" borderId="0" xfId="0" applyFont="1" applyFill="1" applyBorder="1"/>
    <xf numFmtId="0" fontId="2" fillId="6" borderId="0" xfId="0" applyNumberFormat="1" applyFont="1" applyFill="1" applyBorder="1" applyAlignment="1">
      <alignment horizontal="center"/>
    </xf>
    <xf numFmtId="0" fontId="2" fillId="6" borderId="0" xfId="0" applyFont="1" applyFill="1" applyBorder="1"/>
    <xf numFmtId="4" fontId="2" fillId="9" borderId="0" xfId="0" applyNumberFormat="1" applyFont="1" applyFill="1" applyAlignment="1">
      <alignment horizontal="center"/>
    </xf>
    <xf numFmtId="169" fontId="1" fillId="0" borderId="0" xfId="0" applyNumberFormat="1" applyFont="1"/>
    <xf numFmtId="169" fontId="2" fillId="2" borderId="11" xfId="0" applyNumberFormat="1" applyFont="1" applyFill="1" applyBorder="1" applyAlignment="1">
      <alignment horizontal="center" vertical="top"/>
    </xf>
    <xf numFmtId="169" fontId="1" fillId="0" borderId="6" xfId="0" applyNumberFormat="1" applyFont="1" applyFill="1" applyBorder="1"/>
    <xf numFmtId="169" fontId="1" fillId="6" borderId="4" xfId="0" applyNumberFormat="1" applyFont="1" applyFill="1" applyBorder="1"/>
    <xf numFmtId="169" fontId="1" fillId="12" borderId="6" xfId="0" applyNumberFormat="1" applyFont="1" applyFill="1" applyBorder="1"/>
    <xf numFmtId="169" fontId="2" fillId="0" borderId="2" xfId="0" applyNumberFormat="1" applyFont="1" applyBorder="1"/>
    <xf numFmtId="169" fontId="1" fillId="0" borderId="14" xfId="0" applyNumberFormat="1" applyFont="1" applyBorder="1"/>
    <xf numFmtId="169" fontId="7" fillId="0" borderId="0" xfId="0" applyNumberFormat="1" applyFont="1"/>
    <xf numFmtId="0" fontId="2" fillId="4" borderId="2" xfId="0" applyFont="1" applyFill="1" applyBorder="1" applyAlignment="1">
      <alignment horizontal="left" vertical="center"/>
    </xf>
    <xf numFmtId="4" fontId="2" fillId="4" borderId="2" xfId="0" applyNumberFormat="1" applyFont="1" applyFill="1" applyBorder="1"/>
    <xf numFmtId="0" fontId="1" fillId="0" borderId="4" xfId="0" applyFont="1" applyBorder="1" applyAlignment="1">
      <alignment horizontal="center"/>
    </xf>
    <xf numFmtId="0" fontId="2" fillId="8" borderId="2" xfId="0" applyFont="1" applyFill="1" applyBorder="1" applyAlignment="1">
      <alignment horizontal="left" vertical="center"/>
    </xf>
    <xf numFmtId="169" fontId="1" fillId="8" borderId="2" xfId="0" applyNumberFormat="1" applyFont="1" applyFill="1" applyBorder="1" applyAlignment="1">
      <alignment horizontal="center" vertical="center"/>
    </xf>
    <xf numFmtId="165" fontId="1" fillId="8" borderId="2" xfId="0" applyNumberFormat="1" applyFont="1" applyFill="1" applyBorder="1"/>
    <xf numFmtId="165" fontId="2" fillId="8" borderId="2" xfId="0" applyNumberFormat="1" applyFont="1" applyFill="1" applyBorder="1"/>
    <xf numFmtId="0" fontId="1" fillId="8" borderId="2" xfId="0" applyFont="1" applyFill="1" applyBorder="1" applyAlignment="1">
      <alignment horizontal="center" vertical="center"/>
    </xf>
    <xf numFmtId="14" fontId="1" fillId="8" borderId="2" xfId="0" applyNumberFormat="1" applyFont="1" applyFill="1" applyBorder="1" applyAlignment="1">
      <alignment horizontal="center" vertical="center"/>
    </xf>
    <xf numFmtId="14" fontId="1" fillId="8" borderId="2" xfId="0" applyNumberFormat="1" applyFont="1" applyFill="1" applyBorder="1" applyAlignment="1">
      <alignment horizontal="center" vertical="center" wrapText="1"/>
    </xf>
    <xf numFmtId="4" fontId="1" fillId="8" borderId="2" xfId="0" applyNumberFormat="1" applyFont="1" applyFill="1" applyBorder="1" applyAlignment="1">
      <alignment horizontal="right" vertical="center"/>
    </xf>
    <xf numFmtId="0" fontId="1" fillId="8" borderId="2" xfId="0" applyNumberFormat="1" applyFont="1" applyFill="1" applyBorder="1" applyAlignment="1">
      <alignment horizontal="center" vertical="center"/>
    </xf>
    <xf numFmtId="4" fontId="1" fillId="8" borderId="2" xfId="0" applyNumberFormat="1" applyFont="1" applyFill="1" applyBorder="1" applyAlignment="1">
      <alignment horizontal="center" vertical="center"/>
    </xf>
    <xf numFmtId="165" fontId="1" fillId="8" borderId="2" xfId="0" applyNumberFormat="1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left" vertical="center"/>
    </xf>
    <xf numFmtId="0" fontId="1" fillId="0" borderId="2" xfId="0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 wrapText="1"/>
    </xf>
    <xf numFmtId="4" fontId="2" fillId="6" borderId="2" xfId="0" applyNumberFormat="1" applyFont="1" applyFill="1" applyBorder="1"/>
    <xf numFmtId="4" fontId="1" fillId="0" borderId="2" xfId="0" applyNumberFormat="1" applyFont="1" applyFill="1" applyBorder="1" applyAlignment="1">
      <alignment horizontal="right" vertical="center"/>
    </xf>
    <xf numFmtId="0" fontId="1" fillId="0" borderId="2" xfId="0" applyNumberFormat="1" applyFont="1" applyFill="1" applyBorder="1" applyAlignment="1">
      <alignment horizontal="center" vertical="center"/>
    </xf>
    <xf numFmtId="169" fontId="1" fillId="0" borderId="2" xfId="0" applyNumberFormat="1" applyFont="1" applyFill="1" applyBorder="1" applyAlignment="1">
      <alignment horizontal="center" vertical="center"/>
    </xf>
    <xf numFmtId="4" fontId="1" fillId="3" borderId="2" xfId="0" applyNumberFormat="1" applyFont="1" applyFill="1" applyBorder="1" applyAlignment="1">
      <alignment horizontal="center" vertical="center"/>
    </xf>
    <xf numFmtId="165" fontId="1" fillId="0" borderId="2" xfId="0" applyNumberFormat="1" applyFont="1" applyFill="1" applyBorder="1"/>
    <xf numFmtId="165" fontId="1" fillId="0" borderId="2" xfId="0" applyNumberFormat="1" applyFont="1" applyFill="1" applyBorder="1" applyAlignment="1">
      <alignment horizontal="center" vertical="center"/>
    </xf>
    <xf numFmtId="14" fontId="3" fillId="0" borderId="2" xfId="0" applyNumberFormat="1" applyFont="1" applyFill="1" applyBorder="1"/>
    <xf numFmtId="4" fontId="1" fillId="0" borderId="2" xfId="0" applyNumberFormat="1" applyFont="1" applyFill="1" applyBorder="1"/>
    <xf numFmtId="0" fontId="1" fillId="0" borderId="2" xfId="0" applyNumberFormat="1" applyFont="1" applyFill="1" applyBorder="1" applyAlignment="1">
      <alignment horizontal="center"/>
    </xf>
    <xf numFmtId="169" fontId="1" fillId="0" borderId="2" xfId="0" applyNumberFormat="1" applyFont="1" applyFill="1" applyBorder="1"/>
    <xf numFmtId="14" fontId="1" fillId="0" borderId="2" xfId="0" applyNumberFormat="1" applyFont="1" applyFill="1" applyBorder="1"/>
    <xf numFmtId="14" fontId="3" fillId="8" borderId="2" xfId="0" applyNumberFormat="1" applyFont="1" applyFill="1" applyBorder="1"/>
    <xf numFmtId="4" fontId="1" fillId="8" borderId="2" xfId="0" applyNumberFormat="1" applyFont="1" applyFill="1" applyBorder="1"/>
    <xf numFmtId="0" fontId="1" fillId="8" borderId="2" xfId="0" applyNumberFormat="1" applyFont="1" applyFill="1" applyBorder="1" applyAlignment="1">
      <alignment horizontal="center"/>
    </xf>
    <xf numFmtId="169" fontId="1" fillId="8" borderId="2" xfId="0" applyNumberFormat="1" applyFont="1" applyFill="1" applyBorder="1"/>
    <xf numFmtId="14" fontId="1" fillId="8" borderId="2" xfId="0" applyNumberFormat="1" applyFont="1" applyFill="1" applyBorder="1"/>
    <xf numFmtId="14" fontId="2" fillId="8" borderId="2" xfId="0" applyNumberFormat="1" applyFont="1" applyFill="1" applyBorder="1"/>
    <xf numFmtId="14" fontId="2" fillId="0" borderId="2" xfId="0" applyNumberFormat="1" applyFont="1" applyFill="1" applyBorder="1"/>
    <xf numFmtId="4" fontId="1" fillId="3" borderId="2" xfId="0" applyNumberFormat="1" applyFont="1" applyFill="1" applyBorder="1"/>
    <xf numFmtId="4" fontId="2" fillId="8" borderId="2" xfId="1" applyNumberFormat="1" applyFont="1" applyFill="1" applyBorder="1"/>
    <xf numFmtId="4" fontId="2" fillId="6" borderId="2" xfId="1" applyNumberFormat="1" applyFont="1" applyFill="1" applyBorder="1"/>
    <xf numFmtId="4" fontId="2" fillId="4" borderId="2" xfId="1" applyNumberFormat="1" applyFont="1" applyFill="1" applyBorder="1"/>
    <xf numFmtId="0" fontId="1" fillId="12" borderId="15" xfId="0" applyNumberFormat="1" applyFont="1" applyFill="1" applyBorder="1" applyAlignment="1">
      <alignment horizontal="center" vertical="center"/>
    </xf>
    <xf numFmtId="165" fontId="1" fillId="12" borderId="1" xfId="0" applyNumberFormat="1" applyFont="1" applyFill="1" applyBorder="1"/>
    <xf numFmtId="165" fontId="1" fillId="12" borderId="6" xfId="0" applyNumberFormat="1" applyFont="1" applyFill="1" applyBorder="1"/>
    <xf numFmtId="4" fontId="1" fillId="5" borderId="2" xfId="0" applyNumberFormat="1" applyFont="1" applyFill="1" applyBorder="1"/>
    <xf numFmtId="4" fontId="1" fillId="0" borderId="2" xfId="0" applyNumberFormat="1" applyFont="1" applyFill="1" applyBorder="1" applyAlignment="1">
      <alignment horizontal="center"/>
    </xf>
    <xf numFmtId="14" fontId="4" fillId="0" borderId="1" xfId="0" applyNumberFormat="1" applyFont="1" applyFill="1" applyBorder="1" applyAlignment="1">
      <alignment vertical="center"/>
    </xf>
    <xf numFmtId="14" fontId="1" fillId="8" borderId="1" xfId="0" applyNumberFormat="1" applyFont="1" applyFill="1" applyBorder="1" applyAlignment="1">
      <alignment horizontal="center" vertical="center"/>
    </xf>
    <xf numFmtId="14" fontId="2" fillId="7" borderId="3" xfId="0" applyNumberFormat="1" applyFont="1" applyFill="1" applyBorder="1" applyAlignment="1">
      <alignment horizontal="center"/>
    </xf>
    <xf numFmtId="14" fontId="2" fillId="7" borderId="1" xfId="0" applyNumberFormat="1" applyFont="1" applyFill="1" applyBorder="1" applyAlignment="1">
      <alignment horizontal="center"/>
    </xf>
    <xf numFmtId="0" fontId="2" fillId="6" borderId="11" xfId="0" applyFont="1" applyFill="1" applyBorder="1"/>
    <xf numFmtId="14" fontId="2" fillId="6" borderId="11" xfId="0" applyNumberFormat="1" applyFont="1" applyFill="1" applyBorder="1"/>
    <xf numFmtId="14" fontId="2" fillId="6" borderId="11" xfId="0" applyNumberFormat="1" applyFont="1" applyFill="1" applyBorder="1" applyAlignment="1">
      <alignment horizontal="center" vertical="center"/>
    </xf>
    <xf numFmtId="4" fontId="2" fillId="6" borderId="11" xfId="0" applyNumberFormat="1" applyFont="1" applyFill="1" applyBorder="1"/>
    <xf numFmtId="0" fontId="2" fillId="6" borderId="11" xfId="0" applyNumberFormat="1" applyFont="1" applyFill="1" applyBorder="1" applyAlignment="1">
      <alignment horizontal="center"/>
    </xf>
    <xf numFmtId="4" fontId="2" fillId="6" borderId="10" xfId="0" applyNumberFormat="1" applyFont="1" applyFill="1" applyBorder="1"/>
    <xf numFmtId="14" fontId="2" fillId="6" borderId="2" xfId="0" applyNumberFormat="1" applyFont="1" applyFill="1" applyBorder="1"/>
    <xf numFmtId="0" fontId="2" fillId="6" borderId="11" xfId="0" applyNumberFormat="1" applyFont="1" applyFill="1" applyBorder="1"/>
    <xf numFmtId="165" fontId="2" fillId="6" borderId="2" xfId="0" applyNumberFormat="1" applyFont="1" applyFill="1" applyBorder="1"/>
    <xf numFmtId="165" fontId="2" fillId="6" borderId="11" xfId="0" applyNumberFormat="1" applyFont="1" applyFill="1" applyBorder="1"/>
    <xf numFmtId="4" fontId="1" fillId="0" borderId="0" xfId="0" applyNumberFormat="1" applyFont="1" applyAlignment="1">
      <alignment horizontal="left" vertical="top"/>
    </xf>
    <xf numFmtId="0" fontId="1" fillId="12" borderId="2" xfId="0" applyFont="1" applyFill="1" applyBorder="1" applyAlignment="1">
      <alignment horizontal="center" vertical="center"/>
    </xf>
    <xf numFmtId="14" fontId="1" fillId="12" borderId="2" xfId="0" applyNumberFormat="1" applyFont="1" applyFill="1" applyBorder="1"/>
    <xf numFmtId="14" fontId="3" fillId="12" borderId="2" xfId="0" applyNumberFormat="1" applyFont="1" applyFill="1" applyBorder="1"/>
    <xf numFmtId="4" fontId="2" fillId="12" borderId="2" xfId="1" applyNumberFormat="1" applyFont="1" applyFill="1" applyBorder="1"/>
    <xf numFmtId="4" fontId="1" fillId="12" borderId="2" xfId="0" applyNumberFormat="1" applyFont="1" applyFill="1" applyBorder="1"/>
    <xf numFmtId="0" fontId="1" fillId="12" borderId="2" xfId="0" applyNumberFormat="1" applyFont="1" applyFill="1" applyBorder="1" applyAlignment="1">
      <alignment horizontal="center"/>
    </xf>
    <xf numFmtId="169" fontId="1" fillId="12" borderId="2" xfId="0" applyNumberFormat="1" applyFont="1" applyFill="1" applyBorder="1"/>
    <xf numFmtId="0" fontId="1" fillId="12" borderId="2" xfId="0" applyNumberFormat="1" applyFont="1" applyFill="1" applyBorder="1" applyAlignment="1">
      <alignment horizontal="center" vertical="center"/>
    </xf>
    <xf numFmtId="165" fontId="1" fillId="12" borderId="2" xfId="0" applyNumberFormat="1" applyFont="1" applyFill="1" applyBorder="1"/>
    <xf numFmtId="0" fontId="25" fillId="12" borderId="2" xfId="0" applyFont="1" applyFill="1" applyBorder="1" applyAlignment="1">
      <alignment horizontal="left" vertical="center"/>
    </xf>
    <xf numFmtId="14" fontId="3" fillId="0" borderId="5" xfId="0" applyNumberFormat="1" applyFont="1" applyFill="1" applyBorder="1"/>
    <xf numFmtId="4" fontId="1" fillId="8" borderId="2" xfId="0" applyNumberFormat="1" applyFont="1" applyFill="1" applyBorder="1" applyAlignment="1">
      <alignment horizontal="center"/>
    </xf>
    <xf numFmtId="14" fontId="1" fillId="8" borderId="2" xfId="0" applyNumberFormat="1" applyFont="1" applyFill="1" applyBorder="1" applyAlignment="1">
      <alignment horizontal="center"/>
    </xf>
    <xf numFmtId="4" fontId="2" fillId="8" borderId="4" xfId="1" applyNumberFormat="1" applyFont="1" applyFill="1" applyBorder="1"/>
    <xf numFmtId="4" fontId="1" fillId="8" borderId="4" xfId="0" applyNumberFormat="1" applyFont="1" applyFill="1" applyBorder="1"/>
    <xf numFmtId="169" fontId="1" fillId="8" borderId="4" xfId="0" applyNumberFormat="1" applyFont="1" applyFill="1" applyBorder="1"/>
    <xf numFmtId="0" fontId="1" fillId="8" borderId="14" xfId="0" applyNumberFormat="1" applyFont="1" applyFill="1" applyBorder="1" applyAlignment="1">
      <alignment horizontal="center" vertical="center"/>
    </xf>
    <xf numFmtId="4" fontId="1" fillId="3" borderId="1" xfId="0" applyNumberFormat="1" applyFont="1" applyFill="1" applyBorder="1" applyAlignment="1">
      <alignment vertical="center"/>
    </xf>
    <xf numFmtId="4" fontId="1" fillId="3" borderId="5" xfId="0" applyNumberFormat="1" applyFont="1" applyFill="1" applyBorder="1" applyAlignment="1">
      <alignment vertical="center"/>
    </xf>
    <xf numFmtId="165" fontId="1" fillId="0" borderId="15" xfId="0" applyNumberFormat="1" applyFont="1" applyFill="1" applyBorder="1"/>
    <xf numFmtId="165" fontId="1" fillId="6" borderId="12" xfId="0" applyNumberFormat="1" applyFont="1" applyFill="1" applyBorder="1"/>
    <xf numFmtId="165" fontId="1" fillId="0" borderId="13" xfId="0" applyNumberFormat="1" applyFont="1" applyFill="1" applyBorder="1"/>
    <xf numFmtId="10" fontId="1" fillId="0" borderId="5" xfId="1" applyNumberFormat="1" applyFont="1" applyFill="1" applyBorder="1"/>
    <xf numFmtId="4" fontId="2" fillId="3" borderId="0" xfId="0" applyNumberFormat="1" applyFont="1" applyFill="1" applyBorder="1"/>
    <xf numFmtId="0" fontId="1" fillId="6" borderId="2" xfId="0" applyFont="1" applyFill="1" applyBorder="1" applyAlignment="1">
      <alignment horizontal="left" vertical="center"/>
    </xf>
    <xf numFmtId="4" fontId="1" fillId="0" borderId="0" xfId="0" applyNumberFormat="1" applyFont="1" applyAlignment="1">
      <alignment horizontal="left"/>
    </xf>
    <xf numFmtId="4" fontId="1" fillId="0" borderId="0" xfId="0" applyNumberFormat="1" applyFont="1" applyAlignment="1">
      <alignment horizontal="left" vertical="top" wrapText="1"/>
    </xf>
    <xf numFmtId="4" fontId="1" fillId="0" borderId="0" xfId="0" applyNumberFormat="1" applyFont="1" applyFill="1" applyAlignment="1">
      <alignment horizontal="left" vertical="top"/>
    </xf>
    <xf numFmtId="0" fontId="1" fillId="0" borderId="4" xfId="0" applyFont="1" applyFill="1" applyBorder="1" applyAlignment="1">
      <alignment horizontal="center" vertical="center"/>
    </xf>
    <xf numFmtId="169" fontId="1" fillId="0" borderId="4" xfId="0" applyNumberFormat="1" applyFont="1" applyFill="1" applyBorder="1"/>
    <xf numFmtId="0" fontId="1" fillId="0" borderId="14" xfId="0" applyNumberFormat="1" applyFont="1" applyFill="1" applyBorder="1" applyAlignment="1">
      <alignment horizontal="center" vertical="center"/>
    </xf>
    <xf numFmtId="165" fontId="1" fillId="0" borderId="3" xfId="0" applyNumberFormat="1" applyFont="1" applyFill="1" applyBorder="1"/>
    <xf numFmtId="0" fontId="1" fillId="0" borderId="2" xfId="0" applyFont="1" applyFill="1" applyBorder="1" applyAlignment="1">
      <alignment horizontal="left" vertical="center"/>
    </xf>
    <xf numFmtId="4" fontId="1" fillId="3" borderId="2" xfId="0" applyNumberFormat="1" applyFont="1" applyFill="1" applyBorder="1" applyAlignment="1">
      <alignment horizontal="left"/>
    </xf>
    <xf numFmtId="4" fontId="2" fillId="4" borderId="2" xfId="1" applyNumberFormat="1" applyFont="1" applyFill="1" applyBorder="1" applyAlignment="1">
      <alignment horizontal="right"/>
    </xf>
    <xf numFmtId="14" fontId="4" fillId="3" borderId="6" xfId="0" applyNumberFormat="1" applyFont="1" applyFill="1" applyBorder="1"/>
    <xf numFmtId="0" fontId="2" fillId="0" borderId="1" xfId="0" applyFont="1" applyFill="1" applyBorder="1" applyAlignment="1"/>
    <xf numFmtId="0" fontId="2" fillId="0" borderId="0" xfId="0" applyFont="1" applyFill="1" applyBorder="1" applyAlignment="1"/>
    <xf numFmtId="14" fontId="2" fillId="0" borderId="1" xfId="0" applyNumberFormat="1" applyFont="1" applyFill="1" applyBorder="1" applyAlignment="1"/>
    <xf numFmtId="14" fontId="2" fillId="0" borderId="1" xfId="0" applyNumberFormat="1" applyFont="1" applyFill="1" applyBorder="1" applyAlignment="1">
      <alignment horizontal="center"/>
    </xf>
    <xf numFmtId="4" fontId="2" fillId="0" borderId="1" xfId="0" applyNumberFormat="1" applyFont="1" applyFill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0" fontId="2" fillId="0" borderId="5" xfId="0" applyFont="1" applyFill="1" applyBorder="1" applyAlignment="1"/>
    <xf numFmtId="0" fontId="2" fillId="0" borderId="7" xfId="0" applyFont="1" applyFill="1" applyBorder="1" applyAlignment="1"/>
    <xf numFmtId="0" fontId="2" fillId="0" borderId="13" xfId="0" applyFont="1" applyFill="1" applyBorder="1" applyAlignment="1">
      <alignment horizontal="center"/>
    </xf>
    <xf numFmtId="0" fontId="2" fillId="0" borderId="5" xfId="0" applyFont="1" applyFill="1" applyBorder="1"/>
    <xf numFmtId="0" fontId="2" fillId="0" borderId="7" xfId="0" applyFont="1" applyFill="1" applyBorder="1"/>
    <xf numFmtId="9" fontId="1" fillId="0" borderId="1" xfId="1" applyNumberFormat="1" applyFont="1" applyFill="1" applyBorder="1"/>
    <xf numFmtId="9" fontId="1" fillId="0" borderId="5" xfId="1" applyNumberFormat="1" applyFont="1" applyFill="1" applyBorder="1"/>
    <xf numFmtId="4" fontId="1" fillId="0" borderId="8" xfId="0" applyNumberFormat="1" applyFont="1" applyBorder="1"/>
    <xf numFmtId="166" fontId="15" fillId="9" borderId="28" xfId="0" applyNumberFormat="1" applyFont="1" applyFill="1" applyBorder="1"/>
    <xf numFmtId="166" fontId="16" fillId="0" borderId="0" xfId="0" applyNumberFormat="1" applyFont="1" applyFill="1"/>
    <xf numFmtId="0" fontId="1" fillId="0" borderId="31" xfId="0" applyFont="1" applyBorder="1"/>
    <xf numFmtId="166" fontId="14" fillId="0" borderId="32" xfId="0" applyNumberFormat="1" applyFont="1" applyBorder="1"/>
    <xf numFmtId="166" fontId="14" fillId="0" borderId="33" xfId="0" applyNumberFormat="1" applyFont="1" applyBorder="1"/>
    <xf numFmtId="0" fontId="1" fillId="0" borderId="17" xfId="0" applyFont="1" applyBorder="1" applyAlignment="1">
      <alignment horizontal="center"/>
    </xf>
    <xf numFmtId="0" fontId="1" fillId="0" borderId="19" xfId="0" applyFont="1" applyBorder="1"/>
    <xf numFmtId="0" fontId="1" fillId="0" borderId="20" xfId="0" applyFont="1" applyBorder="1" applyAlignment="1">
      <alignment horizontal="center"/>
    </xf>
    <xf numFmtId="0" fontId="1" fillId="0" borderId="21" xfId="0" applyFont="1" applyBorder="1"/>
    <xf numFmtId="0" fontId="1" fillId="0" borderId="32" xfId="0" applyFont="1" applyBorder="1" applyAlignment="1">
      <alignment horizontal="center"/>
    </xf>
    <xf numFmtId="0" fontId="1" fillId="0" borderId="34" xfId="0" applyFont="1" applyBorder="1"/>
    <xf numFmtId="0" fontId="1" fillId="0" borderId="22" xfId="0" applyFont="1" applyBorder="1" applyAlignment="1">
      <alignment horizontal="center"/>
    </xf>
    <xf numFmtId="0" fontId="1" fillId="0" borderId="24" xfId="0" applyFont="1" applyBorder="1"/>
    <xf numFmtId="0" fontId="2" fillId="2" borderId="8" xfId="0" applyFont="1" applyFill="1" applyBorder="1" applyAlignment="1">
      <alignment horizontal="center" vertical="top" wrapText="1"/>
    </xf>
    <xf numFmtId="0" fontId="6" fillId="0" borderId="2" xfId="0" applyFont="1" applyBorder="1"/>
    <xf numFmtId="0" fontId="5" fillId="0" borderId="0" xfId="0" applyFont="1" applyAlignment="1">
      <alignment horizontal="center"/>
    </xf>
    <xf numFmtId="0" fontId="5" fillId="0" borderId="2" xfId="0" applyFont="1" applyBorder="1" applyAlignment="1">
      <alignment horizontal="center"/>
    </xf>
    <xf numFmtId="0" fontId="5" fillId="13" borderId="2" xfId="0" applyFont="1" applyFill="1" applyBorder="1" applyAlignment="1">
      <alignment horizontal="center"/>
    </xf>
    <xf numFmtId="165" fontId="0" fillId="13" borderId="2" xfId="2" applyFont="1" applyFill="1" applyBorder="1"/>
    <xf numFmtId="0" fontId="2" fillId="2" borderId="14" xfId="0" applyFont="1" applyFill="1" applyBorder="1" applyAlignment="1">
      <alignment horizontal="center" vertical="top" wrapText="1"/>
    </xf>
    <xf numFmtId="0" fontId="2" fillId="2" borderId="9" xfId="0" applyFont="1" applyFill="1" applyBorder="1" applyAlignment="1">
      <alignment vertical="top" wrapText="1"/>
    </xf>
    <xf numFmtId="0" fontId="2" fillId="2" borderId="10" xfId="0" applyFont="1" applyFill="1" applyBorder="1" applyAlignment="1">
      <alignment vertical="top" wrapText="1"/>
    </xf>
    <xf numFmtId="0" fontId="2" fillId="2" borderId="11" xfId="0" applyFont="1" applyFill="1" applyBorder="1" applyAlignment="1">
      <alignment vertical="top" wrapText="1"/>
    </xf>
    <xf numFmtId="0" fontId="0" fillId="4" borderId="0" xfId="0" applyFill="1"/>
    <xf numFmtId="0" fontId="5" fillId="4" borderId="2" xfId="0" applyFont="1" applyFill="1" applyBorder="1" applyAlignment="1">
      <alignment horizontal="center"/>
    </xf>
    <xf numFmtId="0" fontId="2" fillId="0" borderId="11" xfId="0" applyFont="1" applyBorder="1" applyAlignment="1"/>
    <xf numFmtId="0" fontId="14" fillId="4" borderId="2" xfId="0" applyFont="1" applyFill="1" applyBorder="1" applyAlignment="1">
      <alignment horizontal="center" vertical="center"/>
    </xf>
    <xf numFmtId="14" fontId="14" fillId="4" borderId="2" xfId="0" applyNumberFormat="1" applyFont="1" applyFill="1" applyBorder="1"/>
    <xf numFmtId="0" fontId="16" fillId="4" borderId="0" xfId="0" applyFont="1" applyFill="1"/>
    <xf numFmtId="0" fontId="15" fillId="4" borderId="2" xfId="0" applyFont="1" applyFill="1" applyBorder="1" applyAlignment="1">
      <alignment horizontal="left" vertical="center"/>
    </xf>
    <xf numFmtId="0" fontId="15" fillId="4" borderId="2" xfId="0" applyFont="1" applyFill="1" applyBorder="1" applyAlignment="1"/>
    <xf numFmtId="4" fontId="17" fillId="4" borderId="2" xfId="0" applyNumberFormat="1" applyFont="1" applyFill="1" applyBorder="1"/>
    <xf numFmtId="0" fontId="14" fillId="4" borderId="2" xfId="0" applyFont="1" applyFill="1" applyBorder="1" applyAlignment="1">
      <alignment vertical="center"/>
    </xf>
    <xf numFmtId="14" fontId="14" fillId="4" borderId="2" xfId="0" applyNumberFormat="1" applyFont="1" applyFill="1" applyBorder="1" applyAlignment="1">
      <alignment vertical="center"/>
    </xf>
    <xf numFmtId="4" fontId="14" fillId="4" borderId="2" xfId="0" applyNumberFormat="1" applyFont="1" applyFill="1" applyBorder="1" applyAlignment="1">
      <alignment vertical="center"/>
    </xf>
    <xf numFmtId="0" fontId="14" fillId="4" borderId="2" xfId="0" applyFont="1" applyFill="1" applyBorder="1"/>
    <xf numFmtId="4" fontId="14" fillId="4" borderId="2" xfId="1" applyNumberFormat="1" applyFont="1" applyFill="1" applyBorder="1"/>
    <xf numFmtId="0" fontId="14" fillId="4" borderId="2" xfId="0" applyFont="1" applyFill="1" applyBorder="1" applyAlignment="1">
      <alignment vertical="center" wrapText="1"/>
    </xf>
    <xf numFmtId="0" fontId="14" fillId="4" borderId="2" xfId="0" applyFont="1" applyFill="1" applyBorder="1" applyAlignment="1"/>
    <xf numFmtId="14" fontId="14" fillId="4" borderId="2" xfId="0" applyNumberFormat="1" applyFont="1" applyFill="1" applyBorder="1" applyAlignment="1"/>
    <xf numFmtId="4" fontId="14" fillId="4" borderId="2" xfId="0" applyNumberFormat="1" applyFont="1" applyFill="1" applyBorder="1"/>
    <xf numFmtId="0" fontId="20" fillId="10" borderId="0" xfId="0" applyFont="1" applyFill="1" applyAlignment="1">
      <alignment horizontal="center"/>
    </xf>
    <xf numFmtId="0" fontId="17" fillId="10" borderId="0" xfId="0" applyFont="1" applyFill="1" applyAlignment="1">
      <alignment horizontal="center"/>
    </xf>
    <xf numFmtId="166" fontId="17" fillId="10" borderId="0" xfId="0" applyNumberFormat="1" applyFont="1" applyFill="1" applyAlignment="1">
      <alignment horizontal="center"/>
    </xf>
    <xf numFmtId="4" fontId="17" fillId="10" borderId="0" xfId="0" applyNumberFormat="1" applyFont="1" applyFill="1" applyAlignment="1">
      <alignment horizontal="center"/>
    </xf>
    <xf numFmtId="166" fontId="16" fillId="2" borderId="0" xfId="0" applyNumberFormat="1" applyFont="1" applyFill="1"/>
    <xf numFmtId="0" fontId="2" fillId="0" borderId="0" xfId="0" applyFont="1" applyAlignment="1">
      <alignment horizontal="center"/>
    </xf>
    <xf numFmtId="0" fontId="2" fillId="2" borderId="8" xfId="0" applyFont="1" applyFill="1" applyBorder="1" applyAlignment="1">
      <alignment horizontal="center" vertical="top" wrapText="1"/>
    </xf>
    <xf numFmtId="0" fontId="1" fillId="4" borderId="3" xfId="0" applyFont="1" applyFill="1" applyBorder="1" applyAlignment="1">
      <alignment horizontal="left" vertical="center"/>
    </xf>
    <xf numFmtId="14" fontId="1" fillId="8" borderId="0" xfId="0" applyNumberFormat="1" applyFont="1" applyFill="1" applyBorder="1"/>
    <xf numFmtId="14" fontId="1" fillId="8" borderId="7" xfId="0" applyNumberFormat="1" applyFont="1" applyFill="1" applyBorder="1"/>
    <xf numFmtId="14" fontId="3" fillId="8" borderId="0" xfId="0" applyNumberFormat="1" applyFont="1" applyFill="1" applyBorder="1"/>
    <xf numFmtId="14" fontId="2" fillId="8" borderId="14" xfId="0" applyNumberFormat="1" applyFont="1" applyFill="1" applyBorder="1"/>
    <xf numFmtId="14" fontId="4" fillId="8" borderId="0" xfId="0" applyNumberFormat="1" applyFont="1" applyFill="1" applyBorder="1" applyAlignment="1">
      <alignment horizontal="center"/>
    </xf>
    <xf numFmtId="14" fontId="2" fillId="8" borderId="0" xfId="0" applyNumberFormat="1" applyFont="1" applyFill="1" applyBorder="1"/>
    <xf numFmtId="14" fontId="4" fillId="8" borderId="0" xfId="0" applyNumberFormat="1" applyFont="1" applyFill="1" applyBorder="1"/>
    <xf numFmtId="4" fontId="1" fillId="8" borderId="15" xfId="0" applyNumberFormat="1" applyFont="1" applyFill="1" applyBorder="1"/>
    <xf numFmtId="14" fontId="2" fillId="6" borderId="10" xfId="0" applyNumberFormat="1" applyFont="1" applyFill="1" applyBorder="1"/>
    <xf numFmtId="4" fontId="1" fillId="0" borderId="15" xfId="0" applyNumberFormat="1" applyFont="1" applyFill="1" applyBorder="1"/>
    <xf numFmtId="14" fontId="2" fillId="6" borderId="0" xfId="0" applyNumberFormat="1" applyFont="1" applyFill="1" applyBorder="1"/>
    <xf numFmtId="14" fontId="2" fillId="6" borderId="12" xfId="0" applyNumberFormat="1" applyFont="1" applyFill="1" applyBorder="1"/>
    <xf numFmtId="14" fontId="1" fillId="0" borderId="13" xfId="0" applyNumberFormat="1" applyFont="1" applyFill="1" applyBorder="1"/>
    <xf numFmtId="14" fontId="1" fillId="6" borderId="12" xfId="0" applyNumberFormat="1" applyFont="1" applyFill="1" applyBorder="1"/>
    <xf numFmtId="14" fontId="1" fillId="0" borderId="15" xfId="0" applyNumberFormat="1" applyFont="1" applyFill="1" applyBorder="1"/>
    <xf numFmtId="9" fontId="1" fillId="0" borderId="8" xfId="1" applyNumberFormat="1" applyFont="1" applyFill="1" applyBorder="1"/>
    <xf numFmtId="0" fontId="3" fillId="8" borderId="1" xfId="0" applyFont="1" applyFill="1" applyBorder="1"/>
    <xf numFmtId="0" fontId="2" fillId="2" borderId="14" xfId="0" applyFont="1" applyFill="1" applyBorder="1" applyAlignment="1">
      <alignment vertical="top" wrapText="1"/>
    </xf>
    <xf numFmtId="4" fontId="2" fillId="8" borderId="12" xfId="0" applyNumberFormat="1" applyFont="1" applyFill="1" applyBorder="1"/>
    <xf numFmtId="4" fontId="2" fillId="6" borderId="15" xfId="0" applyNumberFormat="1" applyFont="1" applyFill="1" applyBorder="1"/>
    <xf numFmtId="10" fontId="1" fillId="0" borderId="0" xfId="1" applyNumberFormat="1" applyFont="1" applyFill="1" applyBorder="1"/>
    <xf numFmtId="9" fontId="1" fillId="8" borderId="1" xfId="1" applyFont="1" applyFill="1" applyBorder="1"/>
    <xf numFmtId="9" fontId="1" fillId="8" borderId="5" xfId="1" applyFont="1" applyFill="1" applyBorder="1"/>
    <xf numFmtId="10" fontId="1" fillId="8" borderId="1" xfId="1" applyNumberFormat="1" applyFont="1" applyFill="1" applyBorder="1"/>
    <xf numFmtId="9" fontId="1" fillId="8" borderId="1" xfId="1" applyNumberFormat="1" applyFont="1" applyFill="1" applyBorder="1"/>
    <xf numFmtId="10" fontId="1" fillId="4" borderId="1" xfId="1" applyNumberFormat="1" applyFont="1" applyFill="1" applyBorder="1"/>
    <xf numFmtId="9" fontId="1" fillId="4" borderId="1" xfId="1" applyFont="1" applyFill="1" applyBorder="1"/>
    <xf numFmtId="9" fontId="1" fillId="4" borderId="5" xfId="1" applyFont="1" applyFill="1" applyBorder="1"/>
    <xf numFmtId="0" fontId="2" fillId="8" borderId="0" xfId="0" applyFont="1" applyFill="1"/>
    <xf numFmtId="165" fontId="0" fillId="0" borderId="0" xfId="0" applyNumberFormat="1"/>
    <xf numFmtId="0" fontId="6" fillId="4" borderId="0" xfId="0" applyFont="1" applyFill="1"/>
    <xf numFmtId="0" fontId="5" fillId="4" borderId="0" xfId="0" applyFont="1" applyFill="1"/>
    <xf numFmtId="165" fontId="5" fillId="0" borderId="0" xfId="0" applyNumberFormat="1" applyFont="1"/>
    <xf numFmtId="0" fontId="1" fillId="0" borderId="35" xfId="0" applyFont="1" applyBorder="1"/>
    <xf numFmtId="0" fontId="1" fillId="0" borderId="1" xfId="0" applyFont="1" applyBorder="1" applyAlignment="1"/>
    <xf numFmtId="0" fontId="1" fillId="7" borderId="5" xfId="0" applyFont="1" applyFill="1" applyBorder="1" applyAlignment="1"/>
    <xf numFmtId="0" fontId="2" fillId="7" borderId="1" xfId="0" applyFont="1" applyFill="1" applyBorder="1" applyAlignment="1">
      <alignment vertical="center" wrapText="1"/>
    </xf>
    <xf numFmtId="0" fontId="2" fillId="7" borderId="0" xfId="0" applyFont="1" applyFill="1" applyBorder="1" applyAlignment="1">
      <alignment vertical="center"/>
    </xf>
    <xf numFmtId="14" fontId="2" fillId="7" borderId="1" xfId="0" applyNumberFormat="1" applyFont="1" applyFill="1" applyBorder="1" applyAlignment="1">
      <alignment vertical="center"/>
    </xf>
    <xf numFmtId="14" fontId="2" fillId="7" borderId="1" xfId="0" applyNumberFormat="1" applyFont="1" applyFill="1" applyBorder="1" applyAlignment="1">
      <alignment horizontal="center" vertical="center"/>
    </xf>
    <xf numFmtId="4" fontId="2" fillId="7" borderId="1" xfId="0" applyNumberFormat="1" applyFont="1" applyFill="1" applyBorder="1" applyAlignment="1">
      <alignment vertical="center"/>
    </xf>
    <xf numFmtId="0" fontId="2" fillId="7" borderId="15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vertical="center"/>
    </xf>
    <xf numFmtId="4" fontId="2" fillId="7" borderId="0" xfId="0" applyNumberFormat="1" applyFont="1" applyFill="1" applyBorder="1" applyAlignment="1">
      <alignment vertical="center"/>
    </xf>
    <xf numFmtId="4" fontId="2" fillId="7" borderId="6" xfId="0" applyNumberFormat="1" applyFont="1" applyFill="1" applyBorder="1" applyAlignment="1">
      <alignment vertical="center"/>
    </xf>
    <xf numFmtId="0" fontId="2" fillId="0" borderId="0" xfId="0" applyFont="1" applyAlignment="1">
      <alignment vertical="center"/>
    </xf>
    <xf numFmtId="0" fontId="1" fillId="7" borderId="1" xfId="0" applyFont="1" applyFill="1" applyBorder="1" applyAlignment="1"/>
    <xf numFmtId="0" fontId="1" fillId="0" borderId="1" xfId="0" applyFont="1" applyFill="1" applyBorder="1" applyAlignment="1"/>
    <xf numFmtId="4" fontId="2" fillId="6" borderId="14" xfId="1" applyNumberFormat="1" applyFont="1" applyFill="1" applyBorder="1"/>
    <xf numFmtId="9" fontId="1" fillId="0" borderId="0" xfId="1" applyFont="1" applyFill="1" applyBorder="1"/>
    <xf numFmtId="9" fontId="1" fillId="0" borderId="7" xfId="1" applyFont="1" applyFill="1" applyBorder="1"/>
    <xf numFmtId="4" fontId="2" fillId="6" borderId="0" xfId="1" applyNumberFormat="1" applyFont="1" applyFill="1" applyBorder="1"/>
    <xf numFmtId="0" fontId="1" fillId="8" borderId="1" xfId="0" applyFont="1" applyFill="1" applyBorder="1" applyAlignment="1">
      <alignment vertical="center"/>
    </xf>
    <xf numFmtId="0" fontId="1" fillId="0" borderId="1" xfId="0" applyFont="1" applyBorder="1"/>
    <xf numFmtId="0" fontId="1" fillId="0" borderId="5" xfId="0" applyFont="1" applyBorder="1"/>
    <xf numFmtId="0" fontId="1" fillId="8" borderId="5" xfId="0" applyFont="1" applyFill="1" applyBorder="1"/>
    <xf numFmtId="4" fontId="2" fillId="6" borderId="12" xfId="0" applyNumberFormat="1" applyFont="1" applyFill="1" applyBorder="1"/>
    <xf numFmtId="0" fontId="1" fillId="0" borderId="1" xfId="0" applyFont="1" applyFill="1" applyBorder="1" applyAlignment="1">
      <alignment vertical="center"/>
    </xf>
    <xf numFmtId="9" fontId="1" fillId="0" borderId="1" xfId="1" applyFont="1" applyFill="1" applyBorder="1" applyAlignment="1">
      <alignment vertical="center"/>
    </xf>
    <xf numFmtId="10" fontId="1" fillId="0" borderId="1" xfId="1" applyNumberFormat="1" applyFont="1" applyFill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10" fontId="1" fillId="0" borderId="1" xfId="0" applyNumberFormat="1" applyFont="1" applyFill="1" applyBorder="1" applyAlignment="1">
      <alignment vertical="center"/>
    </xf>
    <xf numFmtId="10" fontId="1" fillId="0" borderId="5" xfId="0" applyNumberFormat="1" applyFont="1" applyFill="1" applyBorder="1" applyAlignment="1">
      <alignment vertical="center"/>
    </xf>
    <xf numFmtId="0" fontId="1" fillId="0" borderId="5" xfId="0" applyFont="1" applyFill="1" applyBorder="1" applyAlignment="1">
      <alignment vertical="center"/>
    </xf>
    <xf numFmtId="165" fontId="0" fillId="4" borderId="1" xfId="2" applyFont="1" applyFill="1" applyBorder="1"/>
    <xf numFmtId="165" fontId="0" fillId="0" borderId="1" xfId="2" applyFont="1" applyBorder="1"/>
    <xf numFmtId="165" fontId="6" fillId="0" borderId="1" xfId="2" applyFont="1" applyBorder="1"/>
    <xf numFmtId="165" fontId="0" fillId="0" borderId="1" xfId="2" applyFont="1" applyFill="1" applyBorder="1"/>
    <xf numFmtId="165" fontId="0" fillId="4" borderId="5" xfId="2" applyFont="1" applyFill="1" applyBorder="1"/>
    <xf numFmtId="165" fontId="0" fillId="0" borderId="5" xfId="2" applyFont="1" applyBorder="1"/>
    <xf numFmtId="165" fontId="0" fillId="0" borderId="5" xfId="2" applyFont="1" applyFill="1" applyBorder="1"/>
    <xf numFmtId="165" fontId="6" fillId="0" borderId="5" xfId="2" applyFont="1" applyBorder="1"/>
    <xf numFmtId="0" fontId="5" fillId="10" borderId="0" xfId="0" applyFont="1" applyFill="1"/>
    <xf numFmtId="0" fontId="5" fillId="10" borderId="0" xfId="0" applyFont="1" applyFill="1" applyAlignment="1">
      <alignment horizontal="center"/>
    </xf>
    <xf numFmtId="165" fontId="5" fillId="10" borderId="0" xfId="0" applyNumberFormat="1" applyFont="1" applyFill="1"/>
    <xf numFmtId="0" fontId="5" fillId="10" borderId="2" xfId="0" applyFont="1" applyFill="1" applyBorder="1" applyAlignment="1">
      <alignment horizontal="center"/>
    </xf>
    <xf numFmtId="4" fontId="2" fillId="3" borderId="9" xfId="0" applyNumberFormat="1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2" borderId="9" xfId="0" applyFont="1" applyFill="1" applyBorder="1" applyAlignment="1">
      <alignment horizontal="center" vertical="top" wrapText="1"/>
    </xf>
    <xf numFmtId="0" fontId="2" fillId="2" borderId="10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 vertical="top" wrapText="1"/>
    </xf>
    <xf numFmtId="0" fontId="2" fillId="2" borderId="12" xfId="0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0" fontId="1" fillId="8" borderId="1" xfId="0" applyNumberFormat="1" applyFont="1" applyFill="1" applyBorder="1" applyAlignment="1">
      <alignment horizontal="center" vertical="center"/>
    </xf>
    <xf numFmtId="0" fontId="1" fillId="8" borderId="5" xfId="0" applyNumberFormat="1" applyFont="1" applyFill="1" applyBorder="1" applyAlignment="1">
      <alignment horizontal="center" vertical="center"/>
    </xf>
    <xf numFmtId="14" fontId="1" fillId="8" borderId="1" xfId="0" applyNumberFormat="1" applyFont="1" applyFill="1" applyBorder="1" applyAlignment="1">
      <alignment horizontal="center" vertical="center"/>
    </xf>
    <xf numFmtId="4" fontId="1" fillId="8" borderId="1" xfId="0" applyNumberFormat="1" applyFont="1" applyFill="1" applyBorder="1" applyAlignment="1">
      <alignment horizontal="right" vertical="center"/>
    </xf>
    <xf numFmtId="4" fontId="1" fillId="8" borderId="5" xfId="0" applyNumberFormat="1" applyFont="1" applyFill="1" applyBorder="1" applyAlignment="1">
      <alignment horizontal="right" vertical="center"/>
    </xf>
    <xf numFmtId="165" fontId="1" fillId="8" borderId="1" xfId="0" applyNumberFormat="1" applyFont="1" applyFill="1" applyBorder="1" applyAlignment="1">
      <alignment vertical="center"/>
    </xf>
    <xf numFmtId="0" fontId="0" fillId="8" borderId="5" xfId="0" applyFill="1" applyBorder="1" applyAlignment="1">
      <alignment vertic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5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right" vertical="center"/>
    </xf>
    <xf numFmtId="14" fontId="1" fillId="0" borderId="5" xfId="0" applyNumberFormat="1" applyFont="1" applyFill="1" applyBorder="1" applyAlignment="1">
      <alignment horizontal="right" vertical="center"/>
    </xf>
    <xf numFmtId="0" fontId="2" fillId="2" borderId="3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4" fontId="1" fillId="8" borderId="1" xfId="0" applyNumberFormat="1" applyFont="1" applyFill="1" applyBorder="1" applyAlignment="1">
      <alignment vertical="center"/>
    </xf>
    <xf numFmtId="0" fontId="0" fillId="8" borderId="1" xfId="0" applyFill="1" applyBorder="1" applyAlignment="1">
      <alignment vertical="center"/>
    </xf>
    <xf numFmtId="4" fontId="1" fillId="8" borderId="1" xfId="0" applyNumberFormat="1" applyFont="1" applyFill="1" applyBorder="1" applyAlignment="1">
      <alignment vertical="center"/>
    </xf>
    <xf numFmtId="4" fontId="2" fillId="0" borderId="12" xfId="0" applyNumberFormat="1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4" fontId="2" fillId="0" borderId="9" xfId="0" applyNumberFormat="1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4" fontId="2" fillId="0" borderId="4" xfId="0" applyNumberFormat="1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 vertical="top" wrapText="1"/>
    </xf>
    <xf numFmtId="0" fontId="2" fillId="0" borderId="5" xfId="0" applyFont="1" applyFill="1" applyBorder="1" applyAlignment="1">
      <alignment horizontal="center" vertical="top" wrapText="1"/>
    </xf>
    <xf numFmtId="0" fontId="2" fillId="0" borderId="9" xfId="0" applyFont="1" applyFill="1" applyBorder="1" applyAlignment="1">
      <alignment horizontal="center" vertical="top" wrapText="1"/>
    </xf>
    <xf numFmtId="0" fontId="2" fillId="0" borderId="10" xfId="0" applyFont="1" applyFill="1" applyBorder="1" applyAlignment="1">
      <alignment horizontal="center" vertical="top" wrapText="1"/>
    </xf>
    <xf numFmtId="0" fontId="2" fillId="0" borderId="11" xfId="0" applyFont="1" applyFill="1" applyBorder="1" applyAlignment="1">
      <alignment horizontal="center" vertical="top" wrapText="1"/>
    </xf>
    <xf numFmtId="0" fontId="5" fillId="0" borderId="9" xfId="0" applyFont="1" applyBorder="1" applyAlignment="1">
      <alignment horizontal="centerContinuous"/>
    </xf>
    <xf numFmtId="0" fontId="5" fillId="0" borderId="10" xfId="0" applyFont="1" applyBorder="1" applyAlignment="1">
      <alignment horizontal="centerContinuous"/>
    </xf>
    <xf numFmtId="0" fontId="5" fillId="0" borderId="11" xfId="0" applyFont="1" applyBorder="1" applyAlignment="1">
      <alignment horizontal="centerContinuous"/>
    </xf>
    <xf numFmtId="165" fontId="0" fillId="3" borderId="1" xfId="2" applyFont="1" applyFill="1" applyBorder="1"/>
    <xf numFmtId="165" fontId="5" fillId="3" borderId="14" xfId="0" applyNumberFormat="1" applyFont="1" applyFill="1" applyBorder="1"/>
    <xf numFmtId="165" fontId="0" fillId="3" borderId="2" xfId="2" applyFont="1" applyFill="1" applyBorder="1"/>
  </cellXfs>
  <cellStyles count="3">
    <cellStyle name="Comma" xfId="2" builtinId="3"/>
    <cellStyle name="Normal" xfId="0" builtinId="0"/>
    <cellStyle name="Percent" xfId="1" builtinId="5"/>
  </cellStyles>
  <dxfs count="108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F66CC"/>
      <color rgb="FF1CA847"/>
      <color rgb="FF358B77"/>
      <color rgb="FF368E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'LBU DEAL'!$K$401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cat>
            <c:numRef>
              <c:f>'LBU DEAL'!$J$402:$J$412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DEAL'!$K$402:$K$412</c:f>
              <c:numCache>
                <c:formatCode>#\,##0.00\ _€</c:formatCode>
                <c:ptCount val="11"/>
                <c:pt idx="0">
                  <c:v>0</c:v>
                </c:pt>
                <c:pt idx="1">
                  <c:v>2578304.0300000003</c:v>
                </c:pt>
                <c:pt idx="2">
                  <c:v>1379921.74</c:v>
                </c:pt>
                <c:pt idx="3">
                  <c:v>2290444.0999999996</c:v>
                </c:pt>
                <c:pt idx="4">
                  <c:v>2713185.75</c:v>
                </c:pt>
                <c:pt idx="5">
                  <c:v>2180533.38</c:v>
                </c:pt>
                <c:pt idx="6">
                  <c:v>3885594.4799999995</c:v>
                </c:pt>
                <c:pt idx="7">
                  <c:v>2177727.7512000003</c:v>
                </c:pt>
                <c:pt idx="8">
                  <c:v>3905691.3887999998</c:v>
                </c:pt>
                <c:pt idx="9">
                  <c:v>3811521.15</c:v>
                </c:pt>
                <c:pt idx="10">
                  <c:v>1060448.2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446-4F08-898C-368ED6629CB0}"/>
            </c:ext>
          </c:extLst>
        </c:ser>
        <c:ser>
          <c:idx val="1"/>
          <c:order val="1"/>
          <c:tx>
            <c:strRef>
              <c:f>'LBU DEAL'!$L$401</c:f>
              <c:strCache>
                <c:ptCount val="1"/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'LBU DEAL'!$J$402:$J$412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DEAL'!$L$402:$L$412</c:f>
              <c:numCache>
                <c:formatCode>General</c:formatCode>
                <c:ptCount val="11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F446-4F08-898C-368ED6629CB0}"/>
            </c:ext>
          </c:extLst>
        </c:ser>
        <c:ser>
          <c:idx val="2"/>
          <c:order val="2"/>
          <c:tx>
            <c:strRef>
              <c:f>'LBU DEAL'!$M$401</c:f>
              <c:strCache>
                <c:ptCount val="1"/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cat>
            <c:numRef>
              <c:f>'LBU DEAL'!$J$402:$J$412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DEAL'!$M$402:$M$412</c:f>
              <c:numCache>
                <c:formatCode>General</c:formatCode>
                <c:ptCount val="11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CC3-452D-AF21-42ACFD66F8A2}"/>
            </c:ext>
          </c:extLst>
        </c:ser>
        <c:ser>
          <c:idx val="3"/>
          <c:order val="3"/>
          <c:tx>
            <c:strRef>
              <c:f>'LBU DEAL'!$N$401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cat>
            <c:numRef>
              <c:f>'LBU DEAL'!$J$402:$J$412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DEAL'!$N$402:$N$412</c:f>
              <c:numCache>
                <c:formatCode>#\,##0.00\ _€</c:formatCode>
                <c:ptCount val="11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3536728.59</c:v>
                </c:pt>
                <c:pt idx="9">
                  <c:v>4229192.16</c:v>
                </c:pt>
                <c:pt idx="10">
                  <c:v>570865.69999999995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6CC3-452D-AF21-42ACFD66F8A2}"/>
            </c:ext>
          </c:extLst>
        </c:ser>
        <c:dLbls/>
        <c:gapWidth val="219"/>
        <c:overlap val="-27"/>
        <c:axId val="165039488"/>
        <c:axId val="165120256"/>
      </c:barChart>
      <c:catAx>
        <c:axId val="16503948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120256"/>
        <c:crosses val="autoZero"/>
        <c:auto val="1"/>
        <c:lblAlgn val="ctr"/>
        <c:lblOffset val="100"/>
      </c:catAx>
      <c:valAx>
        <c:axId val="16512025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\ _€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0394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FRAFU</a:t>
            </a:r>
            <a:r>
              <a:rPr lang="fr-FR" baseline="0"/>
              <a:t> appelé / payé</a:t>
            </a:r>
            <a:endParaRPr lang="fr-FR"/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'FRAFU DEAL'!$J$156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cat>
            <c:numRef>
              <c:f>'FRAFU DEAL'!$I$157:$I$168</c:f>
              <c:numCache>
                <c:formatCode>General</c:formatCode>
                <c:ptCount val="12"/>
                <c:pt idx="0">
                  <c:v>2006</c:v>
                </c:pt>
                <c:pt idx="1">
                  <c:v>2007</c:v>
                </c:pt>
                <c:pt idx="2">
                  <c:v>2010</c:v>
                </c:pt>
                <c:pt idx="3">
                  <c:v>2011</c:v>
                </c:pt>
                <c:pt idx="4">
                  <c:v>2012</c:v>
                </c:pt>
                <c:pt idx="5">
                  <c:v>2013</c:v>
                </c:pt>
                <c:pt idx="6">
                  <c:v>2014</c:v>
                </c:pt>
                <c:pt idx="7">
                  <c:v>2015</c:v>
                </c:pt>
                <c:pt idx="8">
                  <c:v>2016</c:v>
                </c:pt>
                <c:pt idx="9">
                  <c:v>2017</c:v>
                </c:pt>
                <c:pt idx="10">
                  <c:v>2018</c:v>
                </c:pt>
                <c:pt idx="11">
                  <c:v>2019</c:v>
                </c:pt>
              </c:numCache>
            </c:numRef>
          </c:cat>
          <c:val>
            <c:numRef>
              <c:f>'FRAFU DEAL'!$J$157:$J$168</c:f>
              <c:numCache>
                <c:formatCode>#\,##0.00\ _€</c:formatCode>
                <c:ptCount val="12"/>
                <c:pt idx="0">
                  <c:v>1558057.8</c:v>
                </c:pt>
                <c:pt idx="1">
                  <c:v>170100</c:v>
                </c:pt>
                <c:pt idx="2">
                  <c:v>63180</c:v>
                </c:pt>
                <c:pt idx="3">
                  <c:v>1113274</c:v>
                </c:pt>
                <c:pt idx="4">
                  <c:v>1260319.3</c:v>
                </c:pt>
                <c:pt idx="5">
                  <c:v>2866858.28</c:v>
                </c:pt>
                <c:pt idx="6">
                  <c:v>2269922.3799999994</c:v>
                </c:pt>
                <c:pt idx="7">
                  <c:v>3264503.62</c:v>
                </c:pt>
                <c:pt idx="8">
                  <c:v>3128172.4920000001</c:v>
                </c:pt>
                <c:pt idx="9">
                  <c:v>1630791.08</c:v>
                </c:pt>
                <c:pt idx="10">
                  <c:v>1325881.7780000002</c:v>
                </c:pt>
                <c:pt idx="11">
                  <c:v>136252.47999999998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8D5-4656-B5E9-424259BEC499}"/>
            </c:ext>
          </c:extLst>
        </c:ser>
        <c:ser>
          <c:idx val="1"/>
          <c:order val="1"/>
          <c:tx>
            <c:strRef>
              <c:f>'FRAFU DEAL'!$M$156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'FRAFU DEAL'!$I$157:$I$168</c:f>
              <c:numCache>
                <c:formatCode>General</c:formatCode>
                <c:ptCount val="12"/>
                <c:pt idx="0">
                  <c:v>2006</c:v>
                </c:pt>
                <c:pt idx="1">
                  <c:v>2007</c:v>
                </c:pt>
                <c:pt idx="2">
                  <c:v>2010</c:v>
                </c:pt>
                <c:pt idx="3">
                  <c:v>2011</c:v>
                </c:pt>
                <c:pt idx="4">
                  <c:v>2012</c:v>
                </c:pt>
                <c:pt idx="5">
                  <c:v>2013</c:v>
                </c:pt>
                <c:pt idx="6">
                  <c:v>2014</c:v>
                </c:pt>
                <c:pt idx="7">
                  <c:v>2015</c:v>
                </c:pt>
                <c:pt idx="8">
                  <c:v>2016</c:v>
                </c:pt>
                <c:pt idx="9">
                  <c:v>2017</c:v>
                </c:pt>
                <c:pt idx="10">
                  <c:v>2018</c:v>
                </c:pt>
                <c:pt idx="11">
                  <c:v>2019</c:v>
                </c:pt>
              </c:numCache>
            </c:numRef>
          </c:cat>
          <c:val>
            <c:numRef>
              <c:f>'FRAFU DEAL'!$M$157:$M$168</c:f>
              <c:numCache>
                <c:formatCode>#\,##0.00\ _€</c:formatCode>
                <c:ptCount val="12"/>
                <c:pt idx="0">
                  <c:v>135000</c:v>
                </c:pt>
                <c:pt idx="1">
                  <c:v>1593157.8</c:v>
                </c:pt>
                <c:pt idx="2">
                  <c:v>63180</c:v>
                </c:pt>
                <c:pt idx="3">
                  <c:v>964320</c:v>
                </c:pt>
                <c:pt idx="4">
                  <c:v>1285783.17</c:v>
                </c:pt>
                <c:pt idx="5">
                  <c:v>655454.87</c:v>
                </c:pt>
                <c:pt idx="6">
                  <c:v>4460611.76</c:v>
                </c:pt>
                <c:pt idx="7">
                  <c:v>1769182.02</c:v>
                </c:pt>
                <c:pt idx="8">
                  <c:v>3898075.0300000003</c:v>
                </c:pt>
                <c:pt idx="9">
                  <c:v>2215954.2799999998</c:v>
                </c:pt>
                <c:pt idx="10">
                  <c:v>1554322.41</c:v>
                </c:pt>
                <c:pt idx="11">
                  <c:v>198720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E8D5-4656-B5E9-424259BEC499}"/>
            </c:ext>
          </c:extLst>
        </c:ser>
        <c:dLbls/>
        <c:gapWidth val="219"/>
        <c:overlap val="-27"/>
        <c:axId val="184706944"/>
        <c:axId val="184708480"/>
      </c:barChart>
      <c:catAx>
        <c:axId val="18470694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84708480"/>
        <c:crosses val="autoZero"/>
        <c:auto val="1"/>
        <c:lblAlgn val="ctr"/>
        <c:lblOffset val="100"/>
      </c:catAx>
      <c:valAx>
        <c:axId val="18470848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\ _€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847069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Appels de fonds LBU 2015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cat>
            <c:multiLvlStrRef>
              <c:f>'LBU DEAL'!$J$478:$J$489</c:f>
            </c:multiLvlStrRef>
          </c:cat>
          <c:val>
            <c:numRef>
              <c:f>'LBU DEAL'!$K$478:$K$489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BB6-4AD3-981C-14537701C395}"/>
            </c:ext>
          </c:extLst>
        </c:ser>
        <c:dLbls/>
        <c:gapWidth val="219"/>
        <c:overlap val="-27"/>
        <c:axId val="149766528"/>
        <c:axId val="149768064"/>
      </c:barChart>
      <c:catAx>
        <c:axId val="149766528"/>
        <c:scaling>
          <c:orientation val="minMax"/>
        </c:scaling>
        <c:axPos val="b"/>
        <c:numFmt formatCode="mmm\-yy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9768064"/>
        <c:crosses val="autoZero"/>
        <c:auto val="1"/>
        <c:lblAlgn val="ctr"/>
        <c:lblOffset val="100"/>
        <c:noMultiLvlLbl val="1"/>
      </c:catAx>
      <c:valAx>
        <c:axId val="14976806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97665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Appels de fonds LBU 2014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cat>
            <c:multiLvlStrRef>
              <c:f>'LBU DEAL'!$J$466:$J$477</c:f>
            </c:multiLvlStrRef>
          </c:cat>
          <c:val>
            <c:numRef>
              <c:f>'LBU DEAL'!$K$466:$K$477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B71-49AE-BACF-8A66622C0545}"/>
            </c:ext>
          </c:extLst>
        </c:ser>
        <c:dLbls/>
        <c:gapWidth val="219"/>
        <c:overlap val="-27"/>
        <c:axId val="149800832"/>
        <c:axId val="149802368"/>
      </c:barChart>
      <c:catAx>
        <c:axId val="149800832"/>
        <c:scaling>
          <c:orientation val="minMax"/>
        </c:scaling>
        <c:axPos val="b"/>
        <c:numFmt formatCode="mmm\-yy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9802368"/>
        <c:crosses val="autoZero"/>
        <c:auto val="1"/>
        <c:lblAlgn val="ctr"/>
        <c:lblOffset val="100"/>
        <c:noMultiLvlLbl val="1"/>
      </c:catAx>
      <c:valAx>
        <c:axId val="14980236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98008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 de fonds LBU 2016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cat>
            <c:multiLvlStrRef>
              <c:f>'LBU DEAL'!$J$490:$J$501</c:f>
            </c:multiLvlStrRef>
          </c:cat>
          <c:val>
            <c:numRef>
              <c:f>'LBU DEAL'!$K$490:$K$501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0BD-462B-BC2E-01D6ED103CD2}"/>
            </c:ext>
          </c:extLst>
        </c:ser>
        <c:dLbls/>
        <c:gapWidth val="219"/>
        <c:overlap val="-27"/>
        <c:axId val="150306176"/>
        <c:axId val="150320256"/>
      </c:barChart>
      <c:catAx>
        <c:axId val="150306176"/>
        <c:scaling>
          <c:orientation val="minMax"/>
        </c:scaling>
        <c:axPos val="b"/>
        <c:numFmt formatCode="mmm\-yy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0320256"/>
        <c:crosses val="autoZero"/>
        <c:auto val="1"/>
        <c:lblAlgn val="ctr"/>
        <c:lblOffset val="100"/>
        <c:noMultiLvlLbl val="1"/>
      </c:catAx>
      <c:valAx>
        <c:axId val="15032025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03061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Appels de fonds LBU 2013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cat>
            <c:multiLvlStrRef>
              <c:f>'LBU DEAL'!$J$454:$J$465</c:f>
            </c:multiLvlStrRef>
          </c:cat>
          <c:val>
            <c:numRef>
              <c:f>'LBU DEAL'!$K$454:$K$465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D04-4518-A875-BEAF77073647}"/>
            </c:ext>
          </c:extLst>
        </c:ser>
        <c:dLbls/>
        <c:gapWidth val="219"/>
        <c:overlap val="-27"/>
        <c:axId val="150332544"/>
        <c:axId val="150334080"/>
      </c:barChart>
      <c:catAx>
        <c:axId val="150332544"/>
        <c:scaling>
          <c:orientation val="minMax"/>
        </c:scaling>
        <c:axPos val="b"/>
        <c:numFmt formatCode="mmm\-yy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0334080"/>
        <c:crosses val="autoZero"/>
        <c:auto val="1"/>
        <c:lblAlgn val="ctr"/>
        <c:lblOffset val="100"/>
        <c:noMultiLvlLbl val="1"/>
      </c:catAx>
      <c:valAx>
        <c:axId val="15033408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03325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Appels de fonds LBU 2012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cat>
            <c:multiLvlStrRef>
              <c:f>'LBU DEAL'!$J$442:$J$453</c:f>
            </c:multiLvlStrRef>
          </c:cat>
          <c:val>
            <c:numRef>
              <c:f>'LBU DEAL'!$K$442:$K$453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DCE-4766-A0BB-E04DFC6FE1EE}"/>
            </c:ext>
          </c:extLst>
        </c:ser>
        <c:dLbls/>
        <c:gapWidth val="219"/>
        <c:overlap val="-27"/>
        <c:axId val="150817408"/>
        <c:axId val="150831488"/>
      </c:barChart>
      <c:catAx>
        <c:axId val="150817408"/>
        <c:scaling>
          <c:orientation val="minMax"/>
        </c:scaling>
        <c:axPos val="b"/>
        <c:numFmt formatCode="mmm\-yy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0831488"/>
        <c:crosses val="autoZero"/>
        <c:auto val="1"/>
        <c:lblAlgn val="ctr"/>
        <c:lblOffset val="100"/>
        <c:noMultiLvlLbl val="1"/>
      </c:catAx>
      <c:valAx>
        <c:axId val="15083148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08174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'LBU DEAL'!$K$401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dPt>
            <c:idx val="1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57CE-44DB-A67B-1293AF4E4504}"/>
              </c:ext>
            </c:extLst>
          </c:dPt>
          <c:cat>
            <c:numRef>
              <c:f>'LBU DEAL'!$J$402:$J$412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DEAL'!$K$402:$K$412</c:f>
              <c:numCache>
                <c:formatCode>#\,##0.00\ _€</c:formatCode>
                <c:ptCount val="11"/>
                <c:pt idx="0">
                  <c:v>0</c:v>
                </c:pt>
                <c:pt idx="1">
                  <c:v>2578304.0300000003</c:v>
                </c:pt>
                <c:pt idx="2">
                  <c:v>1379921.74</c:v>
                </c:pt>
                <c:pt idx="3">
                  <c:v>2290444.0999999996</c:v>
                </c:pt>
                <c:pt idx="4">
                  <c:v>2713185.75</c:v>
                </c:pt>
                <c:pt idx="5">
                  <c:v>2180533.38</c:v>
                </c:pt>
                <c:pt idx="6">
                  <c:v>3885594.4799999995</c:v>
                </c:pt>
                <c:pt idx="7">
                  <c:v>2177727.7512000003</c:v>
                </c:pt>
                <c:pt idx="8">
                  <c:v>3905691.3887999998</c:v>
                </c:pt>
                <c:pt idx="9">
                  <c:v>3811521.15</c:v>
                </c:pt>
                <c:pt idx="10">
                  <c:v>1060448.2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57CE-44DB-A67B-1293AF4E4504}"/>
            </c:ext>
          </c:extLst>
        </c:ser>
        <c:ser>
          <c:idx val="1"/>
          <c:order val="1"/>
          <c:tx>
            <c:strRef>
              <c:f>'LBU DEAL'!$N$401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'LBU DEAL'!$J$402:$J$412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DEAL'!$N$402:$N$412</c:f>
              <c:numCache>
                <c:formatCode>#\,##0.00\ _€</c:formatCode>
                <c:ptCount val="11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3536728.59</c:v>
                </c:pt>
                <c:pt idx="9">
                  <c:v>4229192.16</c:v>
                </c:pt>
                <c:pt idx="10">
                  <c:v>570865.69999999995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57CE-44DB-A67B-1293AF4E4504}"/>
            </c:ext>
          </c:extLst>
        </c:ser>
        <c:dLbls/>
        <c:gapWidth val="219"/>
        <c:overlap val="-27"/>
        <c:axId val="150932096"/>
        <c:axId val="150946176"/>
      </c:barChart>
      <c:catAx>
        <c:axId val="15093209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0946176"/>
        <c:crosses val="autoZero"/>
        <c:auto val="1"/>
        <c:lblAlgn val="ctr"/>
        <c:lblOffset val="100"/>
      </c:catAx>
      <c:valAx>
        <c:axId val="15094617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\ _€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09320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 de fonds LBU 2017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cat>
            <c:multiLvlStrRef>
              <c:f>'LBU DEAL'!$J$502:$J$513</c:f>
            </c:multiLvlStrRef>
          </c:cat>
          <c:val>
            <c:numRef>
              <c:f>'LBU DEAL'!$K$502:$K$513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2E8-4AB2-8244-D715BE4D08B8}"/>
            </c:ext>
          </c:extLst>
        </c:ser>
        <c:dLbls/>
        <c:gapWidth val="219"/>
        <c:overlap val="-27"/>
        <c:axId val="150967040"/>
        <c:axId val="150968576"/>
      </c:barChart>
      <c:catAx>
        <c:axId val="150967040"/>
        <c:scaling>
          <c:orientation val="minMax"/>
        </c:scaling>
        <c:axPos val="b"/>
        <c:numFmt formatCode="mmm\-yy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0968576"/>
        <c:crosses val="autoZero"/>
        <c:auto val="1"/>
        <c:lblAlgn val="ctr"/>
        <c:lblOffset val="100"/>
        <c:noMultiLvlLbl val="1"/>
      </c:catAx>
      <c:valAx>
        <c:axId val="15096857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09670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 de fonds LBU 2018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cat>
            <c:multiLvlStrRef>
              <c:f>'LBU DEAL'!$J$514:$J$525</c:f>
            </c:multiLvlStrRef>
          </c:cat>
          <c:val>
            <c:numRef>
              <c:f>'LBU DEAL'!$K$514:$K$525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4DA-4A80-93CF-98F334F7E9CB}"/>
            </c:ext>
          </c:extLst>
        </c:ser>
        <c:dLbls/>
        <c:gapWidth val="219"/>
        <c:overlap val="-27"/>
        <c:axId val="150989056"/>
        <c:axId val="150990848"/>
      </c:barChart>
      <c:catAx>
        <c:axId val="150989056"/>
        <c:scaling>
          <c:orientation val="minMax"/>
        </c:scaling>
        <c:axPos val="b"/>
        <c:numFmt formatCode="mmm\-yy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0990848"/>
        <c:crosses val="autoZero"/>
        <c:auto val="1"/>
        <c:lblAlgn val="ctr"/>
        <c:lblOffset val="100"/>
      </c:catAx>
      <c:valAx>
        <c:axId val="15099084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09890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'LBU DEAL'!$K$401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dPt>
            <c:idx val="1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D552-4D21-AB14-8A9CA8646857}"/>
              </c:ext>
            </c:extLst>
          </c:dPt>
          <c:cat>
            <c:numRef>
              <c:f>'LBU DEAL'!$J$402:$J$410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DEAL'!$K$402:$K$410</c:f>
              <c:numCache>
                <c:formatCode>#\,##0.00\ _€</c:formatCode>
                <c:ptCount val="9"/>
                <c:pt idx="0">
                  <c:v>0</c:v>
                </c:pt>
                <c:pt idx="1">
                  <c:v>2578304.0300000003</c:v>
                </c:pt>
                <c:pt idx="2">
                  <c:v>1379921.74</c:v>
                </c:pt>
                <c:pt idx="3">
                  <c:v>2290444.0999999996</c:v>
                </c:pt>
                <c:pt idx="4">
                  <c:v>2713185.75</c:v>
                </c:pt>
                <c:pt idx="5">
                  <c:v>2180533.38</c:v>
                </c:pt>
                <c:pt idx="6">
                  <c:v>3885594.4799999995</c:v>
                </c:pt>
                <c:pt idx="7">
                  <c:v>2177727.7512000003</c:v>
                </c:pt>
                <c:pt idx="8">
                  <c:v>3905691.3887999998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D552-4D21-AB14-8A9CA8646857}"/>
            </c:ext>
          </c:extLst>
        </c:ser>
        <c:ser>
          <c:idx val="1"/>
          <c:order val="1"/>
          <c:tx>
            <c:strRef>
              <c:f>'LBU DEAL'!$N$401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'LBU DEAL'!$J$402:$J$410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DEAL'!$N$402:$N$410</c:f>
              <c:numCache>
                <c:formatCode>#\,##0.00\ _€</c:formatCode>
                <c:ptCount val="9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3536728.59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D552-4D21-AB14-8A9CA8646857}"/>
            </c:ext>
          </c:extLst>
        </c:ser>
        <c:dLbls/>
        <c:gapWidth val="219"/>
        <c:overlap val="-27"/>
        <c:axId val="151218816"/>
        <c:axId val="151228800"/>
      </c:barChart>
      <c:catAx>
        <c:axId val="15121881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1228800"/>
        <c:crosses val="autoZero"/>
        <c:auto val="1"/>
        <c:lblAlgn val="ctr"/>
        <c:lblOffset val="100"/>
      </c:catAx>
      <c:valAx>
        <c:axId val="15122880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\ _€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12188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'LBU DEAL'!$K$401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dPt>
            <c:idx val="1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6F8A-418F-8356-91945F5764A6}"/>
              </c:ext>
            </c:extLst>
          </c:dPt>
          <c:cat>
            <c:numRef>
              <c:f>'LBU DEAL'!$J$402:$J$410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DEAL'!$K$402:$K$410</c:f>
              <c:numCache>
                <c:formatCode>#\,##0.00\ _€</c:formatCode>
                <c:ptCount val="9"/>
                <c:pt idx="0">
                  <c:v>0</c:v>
                </c:pt>
                <c:pt idx="1">
                  <c:v>2578304.0300000003</c:v>
                </c:pt>
                <c:pt idx="2">
                  <c:v>1379921.74</c:v>
                </c:pt>
                <c:pt idx="3">
                  <c:v>2290444.0999999996</c:v>
                </c:pt>
                <c:pt idx="4">
                  <c:v>2713185.75</c:v>
                </c:pt>
                <c:pt idx="5">
                  <c:v>2180533.38</c:v>
                </c:pt>
                <c:pt idx="6">
                  <c:v>3885594.4799999995</c:v>
                </c:pt>
                <c:pt idx="7">
                  <c:v>2177727.7512000003</c:v>
                </c:pt>
                <c:pt idx="8">
                  <c:v>3905691.3887999998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6F8A-418F-8356-91945F5764A6}"/>
            </c:ext>
          </c:extLst>
        </c:ser>
        <c:ser>
          <c:idx val="1"/>
          <c:order val="1"/>
          <c:tx>
            <c:strRef>
              <c:f>'LBU DEAL'!$N$401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'LBU DEAL'!$J$402:$J$410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DEAL'!$N$402:$N$410</c:f>
              <c:numCache>
                <c:formatCode>#\,##0.00\ _€</c:formatCode>
                <c:ptCount val="9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3536728.59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6F8A-418F-8356-91945F5764A6}"/>
            </c:ext>
          </c:extLst>
        </c:ser>
        <c:dLbls/>
        <c:gapWidth val="219"/>
        <c:overlap val="-27"/>
        <c:axId val="151256064"/>
        <c:axId val="151257856"/>
      </c:barChart>
      <c:catAx>
        <c:axId val="15125606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1257856"/>
        <c:crosses val="autoZero"/>
        <c:auto val="1"/>
        <c:lblAlgn val="ctr"/>
        <c:lblOffset val="100"/>
      </c:catAx>
      <c:valAx>
        <c:axId val="15125785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\ _€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12560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REHAB</a:t>
            </a:r>
            <a:r>
              <a:rPr lang="fr-FR" baseline="0"/>
              <a:t> appelé / payé</a:t>
            </a:r>
            <a:endParaRPr lang="fr-FR"/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'LBU REHAB'!$K$53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cat>
            <c:numRef>
              <c:f>'LBU REHAB'!$I$54:$I$55</c:f>
              <c:numCache>
                <c:formatCode>General</c:formatCode>
                <c:ptCount val="2"/>
                <c:pt idx="0">
                  <c:v>2018</c:v>
                </c:pt>
                <c:pt idx="1">
                  <c:v>2019</c:v>
                </c:pt>
              </c:numCache>
            </c:numRef>
          </c:cat>
          <c:val>
            <c:numRef>
              <c:f>'LBU REHAB'!$K$54:$K$55</c:f>
              <c:numCache>
                <c:formatCode>#\,##0.00\ _€</c:formatCode>
                <c:ptCount val="2"/>
                <c:pt idx="0">
                  <c:v>244390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EF5-4059-9A75-7D1AD182E63B}"/>
            </c:ext>
          </c:extLst>
        </c:ser>
        <c:ser>
          <c:idx val="1"/>
          <c:order val="1"/>
          <c:tx>
            <c:strRef>
              <c:f>'LBU REHAB'!$N$53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'LBU REHAB'!$I$54:$I$55</c:f>
              <c:numCache>
                <c:formatCode>General</c:formatCode>
                <c:ptCount val="2"/>
                <c:pt idx="0">
                  <c:v>2018</c:v>
                </c:pt>
                <c:pt idx="1">
                  <c:v>2019</c:v>
                </c:pt>
              </c:numCache>
            </c:numRef>
          </c:cat>
          <c:val>
            <c:numRef>
              <c:f>'LBU REHAB'!$N$54:$N$55</c:f>
              <c:numCache>
                <c:formatCode>#\,##0.00\ _€</c:formatCode>
                <c:ptCount val="2"/>
                <c:pt idx="0">
                  <c:v>244390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5EF5-4059-9A75-7D1AD182E63B}"/>
            </c:ext>
          </c:extLst>
        </c:ser>
        <c:dLbls/>
        <c:gapWidth val="219"/>
        <c:overlap val="-27"/>
        <c:axId val="151308928"/>
        <c:axId val="151323008"/>
      </c:barChart>
      <c:catAx>
        <c:axId val="15130892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1323008"/>
        <c:crosses val="autoZero"/>
        <c:auto val="1"/>
        <c:lblAlgn val="ctr"/>
        <c:lblOffset val="100"/>
      </c:catAx>
      <c:valAx>
        <c:axId val="15132300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\ _€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13089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ST LEU appelé / payé</a:t>
            </a:r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'ST LEU'!$K$57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cat>
            <c:numRef>
              <c:f>'ST LEU'!$J$58:$J$64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'ST LEU'!$K$58:$K$64</c:f>
              <c:numCache>
                <c:formatCode>#'##0.00</c:formatCode>
                <c:ptCount val="7"/>
                <c:pt idx="0">
                  <c:v>369138.64</c:v>
                </c:pt>
                <c:pt idx="1">
                  <c:v>328396.61000000004</c:v>
                </c:pt>
                <c:pt idx="2">
                  <c:v>3077009.68</c:v>
                </c:pt>
                <c:pt idx="3">
                  <c:v>443115.66000000003</c:v>
                </c:pt>
                <c:pt idx="4">
                  <c:v>0</c:v>
                </c:pt>
                <c:pt idx="5">
                  <c:v>41383.379999999997</c:v>
                </c:pt>
                <c:pt idx="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4F5-46FC-808B-72B342D662C3}"/>
            </c:ext>
          </c:extLst>
        </c:ser>
        <c:ser>
          <c:idx val="1"/>
          <c:order val="1"/>
          <c:tx>
            <c:strRef>
              <c:f>'ST LEU'!$L$57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'ST LEU'!$J$58:$J$64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'ST LEU'!$L$58:$L$64</c:f>
              <c:numCache>
                <c:formatCode>#'##0.00</c:formatCode>
                <c:ptCount val="7"/>
                <c:pt idx="0">
                  <c:v>23978.81</c:v>
                </c:pt>
                <c:pt idx="1">
                  <c:v>91990.6</c:v>
                </c:pt>
                <c:pt idx="2">
                  <c:v>71936.430000000008</c:v>
                </c:pt>
                <c:pt idx="3">
                  <c:v>827337.32000000007</c:v>
                </c:pt>
                <c:pt idx="4">
                  <c:v>1442192.77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E4F5-46FC-808B-72B342D662C3}"/>
            </c:ext>
          </c:extLst>
        </c:ser>
        <c:dLbls/>
        <c:gapWidth val="219"/>
        <c:overlap val="-27"/>
        <c:axId val="153279104"/>
        <c:axId val="153452928"/>
      </c:barChart>
      <c:catAx>
        <c:axId val="15327910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3452928"/>
        <c:crosses val="autoZero"/>
        <c:auto val="1"/>
        <c:lblAlgn val="ctr"/>
        <c:lblOffset val="100"/>
      </c:catAx>
      <c:valAx>
        <c:axId val="15345292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'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32791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CAF appelé / payé</a:t>
            </a:r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CAF!$M$47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cat>
            <c:numRef>
              <c:f>CAF!$L$48:$L$54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CAF!$M$48:$M$54</c:f>
              <c:numCache>
                <c:formatCode>#'##0</c:formatCode>
                <c:ptCount val="7"/>
                <c:pt idx="0">
                  <c:v>28000</c:v>
                </c:pt>
                <c:pt idx="1">
                  <c:v>175000</c:v>
                </c:pt>
                <c:pt idx="2">
                  <c:v>190000</c:v>
                </c:pt>
                <c:pt idx="3">
                  <c:v>269500</c:v>
                </c:pt>
                <c:pt idx="4">
                  <c:v>135000</c:v>
                </c:pt>
                <c:pt idx="5">
                  <c:v>288000</c:v>
                </c:pt>
                <c:pt idx="6">
                  <c:v>124500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93C-4B17-8490-5598FDD3A308}"/>
            </c:ext>
          </c:extLst>
        </c:ser>
        <c:ser>
          <c:idx val="1"/>
          <c:order val="1"/>
          <c:tx>
            <c:strRef>
              <c:f>CAF!$N$47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CAF!$L$48:$L$54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CAF!$N$48:$N$54</c:f>
              <c:numCache>
                <c:formatCode>#'##0</c:formatCode>
                <c:ptCount val="7"/>
                <c:pt idx="0">
                  <c:v>28000</c:v>
                </c:pt>
                <c:pt idx="1">
                  <c:v>175000</c:v>
                </c:pt>
                <c:pt idx="2">
                  <c:v>136000</c:v>
                </c:pt>
                <c:pt idx="3">
                  <c:v>290500</c:v>
                </c:pt>
                <c:pt idx="4">
                  <c:v>168000</c:v>
                </c:pt>
                <c:pt idx="5">
                  <c:v>288000</c:v>
                </c:pt>
                <c:pt idx="6">
                  <c:v>124500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93C-4B17-8490-5598FDD3A308}"/>
            </c:ext>
          </c:extLst>
        </c:ser>
        <c:dLbls/>
        <c:gapWidth val="219"/>
        <c:overlap val="-27"/>
        <c:axId val="162339840"/>
        <c:axId val="162366208"/>
      </c:barChart>
      <c:catAx>
        <c:axId val="16233984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2366208"/>
        <c:crosses val="autoZero"/>
        <c:auto val="1"/>
        <c:lblAlgn val="ctr"/>
        <c:lblOffset val="100"/>
      </c:catAx>
      <c:valAx>
        <c:axId val="16236620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'##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23398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REGION appelé / payé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REGION!$I$33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cat>
            <c:numRef>
              <c:f>REGION!$H$34:$H$42</c:f>
              <c:numCache>
                <c:formatCode>General</c:formatCode>
                <c:ptCount val="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</c:numCache>
            </c:numRef>
          </c:cat>
          <c:val>
            <c:numRef>
              <c:f>REGION!$I$34:$I$42</c:f>
              <c:numCache>
                <c:formatCode>#'##0.00</c:formatCode>
                <c:ptCount val="9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94683.18</c:v>
                </c:pt>
                <c:pt idx="4">
                  <c:v>544244.53</c:v>
                </c:pt>
                <c:pt idx="5">
                  <c:v>205000</c:v>
                </c:pt>
                <c:pt idx="6">
                  <c:v>0</c:v>
                </c:pt>
                <c:pt idx="7">
                  <c:v>941484.5</c:v>
                </c:pt>
                <c:pt idx="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143-45BE-A369-5380E234C856}"/>
            </c:ext>
          </c:extLst>
        </c:ser>
        <c:ser>
          <c:idx val="1"/>
          <c:order val="1"/>
          <c:tx>
            <c:strRef>
              <c:f>REGION!$L$33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REGION!$H$34:$H$42</c:f>
              <c:numCache>
                <c:formatCode>General</c:formatCode>
                <c:ptCount val="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</c:numCache>
            </c:numRef>
          </c:cat>
          <c:val>
            <c:numRef>
              <c:f>REGION!$L$34:$L$42</c:f>
              <c:numCache>
                <c:formatCode>#'##0.00</c:formatCode>
                <c:ptCount val="9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0</c:v>
                </c:pt>
                <c:pt idx="4">
                  <c:v>614035.68000000005</c:v>
                </c:pt>
                <c:pt idx="5">
                  <c:v>105000</c:v>
                </c:pt>
                <c:pt idx="6">
                  <c:v>100000</c:v>
                </c:pt>
                <c:pt idx="7">
                  <c:v>941484.5</c:v>
                </c:pt>
                <c:pt idx="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2143-45BE-A369-5380E234C856}"/>
            </c:ext>
          </c:extLst>
        </c:ser>
        <c:dLbls/>
        <c:gapWidth val="219"/>
        <c:overlap val="-27"/>
        <c:axId val="162622464"/>
        <c:axId val="162648832"/>
      </c:barChart>
      <c:catAx>
        <c:axId val="16262246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2648832"/>
        <c:crosses val="autoZero"/>
        <c:auto val="1"/>
        <c:lblAlgn val="ctr"/>
        <c:lblOffset val="100"/>
      </c:catAx>
      <c:valAx>
        <c:axId val="16264883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'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26224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REGION appelé / payé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REGION!$I$33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cat>
            <c:numRef>
              <c:f>REGION!$H$34:$H$40</c:f>
              <c:numCache>
                <c:formatCode>General</c:formatCode>
                <c:ptCount val="7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</c:numCache>
            </c:numRef>
          </c:cat>
          <c:val>
            <c:numRef>
              <c:f>REGION!$I$34:$I$40</c:f>
              <c:numCache>
                <c:formatCode>#'##0.00</c:formatCode>
                <c:ptCount val="7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94683.18</c:v>
                </c:pt>
                <c:pt idx="4">
                  <c:v>544244.53</c:v>
                </c:pt>
                <c:pt idx="5">
                  <c:v>205000</c:v>
                </c:pt>
                <c:pt idx="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D8C-410A-9BAD-42F21511CB76}"/>
            </c:ext>
          </c:extLst>
        </c:ser>
        <c:ser>
          <c:idx val="1"/>
          <c:order val="1"/>
          <c:tx>
            <c:strRef>
              <c:f>REGION!$L$33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REGION!$H$34:$H$40</c:f>
              <c:numCache>
                <c:formatCode>General</c:formatCode>
                <c:ptCount val="7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</c:numCache>
            </c:numRef>
          </c:cat>
          <c:val>
            <c:numRef>
              <c:f>REGION!$L$34:$L$40</c:f>
              <c:numCache>
                <c:formatCode>#'##0.00</c:formatCode>
                <c:ptCount val="7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0</c:v>
                </c:pt>
                <c:pt idx="4">
                  <c:v>614035.68000000005</c:v>
                </c:pt>
                <c:pt idx="5">
                  <c:v>105000</c:v>
                </c:pt>
                <c:pt idx="6">
                  <c:v>100000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FD8C-410A-9BAD-42F21511CB76}"/>
            </c:ext>
          </c:extLst>
        </c:ser>
        <c:dLbls/>
        <c:gapWidth val="219"/>
        <c:overlap val="-27"/>
        <c:axId val="162757632"/>
        <c:axId val="162771712"/>
      </c:barChart>
      <c:catAx>
        <c:axId val="16275763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2771712"/>
        <c:crosses val="autoZero"/>
        <c:auto val="1"/>
        <c:lblAlgn val="ctr"/>
        <c:lblOffset val="100"/>
      </c:catAx>
      <c:valAx>
        <c:axId val="16277171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'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27576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0.xml"/><Relationship Id="rId3" Type="http://schemas.openxmlformats.org/officeDocument/2006/relationships/chart" Target="../charts/chart5.xml"/><Relationship Id="rId7" Type="http://schemas.openxmlformats.org/officeDocument/2006/relationships/chart" Target="../charts/chart9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Relationship Id="rId6" Type="http://schemas.openxmlformats.org/officeDocument/2006/relationships/chart" Target="../charts/chart8.xml"/><Relationship Id="rId5" Type="http://schemas.openxmlformats.org/officeDocument/2006/relationships/chart" Target="../charts/chart7.xml"/><Relationship Id="rId4" Type="http://schemas.openxmlformats.org/officeDocument/2006/relationships/chart" Target="../charts/chart6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3.xml"/><Relationship Id="rId2" Type="http://schemas.openxmlformats.org/officeDocument/2006/relationships/chart" Target="../charts/chart12.xml"/><Relationship Id="rId1" Type="http://schemas.openxmlformats.org/officeDocument/2006/relationships/chart" Target="../charts/chart11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5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6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155791</xdr:colOff>
      <xdr:row>3</xdr:row>
      <xdr:rowOff>43594</xdr:rowOff>
    </xdr:from>
    <xdr:to>
      <xdr:col>14</xdr:col>
      <xdr:colOff>863362</xdr:colOff>
      <xdr:row>14</xdr:row>
      <xdr:rowOff>163286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502265</xdr:colOff>
      <xdr:row>153</xdr:row>
      <xdr:rowOff>146397</xdr:rowOff>
    </xdr:from>
    <xdr:to>
      <xdr:col>6</xdr:col>
      <xdr:colOff>896470</xdr:colOff>
      <xdr:row>169</xdr:row>
      <xdr:rowOff>134472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96493</xdr:colOff>
      <xdr:row>476</xdr:row>
      <xdr:rowOff>129988</xdr:rowOff>
    </xdr:from>
    <xdr:to>
      <xdr:col>17</xdr:col>
      <xdr:colOff>440871</xdr:colOff>
      <xdr:row>489</xdr:row>
      <xdr:rowOff>46264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243568</xdr:colOff>
      <xdr:row>464</xdr:row>
      <xdr:rowOff>130628</xdr:rowOff>
    </xdr:from>
    <xdr:to>
      <xdr:col>6</xdr:col>
      <xdr:colOff>1061357</xdr:colOff>
      <xdr:row>476</xdr:row>
      <xdr:rowOff>117021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243568</xdr:colOff>
      <xdr:row>489</xdr:row>
      <xdr:rowOff>43542</xdr:rowOff>
    </xdr:from>
    <xdr:to>
      <xdr:col>6</xdr:col>
      <xdr:colOff>1028700</xdr:colOff>
      <xdr:row>501</xdr:row>
      <xdr:rowOff>114300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104774</xdr:colOff>
      <xdr:row>452</xdr:row>
      <xdr:rowOff>129269</xdr:rowOff>
    </xdr:from>
    <xdr:to>
      <xdr:col>17</xdr:col>
      <xdr:colOff>363311</xdr:colOff>
      <xdr:row>465</xdr:row>
      <xdr:rowOff>14968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229961</xdr:colOff>
      <xdr:row>440</xdr:row>
      <xdr:rowOff>119742</xdr:rowOff>
    </xdr:from>
    <xdr:to>
      <xdr:col>6</xdr:col>
      <xdr:colOff>1015093</xdr:colOff>
      <xdr:row>453</xdr:row>
      <xdr:rowOff>89805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842282</xdr:colOff>
      <xdr:row>399</xdr:row>
      <xdr:rowOff>106136</xdr:rowOff>
    </xdr:from>
    <xdr:to>
      <xdr:col>7</xdr:col>
      <xdr:colOff>466725</xdr:colOff>
      <xdr:row>417</xdr:row>
      <xdr:rowOff>148318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14</xdr:col>
      <xdr:colOff>238125</xdr:colOff>
      <xdr:row>500</xdr:row>
      <xdr:rowOff>95251</xdr:rowOff>
    </xdr:from>
    <xdr:to>
      <xdr:col>17</xdr:col>
      <xdr:colOff>0</xdr:colOff>
      <xdr:row>513</xdr:row>
      <xdr:rowOff>19051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3</xdr:col>
      <xdr:colOff>733425</xdr:colOff>
      <xdr:row>512</xdr:row>
      <xdr:rowOff>57150</xdr:rowOff>
    </xdr:from>
    <xdr:to>
      <xdr:col>6</xdr:col>
      <xdr:colOff>981075</xdr:colOff>
      <xdr:row>524</xdr:row>
      <xdr:rowOff>133350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585107</xdr:colOff>
      <xdr:row>50</xdr:row>
      <xdr:rowOff>96611</xdr:rowOff>
    </xdr:from>
    <xdr:to>
      <xdr:col>24</xdr:col>
      <xdr:colOff>95250</xdr:colOff>
      <xdr:row>51</xdr:row>
      <xdr:rowOff>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18</xdr:col>
      <xdr:colOff>585107</xdr:colOff>
      <xdr:row>50</xdr:row>
      <xdr:rowOff>96611</xdr:rowOff>
    </xdr:from>
    <xdr:to>
      <xdr:col>24</xdr:col>
      <xdr:colOff>95250</xdr:colOff>
      <xdr:row>51</xdr:row>
      <xdr:rowOff>0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516272</xdr:colOff>
      <xdr:row>52</xdr:row>
      <xdr:rowOff>31215</xdr:rowOff>
    </xdr:from>
    <xdr:to>
      <xdr:col>6</xdr:col>
      <xdr:colOff>86043</xdr:colOff>
      <xdr:row>68</xdr:row>
      <xdr:rowOff>32897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276225</xdr:colOff>
      <xdr:row>66</xdr:row>
      <xdr:rowOff>42862</xdr:rowOff>
    </xdr:from>
    <xdr:to>
      <xdr:col>13</xdr:col>
      <xdr:colOff>723900</xdr:colOff>
      <xdr:row>85</xdr:row>
      <xdr:rowOff>42862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251731</xdr:colOff>
      <xdr:row>55</xdr:row>
      <xdr:rowOff>104774</xdr:rowOff>
    </xdr:from>
    <xdr:to>
      <xdr:col>15</xdr:col>
      <xdr:colOff>687160</xdr:colOff>
      <xdr:row>74</xdr:row>
      <xdr:rowOff>4081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1032623</xdr:colOff>
      <xdr:row>31</xdr:row>
      <xdr:rowOff>78448</xdr:rowOff>
    </xdr:from>
    <xdr:to>
      <xdr:col>5</xdr:col>
      <xdr:colOff>381000</xdr:colOff>
      <xdr:row>44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565898</xdr:colOff>
      <xdr:row>15</xdr:row>
      <xdr:rowOff>0</xdr:rowOff>
    </xdr:from>
    <xdr:to>
      <xdr:col>17</xdr:col>
      <xdr:colOff>308162</xdr:colOff>
      <xdr:row>15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54"/>
  <sheetViews>
    <sheetView topLeftCell="A21" zoomScale="70" zoomScaleNormal="70" workbookViewId="0">
      <selection activeCell="K50" sqref="K50"/>
    </sheetView>
  </sheetViews>
  <sheetFormatPr defaultColWidth="11.42578125" defaultRowHeight="12.75"/>
  <cols>
    <col min="1" max="1" width="16.42578125" customWidth="1"/>
    <col min="2" max="2" width="15.140625" customWidth="1"/>
    <col min="3" max="3" width="19.5703125" customWidth="1"/>
    <col min="4" max="4" width="18.42578125" customWidth="1"/>
    <col min="5" max="5" width="16.42578125" customWidth="1"/>
    <col min="6" max="6" width="15" customWidth="1"/>
    <col min="7" max="7" width="14.140625" customWidth="1"/>
    <col min="8" max="8" width="16.140625" customWidth="1"/>
    <col min="10" max="10" width="15.7109375" customWidth="1"/>
    <col min="11" max="11" width="17.7109375" customWidth="1"/>
    <col min="12" max="12" width="14.5703125" bestFit="1" customWidth="1"/>
    <col min="13" max="14" width="15.5703125" customWidth="1"/>
    <col min="15" max="15" width="16.5703125" customWidth="1"/>
    <col min="16" max="16" width="14.85546875" customWidth="1"/>
    <col min="17" max="17" width="15.140625" customWidth="1"/>
    <col min="18" max="18" width="14.28515625" bestFit="1" customWidth="1"/>
    <col min="19" max="19" width="14.42578125" customWidth="1"/>
  </cols>
  <sheetData>
    <row r="1" spans="1:7" ht="27.75" customHeight="1">
      <c r="B1" s="494" t="s">
        <v>89</v>
      </c>
      <c r="C1" s="494" t="s">
        <v>90</v>
      </c>
      <c r="D1" s="494" t="s">
        <v>108</v>
      </c>
      <c r="E1" s="494" t="s">
        <v>19</v>
      </c>
    </row>
    <row r="2" spans="1:7" ht="21.75" customHeight="1">
      <c r="A2" s="495" t="s">
        <v>106</v>
      </c>
      <c r="B2" s="93">
        <f>'FRAFU DEAL'!H153</f>
        <v>26941524.539999999</v>
      </c>
      <c r="C2" s="93">
        <f>'FRAFU DEAL'!M153</f>
        <v>18793761.34</v>
      </c>
      <c r="D2" s="93">
        <f>'FRAFU DEAL'!P153</f>
        <v>712517.91999999993</v>
      </c>
      <c r="E2" s="93">
        <f>'FRAFU DEAL'!Q153</f>
        <v>7397110.4580000006</v>
      </c>
      <c r="F2" s="197">
        <f t="shared" ref="F2:F15" si="0">B2-(C2+D2+E2)</f>
        <v>38134.822000000626</v>
      </c>
      <c r="G2" s="440" t="s">
        <v>289</v>
      </c>
    </row>
    <row r="3" spans="1:7" ht="21.75" customHeight="1">
      <c r="A3" s="185" t="s">
        <v>105</v>
      </c>
      <c r="B3" s="95">
        <f>'LBU DEAL'!I398</f>
        <v>38901471</v>
      </c>
      <c r="C3" s="95">
        <f>'LBU DEAL'!N398</f>
        <v>25452869</v>
      </c>
      <c r="D3" s="95">
        <f>'LBU DEAL'!Q398</f>
        <v>523812</v>
      </c>
      <c r="E3" s="95">
        <f>'LBU DEAL'!R398</f>
        <v>12924786</v>
      </c>
      <c r="F3" s="197">
        <f t="shared" si="0"/>
        <v>4</v>
      </c>
    </row>
    <row r="4" spans="1:7" ht="21.75" customHeight="1">
      <c r="A4" s="94" t="s">
        <v>82</v>
      </c>
      <c r="B4" s="95">
        <f>'ST LEU'!D38+'ST LEU'!D40</f>
        <v>4270508.2799999993</v>
      </c>
      <c r="C4" s="95">
        <f>'ST LEU'!H38+'ST LEU'!H46</f>
        <v>3896551.0100000002</v>
      </c>
      <c r="D4" s="95">
        <f>'ST LEU'!K38+'ST LEU'!K46</f>
        <v>551506.14</v>
      </c>
      <c r="E4" s="95">
        <f>'ST LEU'!L38+'ST LEU'!L46</f>
        <v>0</v>
      </c>
      <c r="F4" s="197">
        <f t="shared" si="0"/>
        <v>-177548.87000000104</v>
      </c>
      <c r="G4" s="440" t="s">
        <v>290</v>
      </c>
    </row>
    <row r="5" spans="1:7" ht="21.75" customHeight="1">
      <c r="A5" s="94" t="s">
        <v>84</v>
      </c>
      <c r="B5" s="95">
        <f>CAF!E42</f>
        <v>1370000</v>
      </c>
      <c r="C5" s="95">
        <f>CAF!J42</f>
        <v>1210000</v>
      </c>
      <c r="D5" s="95">
        <f>CAF!M42</f>
        <v>0</v>
      </c>
      <c r="E5" s="95">
        <f>CAF!N42</f>
        <v>160000</v>
      </c>
      <c r="F5" s="197">
        <f t="shared" si="0"/>
        <v>0</v>
      </c>
    </row>
    <row r="6" spans="1:7" ht="21.75" customHeight="1">
      <c r="A6" s="94" t="s">
        <v>87</v>
      </c>
      <c r="B6" s="95">
        <f>REGION!G30</f>
        <v>3829151.42</v>
      </c>
      <c r="C6" s="95">
        <f>REGION!L30</f>
        <v>2700924.08</v>
      </c>
      <c r="D6" s="95">
        <f>REGION!O30</f>
        <v>18394.199999999953</v>
      </c>
      <c r="E6" s="95">
        <f>REGION!P30</f>
        <v>941484.5</v>
      </c>
      <c r="F6" s="197">
        <f t="shared" si="0"/>
        <v>168348.63999999966</v>
      </c>
      <c r="G6" s="440" t="s">
        <v>291</v>
      </c>
    </row>
    <row r="7" spans="1:7" ht="21.75" customHeight="1">
      <c r="A7" s="94" t="s">
        <v>86</v>
      </c>
      <c r="B7" s="95">
        <f>DIECCTE!D6</f>
        <v>66848.639999999999</v>
      </c>
      <c r="C7" s="95">
        <f>DIECCTE!H11</f>
        <v>57101.89</v>
      </c>
      <c r="D7" s="95">
        <f>DIECCTE!K11</f>
        <v>0</v>
      </c>
      <c r="E7" s="95">
        <f>DIECCTE!L11</f>
        <v>0</v>
      </c>
      <c r="F7" s="197">
        <f t="shared" si="0"/>
        <v>9746.75</v>
      </c>
    </row>
    <row r="8" spans="1:7" ht="21.75" customHeight="1">
      <c r="A8" s="94" t="s">
        <v>85</v>
      </c>
      <c r="B8" s="95">
        <f>FEDER!G14</f>
        <v>1712805.26</v>
      </c>
      <c r="C8" s="95">
        <f>FEDER!K14</f>
        <v>1492522.4</v>
      </c>
      <c r="D8" s="95">
        <f>FEDER!N14</f>
        <v>0</v>
      </c>
      <c r="E8" s="95">
        <f>FEDER!O14</f>
        <v>0</v>
      </c>
      <c r="F8" s="197">
        <f t="shared" si="0"/>
        <v>220282.8600000001</v>
      </c>
    </row>
    <row r="9" spans="1:7" ht="21.75" customHeight="1">
      <c r="A9" s="94" t="s">
        <v>88</v>
      </c>
      <c r="B9" s="95">
        <f>TCO!E16</f>
        <v>500814.33231938235</v>
      </c>
      <c r="C9" s="95">
        <f>TCO!I16</f>
        <v>359788.59</v>
      </c>
      <c r="D9" s="95">
        <f>TCO!L16</f>
        <v>90808.98</v>
      </c>
      <c r="E9" s="95">
        <f>TCO!M16</f>
        <v>50211.41</v>
      </c>
      <c r="F9" s="197">
        <f t="shared" si="0"/>
        <v>5.3523193823639303</v>
      </c>
    </row>
    <row r="10" spans="1:7" ht="21.75" customHeight="1">
      <c r="A10" s="185" t="s">
        <v>285</v>
      </c>
      <c r="B10" s="95">
        <f>+EDF!E84</f>
        <v>2197461.3749500006</v>
      </c>
      <c r="C10" s="95">
        <f>+EDF!I84</f>
        <v>1026280.8400000001</v>
      </c>
      <c r="D10" s="95">
        <f>+EDF!L84</f>
        <v>294933.78645000001</v>
      </c>
      <c r="E10" s="95">
        <f>+EDF!M84</f>
        <v>715764.06830000016</v>
      </c>
      <c r="F10" s="197">
        <f t="shared" si="0"/>
        <v>160482.68020000029</v>
      </c>
    </row>
    <row r="11" spans="1:7" ht="21.75" customHeight="1">
      <c r="A11" s="94" t="s">
        <v>206</v>
      </c>
      <c r="B11" s="95">
        <f>'ST JOSEPH'!D17</f>
        <v>510715.38</v>
      </c>
      <c r="C11" s="95">
        <f>'ST JOSEPH'!I17</f>
        <v>364604.28</v>
      </c>
      <c r="D11" s="95">
        <f>'ST JOSEPH'!L17</f>
        <v>0</v>
      </c>
      <c r="E11" s="95">
        <f>'ST JOSEPH'!M17</f>
        <v>146111.1</v>
      </c>
      <c r="F11" s="197">
        <f t="shared" si="0"/>
        <v>0</v>
      </c>
    </row>
    <row r="12" spans="1:7" ht="21.75" customHeight="1">
      <c r="A12" s="185" t="s">
        <v>286</v>
      </c>
      <c r="B12" s="95">
        <f>+'OFFICE DE L''EAU'!D15</f>
        <v>350572.66000000003</v>
      </c>
      <c r="C12" s="95">
        <f>+'OFFICE DE L''EAU'!H15</f>
        <v>225067.56</v>
      </c>
      <c r="D12" s="95">
        <f>+'OFFICE DE L''EAU'!K15</f>
        <v>125505.1</v>
      </c>
      <c r="E12" s="95">
        <f>+'OFFICE DE L''EAU'!L15</f>
        <v>0</v>
      </c>
      <c r="F12" s="197">
        <f t="shared" si="0"/>
        <v>0</v>
      </c>
    </row>
    <row r="13" spans="1:7" ht="21.75" customHeight="1">
      <c r="A13" s="185" t="s">
        <v>283</v>
      </c>
      <c r="B13" s="95">
        <f>+ADEME!E10</f>
        <v>0</v>
      </c>
      <c r="C13" s="95">
        <f>+ADEME!I10</f>
        <v>25600</v>
      </c>
      <c r="D13" s="95">
        <f>+ADEME!L10</f>
        <v>0</v>
      </c>
      <c r="E13" s="95">
        <f>+ADEME!M10</f>
        <v>0</v>
      </c>
      <c r="F13" s="197">
        <f t="shared" si="0"/>
        <v>-25600</v>
      </c>
    </row>
    <row r="14" spans="1:7" ht="21.75" customHeight="1">
      <c r="A14" s="185" t="s">
        <v>287</v>
      </c>
      <c r="B14" s="95">
        <f>+'ETANG-SALE'!D12</f>
        <v>1085000</v>
      </c>
      <c r="C14" s="95">
        <f>+'ETANG-SALE'!H12</f>
        <v>1627500</v>
      </c>
      <c r="D14" s="95">
        <f>+'ETANG-SALE'!K12</f>
        <v>1085000</v>
      </c>
      <c r="E14" s="95">
        <f>+'ETANG-SALE'!L12</f>
        <v>0</v>
      </c>
      <c r="F14" s="197">
        <f t="shared" si="0"/>
        <v>-1627500</v>
      </c>
    </row>
    <row r="15" spans="1:7" ht="21.75" customHeight="1">
      <c r="A15" s="94" t="s">
        <v>83</v>
      </c>
      <c r="B15" s="95">
        <f>'PETITE ILE'!C17</f>
        <v>1924239.64</v>
      </c>
      <c r="C15" s="95">
        <f>'PETITE ILE'!G17</f>
        <v>1872435.32</v>
      </c>
      <c r="D15" s="95">
        <f>'PETITE ILE'!J17</f>
        <v>0</v>
      </c>
      <c r="E15" s="95">
        <f>'PETITE ILE'!K17</f>
        <v>46021.32</v>
      </c>
      <c r="F15" s="197">
        <f t="shared" si="0"/>
        <v>5782.9999999997672</v>
      </c>
    </row>
    <row r="16" spans="1:7">
      <c r="A16" s="96" t="s">
        <v>91</v>
      </c>
      <c r="B16" s="97">
        <f>SUM(B4:B15)</f>
        <v>17818116.987269383</v>
      </c>
      <c r="C16" s="97">
        <f>SUM(C4:C15)</f>
        <v>14858375.969999999</v>
      </c>
      <c r="D16" s="97">
        <f>SUM(D4:D15)</f>
        <v>2166148.2064499999</v>
      </c>
      <c r="E16" s="97">
        <f>SUM(E4:E15)</f>
        <v>2059592.3983000002</v>
      </c>
      <c r="F16" s="186">
        <f>B16-(C16+D16+E16)</f>
        <v>-1265999.5874806158</v>
      </c>
    </row>
    <row r="18" spans="1:19">
      <c r="E18" s="186">
        <v>26105888.269999996</v>
      </c>
      <c r="F18" t="s">
        <v>127</v>
      </c>
    </row>
    <row r="19" spans="1:19">
      <c r="F19" s="231"/>
    </row>
    <row r="22" spans="1:19" ht="15.75">
      <c r="B22" s="470" t="s">
        <v>208</v>
      </c>
      <c r="C22" s="470"/>
      <c r="D22" s="377" t="s">
        <v>106</v>
      </c>
      <c r="E22" s="377" t="s">
        <v>105</v>
      </c>
      <c r="F22" s="377" t="s">
        <v>399</v>
      </c>
      <c r="G22" s="377" t="s">
        <v>282</v>
      </c>
      <c r="H22" s="377" t="s">
        <v>84</v>
      </c>
      <c r="I22" s="377" t="s">
        <v>87</v>
      </c>
      <c r="J22" s="377" t="s">
        <v>398</v>
      </c>
      <c r="K22" s="377" t="s">
        <v>86</v>
      </c>
      <c r="L22" s="377" t="s">
        <v>85</v>
      </c>
      <c r="M22" s="377" t="s">
        <v>88</v>
      </c>
      <c r="N22" s="377" t="s">
        <v>283</v>
      </c>
      <c r="O22" s="377" t="s">
        <v>284</v>
      </c>
      <c r="P22" s="377" t="s">
        <v>285</v>
      </c>
      <c r="Q22" s="377" t="s">
        <v>286</v>
      </c>
      <c r="R22" s="377" t="s">
        <v>287</v>
      </c>
      <c r="S22" s="377" t="s">
        <v>288</v>
      </c>
    </row>
    <row r="23" spans="1:19">
      <c r="B23" s="377">
        <v>2006</v>
      </c>
      <c r="C23" s="472">
        <f t="shared" ref="C23:C34" si="1">SUM(D23:Q23)</f>
        <v>1558057.8</v>
      </c>
      <c r="D23" s="469">
        <f>'FRAFU DEAL'!J157</f>
        <v>1558057.8</v>
      </c>
      <c r="E23" s="469">
        <v>0</v>
      </c>
      <c r="F23" s="469">
        <v>0</v>
      </c>
      <c r="G23" s="469">
        <v>0</v>
      </c>
      <c r="H23" s="469">
        <v>0</v>
      </c>
      <c r="I23" s="469">
        <v>0</v>
      </c>
      <c r="J23" s="469">
        <v>0</v>
      </c>
      <c r="K23" s="469">
        <v>0</v>
      </c>
      <c r="L23" s="469">
        <v>0</v>
      </c>
      <c r="M23" s="469">
        <v>0</v>
      </c>
      <c r="N23" s="469">
        <v>0</v>
      </c>
      <c r="O23" s="469">
        <v>0</v>
      </c>
      <c r="P23" s="469">
        <v>0</v>
      </c>
      <c r="Q23" s="469">
        <v>0</v>
      </c>
      <c r="R23" s="469"/>
      <c r="S23" s="469"/>
    </row>
    <row r="24" spans="1:19">
      <c r="B24" s="377">
        <v>2007</v>
      </c>
      <c r="C24" s="472">
        <f t="shared" si="1"/>
        <v>170100</v>
      </c>
      <c r="D24" s="469">
        <f>'FRAFU DEAL'!J158</f>
        <v>170100</v>
      </c>
      <c r="E24" s="469">
        <f>'LBU DEAL'!K402</f>
        <v>0</v>
      </c>
      <c r="F24" s="469">
        <v>0</v>
      </c>
      <c r="G24" s="469">
        <v>0</v>
      </c>
      <c r="H24" s="469">
        <v>0</v>
      </c>
      <c r="I24" s="469">
        <v>0</v>
      </c>
      <c r="J24" s="469">
        <v>0</v>
      </c>
      <c r="K24" s="469">
        <v>0</v>
      </c>
      <c r="L24" s="469">
        <v>0</v>
      </c>
      <c r="M24" s="469">
        <v>0</v>
      </c>
      <c r="N24" s="469">
        <v>0</v>
      </c>
      <c r="O24" s="469">
        <v>0</v>
      </c>
      <c r="P24" s="469">
        <v>0</v>
      </c>
      <c r="Q24" s="469">
        <v>0</v>
      </c>
      <c r="R24" s="469"/>
      <c r="S24" s="469"/>
    </row>
    <row r="25" spans="1:19">
      <c r="B25" s="377">
        <v>2010</v>
      </c>
      <c r="C25" s="472">
        <f t="shared" si="1"/>
        <v>2779598.56</v>
      </c>
      <c r="D25" s="469">
        <f>'FRAFU DEAL'!J159</f>
        <v>63180</v>
      </c>
      <c r="E25" s="469">
        <f>'LBU DEAL'!K403</f>
        <v>2578304.0300000003</v>
      </c>
      <c r="F25" s="469">
        <v>0</v>
      </c>
      <c r="G25" s="469">
        <v>0</v>
      </c>
      <c r="H25" s="469">
        <v>0</v>
      </c>
      <c r="I25" s="469">
        <v>0</v>
      </c>
      <c r="J25" s="469">
        <v>0</v>
      </c>
      <c r="K25" s="469">
        <v>0</v>
      </c>
      <c r="L25" s="469">
        <v>0</v>
      </c>
      <c r="M25" s="469">
        <f>+TCO!L21</f>
        <v>68000</v>
      </c>
      <c r="N25" s="469">
        <v>0</v>
      </c>
      <c r="O25" s="469">
        <v>0</v>
      </c>
      <c r="P25" s="469">
        <v>0</v>
      </c>
      <c r="Q25" s="469">
        <f>+'OFFICE DE L''EAU'!K19</f>
        <v>70114.53</v>
      </c>
      <c r="R25" s="469"/>
      <c r="S25" s="469"/>
    </row>
    <row r="26" spans="1:19">
      <c r="B26" s="377">
        <v>2011</v>
      </c>
      <c r="C26" s="472">
        <f t="shared" si="1"/>
        <v>3985527.6</v>
      </c>
      <c r="D26" s="469">
        <f>'FRAFU DEAL'!J160</f>
        <v>1113274</v>
      </c>
      <c r="E26" s="469">
        <f>'LBU DEAL'!K404</f>
        <v>1379921.74</v>
      </c>
      <c r="F26" s="469">
        <v>0</v>
      </c>
      <c r="G26" s="469">
        <v>0</v>
      </c>
      <c r="H26" s="469">
        <v>0</v>
      </c>
      <c r="I26" s="469">
        <f>REGION!I34</f>
        <v>735403.9</v>
      </c>
      <c r="J26" s="469">
        <v>0</v>
      </c>
      <c r="K26" s="469">
        <v>0</v>
      </c>
      <c r="L26" s="469">
        <f>+FEDER!N18</f>
        <v>124127.96</v>
      </c>
      <c r="M26" s="469">
        <v>0</v>
      </c>
      <c r="N26" s="469">
        <f>ADEME!F29</f>
        <v>12800</v>
      </c>
      <c r="O26" s="469">
        <f>+'PETITE ILE'!J22</f>
        <v>620000</v>
      </c>
      <c r="P26" s="469">
        <v>0</v>
      </c>
      <c r="Q26" s="469">
        <v>0</v>
      </c>
      <c r="R26" s="469"/>
      <c r="S26" s="469"/>
    </row>
    <row r="27" spans="1:19">
      <c r="B27" s="377">
        <v>2012</v>
      </c>
      <c r="C27" s="472">
        <f t="shared" si="1"/>
        <v>4881672.66</v>
      </c>
      <c r="D27" s="469">
        <f>'FRAFU DEAL'!J161</f>
        <v>1260319.3</v>
      </c>
      <c r="E27" s="469">
        <f>'LBU DEAL'!K405</f>
        <v>2290444.0999999996</v>
      </c>
      <c r="F27" s="469">
        <v>0</v>
      </c>
      <c r="G27" s="469">
        <f>'ST LEU'!K58</f>
        <v>369138.64</v>
      </c>
      <c r="H27" s="469">
        <f>CAF!M48</f>
        <v>28000</v>
      </c>
      <c r="I27" s="469">
        <f>REGION!I35</f>
        <v>0</v>
      </c>
      <c r="J27" s="469">
        <v>0</v>
      </c>
      <c r="K27" s="469">
        <v>0</v>
      </c>
      <c r="L27" s="469">
        <f>+FEDER!N19</f>
        <v>117869.62</v>
      </c>
      <c r="M27" s="469">
        <f>+TCO!L22</f>
        <v>204000</v>
      </c>
      <c r="N27" s="469">
        <f>ADEME!F30</f>
        <v>0</v>
      </c>
      <c r="O27" s="469">
        <f>+'PETITE ILE'!K23</f>
        <v>611901</v>
      </c>
      <c r="P27" s="469">
        <v>0</v>
      </c>
      <c r="Q27" s="469">
        <v>0</v>
      </c>
      <c r="R27" s="469"/>
      <c r="S27" s="469"/>
    </row>
    <row r="28" spans="1:19">
      <c r="B28" s="377">
        <v>2013</v>
      </c>
      <c r="C28" s="472">
        <f t="shared" si="1"/>
        <v>6376229.2299999995</v>
      </c>
      <c r="D28" s="469">
        <f>'FRAFU DEAL'!J162</f>
        <v>2866858.28</v>
      </c>
      <c r="E28" s="469">
        <f>'LBU DEAL'!K406</f>
        <v>2713185.75</v>
      </c>
      <c r="F28" s="469">
        <v>0</v>
      </c>
      <c r="G28" s="469">
        <f>'ST LEU'!K59</f>
        <v>328396.61000000004</v>
      </c>
      <c r="H28" s="469">
        <f>CAF!M49</f>
        <v>175000</v>
      </c>
      <c r="I28" s="469">
        <f>REGION!I36</f>
        <v>205000</v>
      </c>
      <c r="J28" s="469">
        <v>0</v>
      </c>
      <c r="K28" s="469">
        <v>0</v>
      </c>
      <c r="L28" s="469">
        <v>0</v>
      </c>
      <c r="M28" s="469">
        <f>+TCO!L23</f>
        <v>87788.59</v>
      </c>
      <c r="N28" s="469">
        <f>ADEME!F31</f>
        <v>0</v>
      </c>
      <c r="O28" s="469">
        <v>0</v>
      </c>
      <c r="P28" s="469">
        <v>0</v>
      </c>
      <c r="Q28" s="469">
        <v>0</v>
      </c>
      <c r="R28" s="469"/>
      <c r="S28" s="469"/>
    </row>
    <row r="29" spans="1:19">
      <c r="B29" s="377">
        <v>2014</v>
      </c>
      <c r="C29" s="472">
        <f t="shared" si="1"/>
        <v>8649914.7999999989</v>
      </c>
      <c r="D29" s="469">
        <f>'FRAFU DEAL'!J163</f>
        <v>2269922.3799999994</v>
      </c>
      <c r="E29" s="469">
        <f>'LBU DEAL'!K407</f>
        <v>2180533.38</v>
      </c>
      <c r="F29" s="469">
        <v>0</v>
      </c>
      <c r="G29" s="469">
        <f>'ST LEU'!K60</f>
        <v>3077009.68</v>
      </c>
      <c r="H29" s="469">
        <f>CAF!M50</f>
        <v>190000</v>
      </c>
      <c r="I29" s="469">
        <f>REGION!I37</f>
        <v>94683.18</v>
      </c>
      <c r="J29" s="469">
        <v>0</v>
      </c>
      <c r="K29" s="469">
        <v>0</v>
      </c>
      <c r="L29" s="469">
        <f>+FEDER!N20</f>
        <v>809277.2</v>
      </c>
      <c r="M29" s="469">
        <f>+TCO!L24</f>
        <v>20808.98</v>
      </c>
      <c r="N29" s="469">
        <f>ADEME!F32</f>
        <v>7680</v>
      </c>
      <c r="O29" s="469">
        <v>0</v>
      </c>
      <c r="P29" s="469">
        <v>0</v>
      </c>
      <c r="Q29" s="469">
        <v>0</v>
      </c>
      <c r="R29" s="469"/>
      <c r="S29" s="469"/>
    </row>
    <row r="30" spans="1:19">
      <c r="B30" s="377">
        <v>2015</v>
      </c>
      <c r="C30" s="472">
        <f t="shared" si="1"/>
        <v>9923576.8300000001</v>
      </c>
      <c r="D30" s="469">
        <f>'FRAFU DEAL'!J164</f>
        <v>3264503.62</v>
      </c>
      <c r="E30" s="469">
        <f>'LBU DEAL'!K408</f>
        <v>3885594.4799999995</v>
      </c>
      <c r="F30" s="469">
        <v>0</v>
      </c>
      <c r="G30" s="469">
        <f>'ST LEU'!K61</f>
        <v>443115.66000000003</v>
      </c>
      <c r="H30" s="469">
        <f>CAF!M51</f>
        <v>269500</v>
      </c>
      <c r="I30" s="469">
        <f>REGION!I38</f>
        <v>544244.53</v>
      </c>
      <c r="J30" s="469">
        <v>0</v>
      </c>
      <c r="K30" s="469">
        <f>DIECCTE!E7</f>
        <v>66848.639999999999</v>
      </c>
      <c r="L30" s="469">
        <f>+FEDER!N21</f>
        <v>499678.77</v>
      </c>
      <c r="M30" s="469">
        <f>+TCO!L25</f>
        <v>70000</v>
      </c>
      <c r="N30" s="469">
        <f>ADEME!F33</f>
        <v>5120</v>
      </c>
      <c r="O30" s="469">
        <f>+'PETITE ILE'!J24</f>
        <v>594513</v>
      </c>
      <c r="P30" s="469">
        <v>0</v>
      </c>
      <c r="Q30" s="469">
        <f>+'OFFICE DE L''EAU'!K20</f>
        <v>280458.13</v>
      </c>
      <c r="R30" s="469">
        <f>+'ETANG-SALE'!E6</f>
        <v>1085000</v>
      </c>
      <c r="S30" s="469"/>
    </row>
    <row r="31" spans="1:19">
      <c r="B31" s="377">
        <v>2016</v>
      </c>
      <c r="C31" s="472">
        <f t="shared" si="1"/>
        <v>5882024.6032000007</v>
      </c>
      <c r="D31" s="469">
        <f>'FRAFU DEAL'!J165</f>
        <v>3128172.4920000001</v>
      </c>
      <c r="E31" s="469">
        <f>'LBU DEAL'!K409</f>
        <v>2177727.7512000003</v>
      </c>
      <c r="F31" s="469">
        <v>0</v>
      </c>
      <c r="G31" s="469">
        <f>'ST LEU'!K62</f>
        <v>0</v>
      </c>
      <c r="H31" s="469">
        <f>CAF!M52</f>
        <v>135000</v>
      </c>
      <c r="I31" s="469">
        <f>REGION!I39</f>
        <v>205000</v>
      </c>
      <c r="J31" s="469">
        <v>0</v>
      </c>
      <c r="K31" s="469">
        <v>0</v>
      </c>
      <c r="L31" s="469">
        <f>+FEDER!N22</f>
        <v>0</v>
      </c>
      <c r="M31" s="469">
        <v>0</v>
      </c>
      <c r="N31" s="469">
        <f>ADEME!F34</f>
        <v>0</v>
      </c>
      <c r="O31" s="469">
        <f>+'PETITE ILE'!J25</f>
        <v>0</v>
      </c>
      <c r="P31" s="469">
        <f>+EDF!L88</f>
        <v>236124.36</v>
      </c>
      <c r="Q31" s="469">
        <v>0</v>
      </c>
      <c r="R31" s="469"/>
      <c r="S31" s="469">
        <f>+'ST JOSEPH'!K21</f>
        <v>109246.59</v>
      </c>
    </row>
    <row r="32" spans="1:19">
      <c r="A32" s="546">
        <f>C32/C31</f>
        <v>1.0827911090910887</v>
      </c>
      <c r="B32" s="377">
        <v>2017</v>
      </c>
      <c r="C32" s="472">
        <f t="shared" si="1"/>
        <v>6369003.9437999995</v>
      </c>
      <c r="D32" s="469">
        <f>'FRAFU DEAL'!J166</f>
        <v>1630791.08</v>
      </c>
      <c r="E32" s="469">
        <f>'LBU DEAL'!K410</f>
        <v>3905691.3887999998</v>
      </c>
      <c r="F32" s="469">
        <v>0</v>
      </c>
      <c r="G32" s="469">
        <f>'ST LEU'!K63</f>
        <v>41383.379999999997</v>
      </c>
      <c r="H32" s="469">
        <f>CAF!M53</f>
        <v>288000</v>
      </c>
      <c r="I32" s="469">
        <f>REGION!I40</f>
        <v>0</v>
      </c>
      <c r="J32" s="469">
        <v>0</v>
      </c>
      <c r="K32" s="469">
        <v>0</v>
      </c>
      <c r="L32" s="469">
        <f>+FEDER!N23</f>
        <v>0</v>
      </c>
      <c r="M32" s="469">
        <v>0</v>
      </c>
      <c r="N32" s="469">
        <f>ADEME!F35</f>
        <v>7700</v>
      </c>
      <c r="O32" s="469">
        <v>0</v>
      </c>
      <c r="P32" s="469">
        <f>+EDF!L89</f>
        <v>495438.09499999997</v>
      </c>
      <c r="Q32" s="469">
        <v>0</v>
      </c>
      <c r="R32" s="469"/>
      <c r="S32" s="469">
        <f>+'ST JOSEPH'!K22</f>
        <v>146111.1</v>
      </c>
    </row>
    <row r="33" spans="1:19">
      <c r="A33" s="546"/>
      <c r="B33" s="377">
        <v>2018</v>
      </c>
      <c r="C33" s="472">
        <f t="shared" si="1"/>
        <v>7887775.3044500006</v>
      </c>
      <c r="D33" s="469">
        <f>'FRAFU DEAL'!J167</f>
        <v>1325881.7780000002</v>
      </c>
      <c r="E33" s="469">
        <f>'LBU DEAL'!K411</f>
        <v>3811521.15</v>
      </c>
      <c r="F33" s="469">
        <f>'LBU REHAB'!K54</f>
        <v>244390</v>
      </c>
      <c r="G33" s="469">
        <f>'ST LEU'!K64</f>
        <v>0</v>
      </c>
      <c r="H33" s="469">
        <f>CAF!M54</f>
        <v>124500</v>
      </c>
      <c r="I33" s="469">
        <f>REGION!I41</f>
        <v>941484.5</v>
      </c>
      <c r="J33" s="469">
        <f>RECTORAT!I7+RECTORAT!I11</f>
        <v>941484.5</v>
      </c>
      <c r="K33" s="469">
        <v>0</v>
      </c>
      <c r="L33" s="469">
        <v>0</v>
      </c>
      <c r="M33" s="469">
        <v>0</v>
      </c>
      <c r="N33" s="469">
        <f>ADEME!F36</f>
        <v>16660</v>
      </c>
      <c r="O33" s="469">
        <f>+'PETITE ILE'!J26</f>
        <v>46021.32</v>
      </c>
      <c r="P33" s="469">
        <f>+EDF!L90</f>
        <v>435832.05645000003</v>
      </c>
      <c r="Q33" s="469"/>
      <c r="R33" s="469">
        <f>'ETANG-SALE'!E8+'ETANG-SALE'!E10</f>
        <v>1085000</v>
      </c>
      <c r="S33" s="469">
        <f>+'ST JOSEPH'!K23</f>
        <v>109246.59</v>
      </c>
    </row>
    <row r="34" spans="1:19">
      <c r="A34" s="546"/>
      <c r="B34" s="377">
        <v>2019</v>
      </c>
      <c r="C34" s="472">
        <f t="shared" si="1"/>
        <v>1335940.6099999999</v>
      </c>
      <c r="D34" s="469">
        <f>'FRAFU DEAL'!J168</f>
        <v>136252.47999999998</v>
      </c>
      <c r="E34" s="469">
        <f>'LBU DEAL'!K412</f>
        <v>1060448.2</v>
      </c>
      <c r="F34" s="469">
        <f>'LBU REHAB'!K55</f>
        <v>0</v>
      </c>
      <c r="G34" s="469">
        <v>0</v>
      </c>
      <c r="H34" s="469">
        <v>0</v>
      </c>
      <c r="I34" s="469">
        <f>REGION!I42</f>
        <v>0</v>
      </c>
      <c r="J34" s="469"/>
      <c r="K34" s="469">
        <v>0</v>
      </c>
      <c r="L34" s="469">
        <v>0</v>
      </c>
      <c r="M34" s="469">
        <v>0</v>
      </c>
      <c r="N34" s="469">
        <f>ADEME!F37</f>
        <v>1575</v>
      </c>
      <c r="O34" s="469">
        <f>'PETITE ILE'!J27</f>
        <v>0</v>
      </c>
      <c r="P34" s="469">
        <f>EDF!L91</f>
        <v>137664.93</v>
      </c>
      <c r="Q34" s="469"/>
      <c r="R34" s="469"/>
      <c r="S34" s="469"/>
    </row>
    <row r="35" spans="1:19">
      <c r="B35" s="376"/>
      <c r="C35" s="471">
        <f>SUM(C23:C34)</f>
        <v>59799421.94145</v>
      </c>
      <c r="D35" s="471">
        <f t="shared" ref="D35:M35" si="2">SUM(D23:D34)</f>
        <v>18787313.210000001</v>
      </c>
      <c r="E35" s="471">
        <f t="shared" si="2"/>
        <v>25983371.969999999</v>
      </c>
      <c r="F35" s="471"/>
      <c r="G35" s="471">
        <f t="shared" si="2"/>
        <v>4259043.97</v>
      </c>
      <c r="H35" s="471">
        <f t="shared" si="2"/>
        <v>1210000</v>
      </c>
      <c r="I35" s="471">
        <f t="shared" si="2"/>
        <v>2725816.1100000003</v>
      </c>
      <c r="J35" s="471">
        <f t="shared" si="2"/>
        <v>941484.5</v>
      </c>
      <c r="K35" s="471">
        <f t="shared" si="2"/>
        <v>66848.639999999999</v>
      </c>
      <c r="L35" s="471">
        <f t="shared" si="2"/>
        <v>1550953.55</v>
      </c>
      <c r="M35" s="471">
        <f t="shared" si="2"/>
        <v>450597.56999999995</v>
      </c>
      <c r="N35" s="471">
        <f>SUM(N23:N34)</f>
        <v>51535</v>
      </c>
      <c r="O35" s="471">
        <f t="shared" ref="O35:S35" si="3">SUM(O23:O34)</f>
        <v>1872435.32</v>
      </c>
      <c r="P35" s="471">
        <f t="shared" si="3"/>
        <v>1305059.44145</v>
      </c>
      <c r="Q35" s="471">
        <f t="shared" si="3"/>
        <v>350572.66000000003</v>
      </c>
      <c r="R35" s="471">
        <f t="shared" si="3"/>
        <v>2170000</v>
      </c>
      <c r="S35" s="471">
        <f t="shared" si="3"/>
        <v>364604.28</v>
      </c>
    </row>
    <row r="36" spans="1:19" s="463" customFormat="1">
      <c r="B36" s="461"/>
      <c r="C36" s="461"/>
      <c r="D36" s="462">
        <f>D35-'FRAFU DEAL'!J169</f>
        <v>0</v>
      </c>
      <c r="E36" s="462">
        <f>E35-'LBU DEAL'!K413</f>
        <v>0</v>
      </c>
      <c r="F36" s="462"/>
      <c r="G36" s="462">
        <f>G35-'ST LEU'!K65</f>
        <v>0</v>
      </c>
      <c r="H36" s="462">
        <f>H35-CAF!M55</f>
        <v>0</v>
      </c>
      <c r="I36" s="462">
        <f>I35-REGION!$I$43</f>
        <v>0</v>
      </c>
      <c r="J36" s="901"/>
      <c r="L36" s="186">
        <f>+L35-FEDER!N24</f>
        <v>0</v>
      </c>
      <c r="M36" s="186">
        <f>+M35-TCO!L26</f>
        <v>0</v>
      </c>
      <c r="N36" s="186">
        <f>+N35-ADEME!F26</f>
        <v>0</v>
      </c>
      <c r="O36" s="186">
        <f>+O35-'PETITE ILE'!J28</f>
        <v>0</v>
      </c>
      <c r="P36" s="186">
        <f>+P35-EDF!L92</f>
        <v>0</v>
      </c>
      <c r="Q36" s="186">
        <f>+Q35-'OFFICE DE L''EAU'!K21</f>
        <v>0</v>
      </c>
      <c r="R36" s="186">
        <f>+R35-'ETANG-SALE'!E12</f>
        <v>0</v>
      </c>
      <c r="S36" s="186">
        <f>+S35-'ST JOSEPH'!K25</f>
        <v>0</v>
      </c>
    </row>
    <row r="39" spans="1:19" ht="15.75">
      <c r="B39" s="941" t="s">
        <v>410</v>
      </c>
      <c r="C39" s="941"/>
      <c r="D39" s="942" t="s">
        <v>106</v>
      </c>
      <c r="E39" s="942" t="s">
        <v>105</v>
      </c>
      <c r="F39" s="942" t="s">
        <v>399</v>
      </c>
      <c r="G39" s="942" t="s">
        <v>282</v>
      </c>
      <c r="H39" s="942" t="s">
        <v>84</v>
      </c>
      <c r="I39" s="942" t="s">
        <v>87</v>
      </c>
      <c r="J39" s="942" t="s">
        <v>398</v>
      </c>
      <c r="K39" s="942" t="s">
        <v>86</v>
      </c>
      <c r="L39" s="942" t="s">
        <v>85</v>
      </c>
      <c r="M39" s="942" t="s">
        <v>88</v>
      </c>
      <c r="N39" s="942" t="s">
        <v>283</v>
      </c>
      <c r="O39" s="942" t="s">
        <v>284</v>
      </c>
      <c r="P39" s="942" t="s">
        <v>285</v>
      </c>
      <c r="Q39" s="942" t="s">
        <v>286</v>
      </c>
      <c r="R39" s="942" t="s">
        <v>287</v>
      </c>
      <c r="S39" s="942" t="s">
        <v>288</v>
      </c>
    </row>
    <row r="40" spans="1:19">
      <c r="B40" s="942">
        <v>2006</v>
      </c>
      <c r="C40" s="943">
        <f t="shared" ref="C40:C52" si="4">SUM(D40:S40)</f>
        <v>135000</v>
      </c>
      <c r="D40" s="945">
        <f>'FRAFU DEAL'!M157</f>
        <v>135000</v>
      </c>
      <c r="E40" s="945"/>
      <c r="F40" s="945"/>
      <c r="G40" s="945"/>
      <c r="H40" s="945"/>
      <c r="I40" s="945"/>
      <c r="J40" s="945"/>
      <c r="K40" s="945"/>
      <c r="L40" s="945"/>
      <c r="M40" s="945"/>
      <c r="N40" s="945"/>
      <c r="O40" s="945"/>
      <c r="P40" s="945"/>
      <c r="Q40" s="945"/>
      <c r="R40" s="945"/>
      <c r="S40" s="945"/>
    </row>
    <row r="41" spans="1:19">
      <c r="B41" s="942">
        <v>2007</v>
      </c>
      <c r="C41" s="943">
        <f t="shared" si="4"/>
        <v>1593157.8</v>
      </c>
      <c r="D41" s="945">
        <f>'FRAFU DEAL'!M158</f>
        <v>1593157.8</v>
      </c>
      <c r="E41" s="945"/>
      <c r="F41" s="945"/>
      <c r="G41" s="945"/>
      <c r="H41" s="945"/>
      <c r="I41" s="945"/>
      <c r="J41" s="945"/>
      <c r="K41" s="945"/>
      <c r="L41" s="945"/>
      <c r="M41" s="945"/>
      <c r="N41" s="945"/>
      <c r="O41" s="945"/>
      <c r="P41" s="945"/>
      <c r="Q41" s="945"/>
      <c r="R41" s="945"/>
      <c r="S41" s="945"/>
    </row>
    <row r="42" spans="1:19">
      <c r="B42" s="942">
        <v>2009</v>
      </c>
      <c r="C42" s="943">
        <f t="shared" si="4"/>
        <v>830071.5</v>
      </c>
      <c r="D42" s="945"/>
      <c r="E42" s="945">
        <f>'LBU DEAL'!N402</f>
        <v>830071.5</v>
      </c>
      <c r="F42" s="945"/>
      <c r="G42" s="945"/>
      <c r="H42" s="945"/>
      <c r="I42" s="945"/>
      <c r="J42" s="945"/>
      <c r="K42" s="945"/>
      <c r="L42" s="945"/>
      <c r="M42" s="945"/>
      <c r="N42" s="945"/>
      <c r="O42" s="945"/>
      <c r="P42" s="945"/>
      <c r="Q42" s="945"/>
      <c r="R42" s="945"/>
      <c r="S42" s="945"/>
    </row>
    <row r="43" spans="1:19">
      <c r="B43" s="942">
        <v>2010</v>
      </c>
      <c r="C43" s="943">
        <f t="shared" si="4"/>
        <v>1272363.46</v>
      </c>
      <c r="D43" s="945">
        <f>'FRAFU DEAL'!M159</f>
        <v>63180</v>
      </c>
      <c r="E43" s="945">
        <f>'LBU DEAL'!N403</f>
        <v>1071068.93</v>
      </c>
      <c r="F43" s="945"/>
      <c r="G43" s="945"/>
      <c r="H43" s="945"/>
      <c r="I43" s="945"/>
      <c r="J43" s="945"/>
      <c r="K43" s="945"/>
      <c r="L43" s="945"/>
      <c r="M43" s="945">
        <f>TCO!M21</f>
        <v>68000</v>
      </c>
      <c r="N43" s="945"/>
      <c r="O43" s="945"/>
      <c r="P43" s="945"/>
      <c r="Q43" s="945">
        <f>'OFFICE DE L''EAU'!L19</f>
        <v>70114.53</v>
      </c>
      <c r="R43" s="945"/>
      <c r="S43" s="945"/>
    </row>
    <row r="44" spans="1:19">
      <c r="B44" s="942">
        <v>2011</v>
      </c>
      <c r="C44" s="943">
        <f t="shared" si="4"/>
        <v>4406122.32</v>
      </c>
      <c r="D44" s="945">
        <f>'FRAFU DEAL'!M160</f>
        <v>964320</v>
      </c>
      <c r="E44" s="945">
        <f>'LBU DEAL'!N404</f>
        <v>1745441.3800000001</v>
      </c>
      <c r="F44" s="945"/>
      <c r="G44" s="945"/>
      <c r="H44" s="945"/>
      <c r="I44" s="945">
        <f>REGION!L34</f>
        <v>735403.9</v>
      </c>
      <c r="J44" s="945"/>
      <c r="K44" s="945"/>
      <c r="L44" s="945">
        <f>FEDER!O18</f>
        <v>124157.04</v>
      </c>
      <c r="M44" s="945">
        <f>TCO!M22</f>
        <v>204000</v>
      </c>
      <c r="N44" s="945">
        <f>ADEME!I29</f>
        <v>12800</v>
      </c>
      <c r="O44" s="945">
        <f>'PETITE ILE'!K22</f>
        <v>620000</v>
      </c>
      <c r="P44" s="945"/>
      <c r="Q44" s="945"/>
      <c r="R44" s="945"/>
      <c r="S44" s="945"/>
    </row>
    <row r="45" spans="1:19">
      <c r="B45" s="942">
        <v>2012</v>
      </c>
      <c r="C45" s="943">
        <f t="shared" si="4"/>
        <v>4229945.959999999</v>
      </c>
      <c r="D45" s="945">
        <f>'FRAFU DEAL'!M161</f>
        <v>1285783.17</v>
      </c>
      <c r="E45" s="945">
        <f>'LBU DEAL'!N405</f>
        <v>2192494.3899999997</v>
      </c>
      <c r="F45" s="945"/>
      <c r="G45" s="945">
        <f>'ST LEU'!L58</f>
        <v>23978.81</v>
      </c>
      <c r="H45" s="945">
        <f>CAF!N48</f>
        <v>28000</v>
      </c>
      <c r="I45" s="945">
        <f>REGION!L35</f>
        <v>0</v>
      </c>
      <c r="J45" s="945"/>
      <c r="K45" s="945"/>
      <c r="L45" s="945">
        <f>FEDER!O19</f>
        <v>0</v>
      </c>
      <c r="M45" s="945">
        <f>TCO!M23</f>
        <v>87788.59</v>
      </c>
      <c r="N45" s="945">
        <f>ADEME!I30</f>
        <v>0</v>
      </c>
      <c r="O45" s="945">
        <f>'PETITE ILE'!K23</f>
        <v>611901</v>
      </c>
      <c r="P45" s="945"/>
      <c r="Q45" s="945"/>
      <c r="R45" s="945"/>
      <c r="S45" s="945"/>
    </row>
    <row r="46" spans="1:19">
      <c r="B46" s="942">
        <v>2013</v>
      </c>
      <c r="C46" s="943">
        <f t="shared" si="4"/>
        <v>4219032.6900000004</v>
      </c>
      <c r="D46" s="945">
        <f>'FRAFU DEAL'!M162</f>
        <v>655454.87</v>
      </c>
      <c r="E46" s="945">
        <f>'LBU DEAL'!N406</f>
        <v>3091587.22</v>
      </c>
      <c r="F46" s="945"/>
      <c r="G46" s="945">
        <f>'ST LEU'!L59</f>
        <v>91990.6</v>
      </c>
      <c r="H46" s="945">
        <f>CAF!N49</f>
        <v>175000</v>
      </c>
      <c r="I46" s="945">
        <f>REGION!L36</f>
        <v>205000</v>
      </c>
      <c r="J46" s="945"/>
      <c r="K46" s="945"/>
      <c r="L46" s="945">
        <f>FEDER!O20</f>
        <v>0</v>
      </c>
      <c r="M46" s="945">
        <f>TCO!M24</f>
        <v>0</v>
      </c>
      <c r="N46" s="945">
        <f>ADEME!I31</f>
        <v>0</v>
      </c>
      <c r="O46" s="945"/>
      <c r="P46" s="945"/>
      <c r="Q46" s="945">
        <f>'OFFICE DE L''EAU'!L22</f>
        <v>0</v>
      </c>
      <c r="R46" s="945"/>
      <c r="S46" s="945"/>
    </row>
    <row r="47" spans="1:19">
      <c r="B47" s="942">
        <v>2014</v>
      </c>
      <c r="C47" s="943">
        <f t="shared" si="4"/>
        <v>6680716.8600000003</v>
      </c>
      <c r="D47" s="945">
        <f>'FRAFU DEAL'!M163</f>
        <v>4460611.76</v>
      </c>
      <c r="E47" s="945">
        <f>'LBU DEAL'!N407</f>
        <v>1926685.98</v>
      </c>
      <c r="F47" s="945"/>
      <c r="G47" s="945">
        <f>'ST LEU'!L60</f>
        <v>71936.430000000008</v>
      </c>
      <c r="H47" s="945">
        <f>CAF!N50</f>
        <v>136000</v>
      </c>
      <c r="I47" s="945">
        <f>REGION!L37</f>
        <v>0</v>
      </c>
      <c r="J47" s="945"/>
      <c r="K47" s="945"/>
      <c r="L47" s="945">
        <f>FEDER!O21</f>
        <v>77802.69</v>
      </c>
      <c r="M47" s="945">
        <f>TCO!M25</f>
        <v>0</v>
      </c>
      <c r="N47" s="945">
        <f>ADEME!I32</f>
        <v>7680</v>
      </c>
      <c r="O47" s="945"/>
      <c r="P47" s="945"/>
      <c r="Q47" s="945">
        <f>'OFFICE DE L''EAU'!L23</f>
        <v>0</v>
      </c>
      <c r="R47" s="945"/>
      <c r="S47" s="945"/>
    </row>
    <row r="48" spans="1:19">
      <c r="B48" s="942">
        <v>2015</v>
      </c>
      <c r="C48" s="943">
        <f t="shared" si="4"/>
        <v>9928879.8899999987</v>
      </c>
      <c r="D48" s="945">
        <f>'FRAFU DEAL'!M164</f>
        <v>1769182.02</v>
      </c>
      <c r="E48" s="945">
        <f>'LBU DEAL'!N408</f>
        <v>3628789.28</v>
      </c>
      <c r="F48" s="945"/>
      <c r="G48" s="945">
        <f>'ST LEU'!L61</f>
        <v>827337.32000000007</v>
      </c>
      <c r="H48" s="945">
        <f>CAF!N51</f>
        <v>290500</v>
      </c>
      <c r="I48" s="945">
        <f>REGION!L38</f>
        <v>614035.68000000005</v>
      </c>
      <c r="J48" s="945"/>
      <c r="K48" s="945">
        <f>DIECCTE!H7</f>
        <v>57101.89</v>
      </c>
      <c r="L48" s="945">
        <f>FEDER!O22</f>
        <v>1290562.67</v>
      </c>
      <c r="M48" s="945">
        <v>0</v>
      </c>
      <c r="N48" s="945">
        <f>ADEME!I33</f>
        <v>5120</v>
      </c>
      <c r="O48" s="945">
        <f>'PETITE ILE'!K24</f>
        <v>206298</v>
      </c>
      <c r="P48" s="945"/>
      <c r="Q48" s="945">
        <f>'OFFICE DE L''EAU'!L20</f>
        <v>154953.03</v>
      </c>
      <c r="R48" s="945">
        <f>'ETANG-SALE'!H6</f>
        <v>1085000</v>
      </c>
      <c r="S48" s="945"/>
    </row>
    <row r="49" spans="2:19">
      <c r="B49" s="942">
        <v>2016</v>
      </c>
      <c r="C49" s="943">
        <f t="shared" si="4"/>
        <v>8708833.3399999999</v>
      </c>
      <c r="D49" s="945">
        <f>'FRAFU DEAL'!M165</f>
        <v>3898075.0300000003</v>
      </c>
      <c r="E49" s="945">
        <f>'LBU DEAL'!N409</f>
        <v>2546228.35</v>
      </c>
      <c r="F49" s="945"/>
      <c r="G49" s="945">
        <f>'ST LEU'!L62</f>
        <v>1442192.77</v>
      </c>
      <c r="H49" s="945">
        <f>CAF!N52</f>
        <v>168000</v>
      </c>
      <c r="I49" s="945">
        <f>REGION!L39</f>
        <v>105000</v>
      </c>
      <c r="J49" s="945"/>
      <c r="K49" s="945"/>
      <c r="L49" s="945">
        <f>FEDER!O23</f>
        <v>0</v>
      </c>
      <c r="M49" s="945">
        <f>TCO!M27</f>
        <v>0</v>
      </c>
      <c r="N49" s="945">
        <f>ADEME!I34</f>
        <v>0</v>
      </c>
      <c r="O49" s="945">
        <f>'PETITE ILE'!K25</f>
        <v>388215</v>
      </c>
      <c r="P49" s="945">
        <f>EDF!M88</f>
        <v>51875.6</v>
      </c>
      <c r="Q49" s="945"/>
      <c r="R49" s="945"/>
      <c r="S49" s="945">
        <f>'ST JOSEPH'!L21</f>
        <v>109246.59</v>
      </c>
    </row>
    <row r="50" spans="2:19">
      <c r="B50" s="942">
        <v>2017</v>
      </c>
      <c r="C50" s="943">
        <f t="shared" si="4"/>
        <v>6422144.3999999994</v>
      </c>
      <c r="D50" s="945">
        <f>'FRAFU DEAL'!M166</f>
        <v>2215954.2799999998</v>
      </c>
      <c r="E50" s="945">
        <f>'LBU DEAL'!N410</f>
        <v>3536728.59</v>
      </c>
      <c r="F50" s="945"/>
      <c r="G50" s="945">
        <f>'ST LEU'!L63</f>
        <v>0</v>
      </c>
      <c r="H50" s="945">
        <f>CAF!N53</f>
        <v>288000</v>
      </c>
      <c r="I50" s="945">
        <f>REGION!L40</f>
        <v>100000</v>
      </c>
      <c r="J50" s="945"/>
      <c r="K50" s="945"/>
      <c r="L50" s="945">
        <v>0</v>
      </c>
      <c r="M50" s="945">
        <f>TCO!M28</f>
        <v>0</v>
      </c>
      <c r="N50" s="945">
        <f>ADEME!I35</f>
        <v>0</v>
      </c>
      <c r="O50" s="945"/>
      <c r="P50" s="945">
        <f>EDF!M89</f>
        <v>281461.53000000003</v>
      </c>
      <c r="Q50" s="945">
        <f>'OFFICE DE L''EAU'!L26</f>
        <v>0</v>
      </c>
      <c r="R50" s="945"/>
      <c r="S50" s="945">
        <f>'ST JOSEPH'!L22</f>
        <v>0</v>
      </c>
    </row>
    <row r="51" spans="2:19">
      <c r="B51" s="942">
        <v>2018</v>
      </c>
      <c r="C51" s="943">
        <f>SUM(D51:S51)</f>
        <v>9227674.4900000002</v>
      </c>
      <c r="D51" s="945">
        <f>'FRAFU DEAL'!M167</f>
        <v>1554322.41</v>
      </c>
      <c r="E51" s="945">
        <f>'LBU DEAL'!N411</f>
        <v>4229192.16</v>
      </c>
      <c r="F51" s="945">
        <f>'LBU REHAB'!N54</f>
        <v>244390</v>
      </c>
      <c r="G51" s="945">
        <f>'ST LEU'!L64</f>
        <v>0</v>
      </c>
      <c r="H51" s="945">
        <f>CAF!N54</f>
        <v>124500</v>
      </c>
      <c r="I51" s="945">
        <f>REGION!L41</f>
        <v>941484.5</v>
      </c>
      <c r="J51" s="945">
        <f>RECTORAT!L7+RECTORAT!L11</f>
        <v>941484.5</v>
      </c>
      <c r="K51" s="945"/>
      <c r="L51" s="945">
        <f>FEDER!O25</f>
        <v>0</v>
      </c>
      <c r="M51" s="945">
        <f>TCO!M29</f>
        <v>0</v>
      </c>
      <c r="N51" s="945">
        <f>ADEME!I36</f>
        <v>38080</v>
      </c>
      <c r="O51" s="945">
        <f>'PETITE ILE'!K26</f>
        <v>46021.32</v>
      </c>
      <c r="P51" s="945">
        <f>EDF!M90</f>
        <v>310341.90999999997</v>
      </c>
      <c r="Q51" s="945">
        <f>'OFFICE DE L''EAU'!L27</f>
        <v>0</v>
      </c>
      <c r="R51" s="945">
        <f>'ETANG-SALE'!H10</f>
        <v>542500</v>
      </c>
      <c r="S51" s="945">
        <f>'ST JOSEPH'!L23</f>
        <v>255357.69</v>
      </c>
    </row>
    <row r="52" spans="2:19">
      <c r="B52" s="942">
        <v>2019</v>
      </c>
      <c r="C52" s="943">
        <f t="shared" si="4"/>
        <v>1152187.5</v>
      </c>
      <c r="D52" s="945">
        <f>'FRAFU DEAL'!M168</f>
        <v>198720</v>
      </c>
      <c r="E52" s="945">
        <f>'LBU DEAL'!N412</f>
        <v>570865.69999999995</v>
      </c>
      <c r="F52" s="945">
        <f>'LBU REHAB'!N55</f>
        <v>0</v>
      </c>
      <c r="G52" s="945"/>
      <c r="H52" s="945"/>
      <c r="I52" s="945">
        <f>REGION!L42</f>
        <v>0</v>
      </c>
      <c r="J52" s="945"/>
      <c r="K52" s="945"/>
      <c r="L52" s="945">
        <f>FEDER!O26</f>
        <v>0</v>
      </c>
      <c r="M52" s="945">
        <f>TCO!M30</f>
        <v>0</v>
      </c>
      <c r="N52" s="945">
        <f>ADEME!I37</f>
        <v>0</v>
      </c>
      <c r="O52" s="945">
        <f>'PETITE ILE'!K27</f>
        <v>0</v>
      </c>
      <c r="P52" s="945">
        <f>EDF!M91</f>
        <v>382601.8</v>
      </c>
      <c r="Q52" s="945">
        <f>'OFFICE DE L''EAU'!L28</f>
        <v>0</v>
      </c>
      <c r="R52" s="945"/>
      <c r="S52" s="945">
        <f>'ST JOSEPH'!L24</f>
        <v>0</v>
      </c>
    </row>
    <row r="53" spans="2:19">
      <c r="B53" s="376"/>
      <c r="C53" s="944">
        <f>SUM(C40:C52)</f>
        <v>58806130.209999993</v>
      </c>
      <c r="D53" s="944">
        <f t="shared" ref="D53:F53" si="5">SUM(D40:D52)</f>
        <v>18793761.34</v>
      </c>
      <c r="E53" s="944">
        <f t="shared" si="5"/>
        <v>25369153.48</v>
      </c>
      <c r="F53" s="944">
        <f t="shared" si="5"/>
        <v>244390</v>
      </c>
      <c r="G53" s="944">
        <f t="shared" ref="G53:M53" si="6">SUM(G40:G52)</f>
        <v>2457435.9300000002</v>
      </c>
      <c r="H53" s="944">
        <f t="shared" si="6"/>
        <v>1210000</v>
      </c>
      <c r="I53" s="944">
        <f t="shared" si="6"/>
        <v>2700924.08</v>
      </c>
      <c r="J53" s="944">
        <f t="shared" si="6"/>
        <v>941484.5</v>
      </c>
      <c r="K53" s="944">
        <f t="shared" si="6"/>
        <v>57101.89</v>
      </c>
      <c r="L53" s="944">
        <f t="shared" si="6"/>
        <v>1492522.4</v>
      </c>
      <c r="M53" s="944">
        <f t="shared" si="6"/>
        <v>359788.58999999997</v>
      </c>
      <c r="N53" s="944">
        <f>SUM(N40:N52)</f>
        <v>63680</v>
      </c>
      <c r="O53" s="944">
        <f t="shared" ref="O53:S53" si="7">SUM(O40:O52)</f>
        <v>1872435.32</v>
      </c>
      <c r="P53" s="944">
        <f t="shared" si="7"/>
        <v>1026280.8400000001</v>
      </c>
      <c r="Q53" s="944">
        <f t="shared" si="7"/>
        <v>225067.56</v>
      </c>
      <c r="R53" s="944">
        <f t="shared" si="7"/>
        <v>1627500</v>
      </c>
      <c r="S53" s="944">
        <f t="shared" si="7"/>
        <v>364604.28</v>
      </c>
    </row>
    <row r="54" spans="2:19">
      <c r="B54" s="461"/>
      <c r="C54" s="461"/>
      <c r="D54" s="462">
        <f>D53-'FRAFU DEAL'!M169</f>
        <v>0</v>
      </c>
      <c r="E54" s="462">
        <f>E53-'LBU DEAL'!N413</f>
        <v>0</v>
      </c>
      <c r="F54" s="462">
        <f>F53-'LBU REHAB'!N56</f>
        <v>0</v>
      </c>
      <c r="G54" s="462">
        <f>G53-'ST LEU'!L65</f>
        <v>0</v>
      </c>
      <c r="H54" s="462">
        <f>H53-CAF!M55</f>
        <v>0</v>
      </c>
      <c r="I54" s="462">
        <f>I53-REGION!$L$43</f>
        <v>0</v>
      </c>
      <c r="J54" s="901">
        <f>J53-RECTORAT!L14</f>
        <v>0</v>
      </c>
      <c r="K54" s="186">
        <f>K53-DIECCTE!H11</f>
        <v>0</v>
      </c>
      <c r="L54" s="186">
        <f>L53-FEDER!O24</f>
        <v>0</v>
      </c>
      <c r="M54" s="186">
        <f>M53-TCO!M26</f>
        <v>0</v>
      </c>
      <c r="N54" s="186">
        <f>N53-ADEME!I38</f>
        <v>0</v>
      </c>
      <c r="O54" s="186">
        <f>O53-'PETITE ILE'!K28</f>
        <v>0</v>
      </c>
      <c r="P54" s="186">
        <f>P53-EDF!M92</f>
        <v>0</v>
      </c>
      <c r="Q54" s="186">
        <f>Q53-'OFFICE DE L''EAU'!L21</f>
        <v>0</v>
      </c>
      <c r="R54" s="186">
        <f>R53-'ETANG-SALE'!H12</f>
        <v>0</v>
      </c>
      <c r="S54" s="186">
        <f>S53-'ST JOSEPH'!L25</f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A1:Z71"/>
  <sheetViews>
    <sheetView tabSelected="1" workbookViewId="0">
      <pane xSplit="1" ySplit="2" topLeftCell="I3" activePane="bottomRight" state="frozen"/>
      <selection pane="topRight" activeCell="B1" sqref="B1"/>
      <selection pane="bottomLeft" activeCell="A2" sqref="A2"/>
      <selection pane="bottomRight" activeCell="P3" sqref="P3"/>
    </sheetView>
  </sheetViews>
  <sheetFormatPr defaultColWidth="11.42578125" defaultRowHeight="12.75" outlineLevelCol="1"/>
  <cols>
    <col min="1" max="1" width="23.85546875" style="440" customWidth="1"/>
    <col min="2" max="2" width="19.85546875" customWidth="1" outlineLevel="1"/>
    <col min="3" max="3" width="13.140625" customWidth="1" outlineLevel="1"/>
    <col min="4" max="6" width="14.42578125" customWidth="1" outlineLevel="1"/>
    <col min="7" max="7" width="15.85546875" customWidth="1" outlineLevel="1"/>
    <col min="8" max="8" width="14.5703125" customWidth="1" outlineLevel="1"/>
    <col min="9" max="9" width="12.7109375" customWidth="1" outlineLevel="1"/>
    <col min="10" max="10" width="14.42578125" customWidth="1" outlineLevel="1"/>
    <col min="11" max="11" width="17.28515625" bestFit="1" customWidth="1" outlineLevel="1"/>
    <col min="12" max="12" width="16" customWidth="1" outlineLevel="1"/>
    <col min="13" max="13" width="20.85546875" customWidth="1"/>
    <col min="14" max="14" width="20.85546875" style="923" customWidth="1"/>
    <col min="15" max="15" width="18.28515625" customWidth="1" outlineLevel="1"/>
    <col min="16" max="16" width="12.85546875" customWidth="1" outlineLevel="1"/>
    <col min="17" max="18" width="14.85546875" customWidth="1" outlineLevel="1"/>
    <col min="19" max="19" width="12.85546875" customWidth="1" outlineLevel="1"/>
    <col min="20" max="20" width="16.140625" customWidth="1" outlineLevel="1"/>
    <col min="21" max="21" width="12" customWidth="1" outlineLevel="1"/>
    <col min="22" max="22" width="11.85546875" customWidth="1" outlineLevel="1"/>
    <col min="23" max="23" width="12.85546875" style="440" customWidth="1" outlineLevel="1"/>
    <col min="24" max="24" width="12.85546875" customWidth="1" outlineLevel="1"/>
    <col min="25" max="25" width="15" customWidth="1" outlineLevel="1"/>
    <col min="26" max="26" width="18.42578125" style="499" bestFit="1" customWidth="1"/>
  </cols>
  <sheetData>
    <row r="1" spans="1:26">
      <c r="O1" s="1060">
        <v>2018</v>
      </c>
      <c r="P1" s="1061"/>
      <c r="Q1" s="1061"/>
      <c r="R1" s="1061"/>
      <c r="S1" s="1061"/>
      <c r="T1" s="1061"/>
      <c r="U1" s="1061"/>
      <c r="V1" s="1061"/>
      <c r="W1" s="1061"/>
      <c r="X1" s="1061"/>
      <c r="Y1" s="1062"/>
      <c r="Z1" s="1021" t="s">
        <v>414</v>
      </c>
    </row>
    <row r="2" spans="1:26" s="915" customFormat="1">
      <c r="A2" s="916" t="s">
        <v>400</v>
      </c>
      <c r="B2" s="917" t="s">
        <v>106</v>
      </c>
      <c r="C2" s="917" t="s">
        <v>399</v>
      </c>
      <c r="D2" s="917" t="s">
        <v>105</v>
      </c>
      <c r="E2" s="917" t="s">
        <v>84</v>
      </c>
      <c r="F2" s="917" t="s">
        <v>87</v>
      </c>
      <c r="G2" s="917" t="s">
        <v>401</v>
      </c>
      <c r="H2" s="917" t="s">
        <v>283</v>
      </c>
      <c r="I2" s="917" t="s">
        <v>284</v>
      </c>
      <c r="J2" s="917" t="s">
        <v>285</v>
      </c>
      <c r="K2" s="917" t="s">
        <v>402</v>
      </c>
      <c r="L2" s="917" t="s">
        <v>288</v>
      </c>
      <c r="M2" s="917" t="s">
        <v>407</v>
      </c>
      <c r="N2" s="924" t="s">
        <v>409</v>
      </c>
      <c r="O2" s="1024" t="s">
        <v>106</v>
      </c>
      <c r="P2" s="1024" t="s">
        <v>399</v>
      </c>
      <c r="Q2" s="1024" t="s">
        <v>105</v>
      </c>
      <c r="R2" s="1024" t="s">
        <v>84</v>
      </c>
      <c r="S2" s="1024" t="s">
        <v>87</v>
      </c>
      <c r="T2" s="1024" t="s">
        <v>401</v>
      </c>
      <c r="U2" s="1024" t="s">
        <v>283</v>
      </c>
      <c r="V2" s="1024" t="s">
        <v>284</v>
      </c>
      <c r="W2" s="1024" t="s">
        <v>285</v>
      </c>
      <c r="X2" s="1024" t="s">
        <v>402</v>
      </c>
      <c r="Y2" s="1024" t="s">
        <v>288</v>
      </c>
      <c r="Z2" s="1022"/>
    </row>
    <row r="3" spans="1:26">
      <c r="A3" s="914" t="s">
        <v>319</v>
      </c>
      <c r="B3" s="918">
        <f t="shared" ref="B3:B38" si="0">SUMPRODUCT((OP_FRAFU=A3)*(Bdgt_FRAFU))</f>
        <v>0</v>
      </c>
      <c r="C3" s="918">
        <f t="shared" ref="C3:C38" si="1">SUMPRODUCT((OP_Rehab=A3)*(Bdgt_Rehab))</f>
        <v>18200</v>
      </c>
      <c r="D3" s="918">
        <f t="shared" ref="D3:D38" si="2">SUMPRODUCT((OP_LBU=A3)*(Bdgt_LBU))</f>
        <v>0</v>
      </c>
      <c r="E3" s="918">
        <f t="shared" ref="E3:E34" si="3">SUMPRODUCT((OP_CAF=A3)*(Bdgt_CAF))</f>
        <v>0</v>
      </c>
      <c r="F3" s="918">
        <f t="shared" ref="F3:F38" si="4">SUMPRODUCT((OP_Region=A3)*(Bdgt_Region))</f>
        <v>0</v>
      </c>
      <c r="G3" s="918">
        <f t="shared" ref="G3:G38" si="5">SUMPRODUCT((OP_Rectorat=A3)*(Bdgt_Rectorat))</f>
        <v>0</v>
      </c>
      <c r="H3" s="918">
        <f t="shared" ref="H3:H38" si="6">SUMPRODUCT((OP_ADEME=A3)*(Bdgt_ADEME))</f>
        <v>0</v>
      </c>
      <c r="I3" s="918">
        <f t="shared" ref="I3:I38" si="7">SUMPRODUCT((OP_P_Ile=A3)*(Bdgt_P_Ile))</f>
        <v>0</v>
      </c>
      <c r="J3" s="1065">
        <f>SUMPRODUCT((OP_EDF=A3)*(Bdgt_EDF))</f>
        <v>0</v>
      </c>
      <c r="K3" s="918">
        <f t="shared" ref="K3:K38" si="8">SUMPRODUCT((OP_ETG_SALE=A3)*(Bdgt_ETG_SALE))</f>
        <v>0</v>
      </c>
      <c r="L3" s="918">
        <f t="shared" ref="L3:L38" si="9">SUMPRODUCT((OP_ST_JO=A3)*(Bdgt_ST_JO))</f>
        <v>0</v>
      </c>
      <c r="M3" s="918">
        <f>SUM(B3:L3)</f>
        <v>18200</v>
      </c>
      <c r="N3" s="1013">
        <v>18200</v>
      </c>
      <c r="O3" s="1014">
        <f t="shared" ref="O3:O34" si="10">SUMPRODUCT((OP_FRAFU=A3)*(DatePmt&lt;&gt;"")*(DatePmt&lt;&gt;"en attente")*(YEAR(DatePmt)=$O$1)*(ISNUMBER(MontantPaye)),MontantPaye)</f>
        <v>0</v>
      </c>
      <c r="P3" s="1063">
        <f>SUMPRODUCT((OP_Rehab=A3)*(DatePmtRehab&lt;&gt;"")*(DatePmtRehab&lt;&gt;"en attente")*(YEAR(DatePmtRehab)=$O$1)*(ISNUMBER(MontantPayeRehab)),MontantPayeRehab)</f>
        <v>3640</v>
      </c>
      <c r="Q3" s="1014">
        <f t="shared" ref="Q3:Q34" si="11">SUMPRODUCT((OP_LBU=A3)*(DatePmt_LBU&lt;&gt;"")*(DatePmt_LBU&lt;&gt;"en attente")*(YEAR(DatePmt_LBU)=$O$1)*(ISNUMBER(MtntPaye_LBU)),MtntPaye_LBU)</f>
        <v>0</v>
      </c>
      <c r="R3" s="1014">
        <f t="shared" ref="R3:R34" si="12">SUMPRODUCT((OP_CAF=A3)*(DatePmt_caf&lt;&gt;"")*(DatePmt_caf&lt;&gt;"en attente")*(YEAR(DatePmt_caf)=$O$1)*(ISNUMBER(MtntPaye_CAF)),MtntPaye_CAF)</f>
        <v>0</v>
      </c>
      <c r="S3" s="1014">
        <f t="shared" ref="S3:S34" si="13">SUMPRODUCT((OP_Region=A3)*(DatePmt_Region&lt;&gt;"")*(DatePmt_Region&lt;&gt;"en attente")*(YEAR(DatePmt_Region)=$O$1)*(ISNUMBER(MtntPaye_Region)),MtntPaye_Region)</f>
        <v>0</v>
      </c>
      <c r="T3" s="1014">
        <f t="shared" ref="T3:T38" si="14">SUMPRODUCT((OP_Rectorat=A3)*(DatePmt_Rectorat&lt;&gt;"")*(DatePmt_Rectorat&lt;&gt;"en attente")*(YEAR(DatePmt_Rectorat)=$O$1)*(ISNUMBER(MtntPaye_Rectorat)),MtntPaye_Rectorat)</f>
        <v>0</v>
      </c>
      <c r="U3" s="1014">
        <f t="shared" ref="U3:U38" si="15">SUMPRODUCT((OP_ADEME=A3)*(DatePmt_ADEME&lt;&gt;"")*(DatePmt_ADEME&lt;&gt;"en attente")*(YEAR(DatePmt_ADEME)=$O$1)*(ISNUMBER(MtntPaye_ADEME)),MtntPaye_ADEME)</f>
        <v>0</v>
      </c>
      <c r="V3" s="1014">
        <f t="shared" ref="V3:V38" si="16">SUMPRODUCT((OP_P_Ile=A3)*(DatePmt_P_ILE&lt;&gt;"")*(DatePmt_P_ILE&lt;&gt;"en attente")*(YEAR(DatePmt_P_ILE)=$O$1)*(ISNUMBER(MtntPaye_P_ILE)),MtntPaye_P_ILE)</f>
        <v>0</v>
      </c>
      <c r="W3" s="1015">
        <f t="shared" ref="W3:W38" si="17">SUMPRODUCT((OP_EDF=A3)*(DatePmt_EDF&lt;&gt;"")*(DatePmt_EDF&lt;&gt;"en attente")*(YEAR(DatePmt_EDF)=$O$1)*(ISNUMBER(MtntPaye_EDF)),MtntPaye_EDF)</f>
        <v>0</v>
      </c>
      <c r="X3" s="1014">
        <f t="shared" ref="X3:X38" si="18">SUMPRODUCT((OP_ETG_SALE=A3)*(DatePmt_ETG_SALE&lt;&gt;"")*(DatePmt_ETG_SALE&lt;&gt;"en attente")*(YEAR(DatePmt_ETG_SALE)=$O$1)*(ISNUMBER(MtntPaye_ETG_SALE)),MtntPaye_ETG_SALE)</f>
        <v>0</v>
      </c>
      <c r="Y3" s="1014">
        <f t="shared" ref="Y3:Y38" si="19">SUMPRODUCT((OP_ST_JO=A3)*(DatePmt_ST_JOSEPH&lt;&gt;"")*(DatePmt_ST_JOSEPH&lt;&gt;"en attente")*(YEAR(DatePmt_ST_JOSEPH)=$O$1)*(ISNUMBER(MtntPaye_ST_JOSEPH)),MtntPaye_ST_JOSEPH)</f>
        <v>0</v>
      </c>
      <c r="Z3" s="1023">
        <f>SUM(O3:Y3)</f>
        <v>3640</v>
      </c>
    </row>
    <row r="4" spans="1:26">
      <c r="A4" s="914" t="s">
        <v>259</v>
      </c>
      <c r="B4" s="918">
        <f t="shared" si="0"/>
        <v>0</v>
      </c>
      <c r="C4" s="918">
        <f t="shared" si="1"/>
        <v>0</v>
      </c>
      <c r="D4" s="918">
        <f t="shared" si="2"/>
        <v>672000</v>
      </c>
      <c r="E4" s="918">
        <f t="shared" si="3"/>
        <v>0</v>
      </c>
      <c r="F4" s="918">
        <f t="shared" si="4"/>
        <v>0</v>
      </c>
      <c r="G4" s="918">
        <f t="shared" si="5"/>
        <v>0</v>
      </c>
      <c r="H4" s="918">
        <f t="shared" si="6"/>
        <v>0</v>
      </c>
      <c r="I4" s="918">
        <f t="shared" si="7"/>
        <v>0</v>
      </c>
      <c r="J4" s="1065">
        <f t="shared" ref="J3:J38" si="20">SUMPRODUCT((OP_EDF=A4)*(Bdgt_EDF))</f>
        <v>164216.22999999998</v>
      </c>
      <c r="K4" s="918">
        <f t="shared" si="8"/>
        <v>0</v>
      </c>
      <c r="L4" s="918">
        <f t="shared" si="9"/>
        <v>0</v>
      </c>
      <c r="M4" s="918">
        <f t="shared" ref="M4:M66" si="21">SUM(B4:L4)</f>
        <v>836216.23</v>
      </c>
      <c r="N4" s="1013">
        <v>836216.23</v>
      </c>
      <c r="O4" s="1014">
        <f t="shared" si="10"/>
        <v>0</v>
      </c>
      <c r="P4" s="1014">
        <f>SUMPRODUCT((OP_Rehab=A4)*(DatePmtRehab&lt;&gt;"")*(DatePmtRehab&lt;&gt;"en attente")*(YEAR(DatePmtRehab)=$O$1)*(ISNUMBER(MontantPayeRehab)),MontantPayeRehab)</f>
        <v>0</v>
      </c>
      <c r="Q4" s="1016">
        <f t="shared" si="11"/>
        <v>268963.8</v>
      </c>
      <c r="R4" s="1014">
        <f t="shared" si="12"/>
        <v>0</v>
      </c>
      <c r="S4" s="1014">
        <f t="shared" si="13"/>
        <v>0</v>
      </c>
      <c r="T4" s="1014">
        <f t="shared" si="14"/>
        <v>0</v>
      </c>
      <c r="U4" s="1014">
        <f t="shared" si="15"/>
        <v>0</v>
      </c>
      <c r="V4" s="1014">
        <f t="shared" si="16"/>
        <v>0</v>
      </c>
      <c r="W4" s="1015">
        <f t="shared" si="17"/>
        <v>0</v>
      </c>
      <c r="X4" s="1014">
        <f t="shared" si="18"/>
        <v>0</v>
      </c>
      <c r="Y4" s="1014">
        <f t="shared" si="19"/>
        <v>0</v>
      </c>
      <c r="Z4" s="1023">
        <f t="shared" ref="Z4:Z67" si="22">SUM(O4:Y4)</f>
        <v>268963.8</v>
      </c>
    </row>
    <row r="5" spans="1:26">
      <c r="A5" s="914" t="s">
        <v>47</v>
      </c>
      <c r="B5" s="918">
        <f t="shared" ref="B5" si="23">SUMPRODUCT((OP_FRAFU=A5)*(Bdgt_FRAFU))</f>
        <v>340000</v>
      </c>
      <c r="C5" s="918">
        <f t="shared" ref="C5" si="24">SUMPRODUCT((OP_Rehab=A5)*(Bdgt_Rehab))</f>
        <v>0</v>
      </c>
      <c r="D5" s="918">
        <f t="shared" ref="D5" si="25">SUMPRODUCT((OP_LBU=A5)*(Bdgt_LBU))</f>
        <v>254997</v>
      </c>
      <c r="E5" s="918">
        <f t="shared" si="3"/>
        <v>0</v>
      </c>
      <c r="F5" s="918">
        <f t="shared" ref="F5" si="26">SUMPRODUCT((OP_Region=A5)*(Bdgt_Region))</f>
        <v>0</v>
      </c>
      <c r="G5" s="918">
        <f t="shared" ref="G5" si="27">SUMPRODUCT((OP_Rectorat=A5)*(Bdgt_Rectorat))</f>
        <v>0</v>
      </c>
      <c r="H5" s="918">
        <f t="shared" ref="H5" si="28">SUMPRODUCT((OP_ADEME=A5)*(Bdgt_ADEME))</f>
        <v>0</v>
      </c>
      <c r="I5" s="918">
        <f t="shared" ref="I5" si="29">SUMPRODUCT((OP_P_Ile=A5)*(Bdgt_P_Ile))</f>
        <v>0</v>
      </c>
      <c r="J5" s="1065">
        <f t="shared" ref="J5" si="30">SUMPRODUCT((OP_EDF=A5)*(Bdgt_EDF))</f>
        <v>17009.03</v>
      </c>
      <c r="K5" s="918">
        <f t="shared" ref="K5" si="31">SUMPRODUCT((OP_ETG_SALE=A5)*(Bdgt_ETG_SALE))</f>
        <v>0</v>
      </c>
      <c r="L5" s="918">
        <f t="shared" ref="L5" si="32">SUMPRODUCT((OP_ST_JO=A5)*(Bdgt_ST_JO))</f>
        <v>0</v>
      </c>
      <c r="M5" s="918">
        <f t="shared" ref="M5" si="33">SUM(B5:L5)</f>
        <v>612006.03</v>
      </c>
      <c r="N5" s="1013">
        <v>836217.23</v>
      </c>
      <c r="O5" s="1014">
        <f t="shared" si="10"/>
        <v>76673.78</v>
      </c>
      <c r="P5" s="1014">
        <f>SUMPRODUCT((OP_Rehab=A5)*(DatePmtRehab&lt;&gt;"")*(DatePmtRehab&lt;&gt;"en attente")*(YEAR(DatePmtRehab)=$O$1)*(ISNUMBER(MontantPayeRehab)),MontantPayeRehab)</f>
        <v>0</v>
      </c>
      <c r="Q5" s="1016">
        <f t="shared" si="11"/>
        <v>0</v>
      </c>
      <c r="R5" s="1014">
        <f t="shared" si="12"/>
        <v>0</v>
      </c>
      <c r="S5" s="1014">
        <f t="shared" si="13"/>
        <v>0</v>
      </c>
      <c r="T5" s="1014">
        <f t="shared" ref="T5" si="34">SUMPRODUCT((OP_Rectorat=A5)*(DatePmt_Rectorat&lt;&gt;"")*(DatePmt_Rectorat&lt;&gt;"en attente")*(YEAR(DatePmt_Rectorat)=$O$1)*(ISNUMBER(MtntPaye_Rectorat)),MtntPaye_Rectorat)</f>
        <v>0</v>
      </c>
      <c r="U5" s="1014">
        <f t="shared" ref="U5" si="35">SUMPRODUCT((OP_ADEME=A5)*(DatePmt_ADEME&lt;&gt;"")*(DatePmt_ADEME&lt;&gt;"en attente")*(YEAR(DatePmt_ADEME)=$O$1)*(ISNUMBER(MtntPaye_ADEME)),MtntPaye_ADEME)</f>
        <v>0</v>
      </c>
      <c r="V5" s="1014">
        <f t="shared" ref="V5" si="36">SUMPRODUCT((OP_P_Ile=A5)*(DatePmt_P_ILE&lt;&gt;"")*(DatePmt_P_ILE&lt;&gt;"en attente")*(YEAR(DatePmt_P_ILE)=$O$1)*(ISNUMBER(MtntPaye_P_ILE)),MtntPaye_P_ILE)</f>
        <v>0</v>
      </c>
      <c r="W5" s="1015">
        <f t="shared" ref="W5" si="37">SUMPRODUCT((OP_EDF=A5)*(DatePmt_EDF&lt;&gt;"")*(DatePmt_EDF&lt;&gt;"en attente")*(YEAR(DatePmt_EDF)=$O$1)*(ISNUMBER(MtntPaye_EDF)),MtntPaye_EDF)</f>
        <v>0</v>
      </c>
      <c r="X5" s="1014">
        <f t="shared" ref="X5" si="38">SUMPRODUCT((OP_ETG_SALE=A5)*(DatePmt_ETG_SALE&lt;&gt;"")*(DatePmt_ETG_SALE&lt;&gt;"en attente")*(YEAR(DatePmt_ETG_SALE)=$O$1)*(ISNUMBER(MtntPaye_ETG_SALE)),MtntPaye_ETG_SALE)</f>
        <v>0</v>
      </c>
      <c r="Y5" s="1014">
        <f t="shared" ref="Y5" si="39">SUMPRODUCT((OP_ST_JO=A5)*(DatePmt_ST_JOSEPH&lt;&gt;"")*(DatePmt_ST_JOSEPH&lt;&gt;"en attente")*(YEAR(DatePmt_ST_JOSEPH)=$O$1)*(ISNUMBER(MtntPaye_ST_JOSEPH)),MtntPaye_ST_JOSEPH)</f>
        <v>0</v>
      </c>
      <c r="Z5" s="1023">
        <f t="shared" si="22"/>
        <v>76673.78</v>
      </c>
    </row>
    <row r="6" spans="1:26">
      <c r="A6" s="914" t="s">
        <v>36</v>
      </c>
      <c r="B6" s="918">
        <f t="shared" si="0"/>
        <v>2200000</v>
      </c>
      <c r="C6" s="918">
        <f t="shared" si="1"/>
        <v>0</v>
      </c>
      <c r="D6" s="918">
        <f t="shared" si="2"/>
        <v>1245001</v>
      </c>
      <c r="E6" s="918">
        <f t="shared" si="3"/>
        <v>415000</v>
      </c>
      <c r="F6" s="918">
        <f t="shared" si="4"/>
        <v>0</v>
      </c>
      <c r="G6" s="918">
        <f t="shared" si="5"/>
        <v>0</v>
      </c>
      <c r="H6" s="918">
        <f t="shared" si="6"/>
        <v>0</v>
      </c>
      <c r="I6" s="918">
        <f t="shared" si="7"/>
        <v>0</v>
      </c>
      <c r="J6" s="1065">
        <f t="shared" si="20"/>
        <v>0</v>
      </c>
      <c r="K6" s="918">
        <f t="shared" si="8"/>
        <v>0</v>
      </c>
      <c r="L6" s="918">
        <f t="shared" si="9"/>
        <v>0</v>
      </c>
      <c r="M6" s="918">
        <f t="shared" si="21"/>
        <v>3860001</v>
      </c>
      <c r="N6" s="1013">
        <v>3445001</v>
      </c>
      <c r="O6" s="1014">
        <f t="shared" si="10"/>
        <v>81445.3</v>
      </c>
      <c r="P6" s="1014">
        <f>SUMPRODUCT((OP_Rehab=A6)*(DatePmtRehab&lt;&gt;"")*(DatePmtRehab&lt;&gt;"en attente")*(YEAR(DatePmtRehab)=$O$1)*(ISNUMBER(MontantPayeRehab)),MontantPayeRehab)</f>
        <v>0</v>
      </c>
      <c r="Q6" s="1016">
        <f t="shared" si="11"/>
        <v>98728.5</v>
      </c>
      <c r="R6" s="1014">
        <f t="shared" si="12"/>
        <v>124500</v>
      </c>
      <c r="S6" s="1014">
        <f t="shared" si="13"/>
        <v>0</v>
      </c>
      <c r="T6" s="1014">
        <f t="shared" si="14"/>
        <v>0</v>
      </c>
      <c r="U6" s="1014">
        <f t="shared" si="15"/>
        <v>0</v>
      </c>
      <c r="V6" s="1014">
        <f t="shared" si="16"/>
        <v>0</v>
      </c>
      <c r="W6" s="1015">
        <f t="shared" si="17"/>
        <v>0</v>
      </c>
      <c r="X6" s="1014">
        <f t="shared" si="18"/>
        <v>0</v>
      </c>
      <c r="Y6" s="1014">
        <f t="shared" si="19"/>
        <v>0</v>
      </c>
      <c r="Z6" s="1023">
        <f t="shared" si="22"/>
        <v>304673.8</v>
      </c>
    </row>
    <row r="7" spans="1:26">
      <c r="A7" s="914" t="s">
        <v>361</v>
      </c>
      <c r="B7" s="918">
        <f t="shared" si="0"/>
        <v>0</v>
      </c>
      <c r="C7" s="918">
        <f t="shared" si="1"/>
        <v>655705.55999999994</v>
      </c>
      <c r="D7" s="918">
        <f t="shared" si="2"/>
        <v>0</v>
      </c>
      <c r="E7" s="918">
        <f t="shared" si="3"/>
        <v>0</v>
      </c>
      <c r="F7" s="918">
        <f t="shared" si="4"/>
        <v>0</v>
      </c>
      <c r="G7" s="918">
        <f t="shared" si="5"/>
        <v>0</v>
      </c>
      <c r="H7" s="918">
        <f t="shared" si="6"/>
        <v>0</v>
      </c>
      <c r="I7" s="918">
        <f t="shared" si="7"/>
        <v>0</v>
      </c>
      <c r="J7" s="1065">
        <f t="shared" si="20"/>
        <v>0</v>
      </c>
      <c r="K7" s="918">
        <f t="shared" si="8"/>
        <v>0</v>
      </c>
      <c r="L7" s="918">
        <f t="shared" si="9"/>
        <v>0</v>
      </c>
      <c r="M7" s="918">
        <f t="shared" si="21"/>
        <v>655705.55999999994</v>
      </c>
      <c r="N7" s="1013">
        <v>655705.55999999994</v>
      </c>
      <c r="O7" s="1014">
        <f t="shared" si="10"/>
        <v>0</v>
      </c>
      <c r="P7" s="1014">
        <f>SUMPRODUCT((OP_Rehab=A7)*(DatePmtRehab&lt;&gt;"")*(DatePmtRehab&lt;&gt;"en attente")*(YEAR(DatePmtRehab)=$O$1)*(ISNUMBER(MontantPayeRehab)),MontantPayeRehab)</f>
        <v>0</v>
      </c>
      <c r="Q7" s="1016">
        <f t="shared" si="11"/>
        <v>0</v>
      </c>
      <c r="R7" s="1014">
        <f t="shared" si="12"/>
        <v>0</v>
      </c>
      <c r="S7" s="1014">
        <f t="shared" si="13"/>
        <v>0</v>
      </c>
      <c r="T7" s="1014">
        <f t="shared" si="14"/>
        <v>0</v>
      </c>
      <c r="U7" s="1014">
        <f t="shared" si="15"/>
        <v>0</v>
      </c>
      <c r="V7" s="1014">
        <f t="shared" si="16"/>
        <v>0</v>
      </c>
      <c r="W7" s="1015">
        <f t="shared" si="17"/>
        <v>0</v>
      </c>
      <c r="X7" s="1014">
        <f t="shared" si="18"/>
        <v>0</v>
      </c>
      <c r="Y7" s="1014">
        <f t="shared" si="19"/>
        <v>0</v>
      </c>
      <c r="Z7" s="1023">
        <f t="shared" si="22"/>
        <v>0</v>
      </c>
    </row>
    <row r="8" spans="1:26">
      <c r="A8" s="914" t="s">
        <v>320</v>
      </c>
      <c r="B8" s="918">
        <f t="shared" si="0"/>
        <v>0</v>
      </c>
      <c r="C8" s="918">
        <f t="shared" si="1"/>
        <v>47320</v>
      </c>
      <c r="D8" s="918">
        <f t="shared" si="2"/>
        <v>0</v>
      </c>
      <c r="E8" s="918">
        <f t="shared" si="3"/>
        <v>0</v>
      </c>
      <c r="F8" s="918">
        <f t="shared" si="4"/>
        <v>0</v>
      </c>
      <c r="G8" s="918">
        <f t="shared" si="5"/>
        <v>0</v>
      </c>
      <c r="H8" s="918">
        <f t="shared" si="6"/>
        <v>0</v>
      </c>
      <c r="I8" s="918">
        <f t="shared" si="7"/>
        <v>0</v>
      </c>
      <c r="J8" s="1065">
        <f t="shared" si="20"/>
        <v>0</v>
      </c>
      <c r="K8" s="918">
        <f t="shared" si="8"/>
        <v>0</v>
      </c>
      <c r="L8" s="918">
        <f t="shared" si="9"/>
        <v>0</v>
      </c>
      <c r="M8" s="918">
        <f t="shared" si="21"/>
        <v>47320</v>
      </c>
      <c r="N8" s="1013">
        <v>47320</v>
      </c>
      <c r="O8" s="1014">
        <f t="shared" si="10"/>
        <v>0</v>
      </c>
      <c r="P8" s="1063">
        <f>SUMPRODUCT((OP_Rehab=A8)*(DatePmtRehab&lt;&gt;"")*(DatePmtRehab&lt;&gt;"en attente")*(YEAR(DatePmtRehab)=$O$1)*(ISNUMBER(MontantPayeRehab)),MontantPayeRehab)</f>
        <v>9464</v>
      </c>
      <c r="Q8" s="1016">
        <f t="shared" si="11"/>
        <v>0</v>
      </c>
      <c r="R8" s="1014">
        <f t="shared" si="12"/>
        <v>0</v>
      </c>
      <c r="S8" s="1014">
        <f t="shared" si="13"/>
        <v>0</v>
      </c>
      <c r="T8" s="1014">
        <f t="shared" si="14"/>
        <v>0</v>
      </c>
      <c r="U8" s="1014">
        <f t="shared" si="15"/>
        <v>0</v>
      </c>
      <c r="V8" s="1014">
        <f t="shared" si="16"/>
        <v>0</v>
      </c>
      <c r="W8" s="1015">
        <f t="shared" si="17"/>
        <v>0</v>
      </c>
      <c r="X8" s="1014">
        <f t="shared" si="18"/>
        <v>0</v>
      </c>
      <c r="Y8" s="1014">
        <f t="shared" si="19"/>
        <v>0</v>
      </c>
      <c r="Z8" s="1023">
        <f t="shared" si="22"/>
        <v>9464</v>
      </c>
    </row>
    <row r="9" spans="1:26">
      <c r="A9" s="914" t="s">
        <v>54</v>
      </c>
      <c r="B9" s="918">
        <f t="shared" ref="B9" si="40">SUMPRODUCT((OP_FRAFU=A9)*(Bdgt_FRAFU))</f>
        <v>1300000</v>
      </c>
      <c r="C9" s="918">
        <f t="shared" ref="C9" si="41">SUMPRODUCT((OP_Rehab=A9)*(Bdgt_Rehab))</f>
        <v>0</v>
      </c>
      <c r="D9" s="918">
        <f t="shared" ref="D9" si="42">SUMPRODUCT((OP_LBU=A9)*(Bdgt_LBU))</f>
        <v>790394</v>
      </c>
      <c r="E9" s="918">
        <f t="shared" si="3"/>
        <v>0</v>
      </c>
      <c r="F9" s="918">
        <f t="shared" ref="F9" si="43">SUMPRODUCT((OP_Region=A9)*(Bdgt_Region))</f>
        <v>0</v>
      </c>
      <c r="G9" s="918">
        <f t="shared" ref="G9" si="44">SUMPRODUCT((OP_Rectorat=A9)*(Bdgt_Rectorat))</f>
        <v>0</v>
      </c>
      <c r="H9" s="918">
        <f t="shared" ref="H9" si="45">SUMPRODUCT((OP_ADEME=A9)*(Bdgt_ADEME))</f>
        <v>0</v>
      </c>
      <c r="I9" s="918">
        <f t="shared" ref="I9" si="46">SUMPRODUCT((OP_P_Ile=A9)*(Bdgt_P_Ile))</f>
        <v>0</v>
      </c>
      <c r="J9" s="1065">
        <f t="shared" ref="J9" si="47">SUMPRODUCT((OP_EDF=A9)*(Bdgt_EDF))</f>
        <v>0</v>
      </c>
      <c r="K9" s="918">
        <f t="shared" ref="K9" si="48">SUMPRODUCT((OP_ETG_SALE=A9)*(Bdgt_ETG_SALE))</f>
        <v>0</v>
      </c>
      <c r="L9" s="918">
        <f t="shared" ref="L9" si="49">SUMPRODUCT((OP_ST_JO=A9)*(Bdgt_ST_JO))</f>
        <v>0</v>
      </c>
      <c r="M9" s="918">
        <f t="shared" ref="M9" si="50">SUM(B9:L9)</f>
        <v>2090394</v>
      </c>
      <c r="N9" s="1013">
        <v>47321</v>
      </c>
      <c r="O9" s="1014">
        <f t="shared" si="10"/>
        <v>246871.59</v>
      </c>
      <c r="P9" s="1014">
        <f t="shared" ref="P3:P34" si="51">SUMPRODUCT((OP_Rehab=A9)*(DatePmtRehab&lt;&gt;"")*(DatePmtRehab&lt;&gt;"en attente")*(YEAR(DatePmtRehab)=$P$1)*(ISNUMBER(MontantPayeRehab)),MontantPayeRehab)</f>
        <v>0</v>
      </c>
      <c r="Q9" s="1016">
        <f t="shared" si="11"/>
        <v>166615.06</v>
      </c>
      <c r="R9" s="1014">
        <f t="shared" si="12"/>
        <v>0</v>
      </c>
      <c r="S9" s="1014">
        <f t="shared" si="13"/>
        <v>0</v>
      </c>
      <c r="T9" s="1014">
        <f t="shared" ref="T9" si="52">SUMPRODUCT((OP_Rectorat=A9)*(DatePmt_Rectorat&lt;&gt;"")*(DatePmt_Rectorat&lt;&gt;"en attente")*(YEAR(DatePmt_Rectorat)=$O$1)*(ISNUMBER(MtntPaye_Rectorat)),MtntPaye_Rectorat)</f>
        <v>0</v>
      </c>
      <c r="U9" s="1014">
        <f t="shared" ref="U9" si="53">SUMPRODUCT((OP_ADEME=A9)*(DatePmt_ADEME&lt;&gt;"")*(DatePmt_ADEME&lt;&gt;"en attente")*(YEAR(DatePmt_ADEME)=$O$1)*(ISNUMBER(MtntPaye_ADEME)),MtntPaye_ADEME)</f>
        <v>0</v>
      </c>
      <c r="V9" s="1014">
        <f t="shared" ref="V9" si="54">SUMPRODUCT((OP_P_Ile=A9)*(DatePmt_P_ILE&lt;&gt;"")*(DatePmt_P_ILE&lt;&gt;"en attente")*(YEAR(DatePmt_P_ILE)=$O$1)*(ISNUMBER(MtntPaye_P_ILE)),MtntPaye_P_ILE)</f>
        <v>0</v>
      </c>
      <c r="W9" s="1015">
        <f t="shared" ref="W9" si="55">SUMPRODUCT((OP_EDF=A9)*(DatePmt_EDF&lt;&gt;"")*(DatePmt_EDF&lt;&gt;"en attente")*(YEAR(DatePmt_EDF)=$O$1)*(ISNUMBER(MtntPaye_EDF)),MtntPaye_EDF)</f>
        <v>0</v>
      </c>
      <c r="X9" s="1014">
        <f t="shared" ref="X9" si="56">SUMPRODUCT((OP_ETG_SALE=A9)*(DatePmt_ETG_SALE&lt;&gt;"")*(DatePmt_ETG_SALE&lt;&gt;"en attente")*(YEAR(DatePmt_ETG_SALE)=$O$1)*(ISNUMBER(MtntPaye_ETG_SALE)),MtntPaye_ETG_SALE)</f>
        <v>0</v>
      </c>
      <c r="Y9" s="1014">
        <f t="shared" ref="Y9" si="57">SUMPRODUCT((OP_ST_JO=A9)*(DatePmt_ST_JOSEPH&lt;&gt;"")*(DatePmt_ST_JOSEPH&lt;&gt;"en attente")*(YEAR(DatePmt_ST_JOSEPH)=$O$1)*(ISNUMBER(MtntPaye_ST_JOSEPH)),MtntPaye_ST_JOSEPH)</f>
        <v>0</v>
      </c>
      <c r="Z9" s="1023">
        <f t="shared" si="22"/>
        <v>413486.65</v>
      </c>
    </row>
    <row r="10" spans="1:26">
      <c r="A10" s="914" t="s">
        <v>253</v>
      </c>
      <c r="B10" s="918">
        <f t="shared" si="0"/>
        <v>0</v>
      </c>
      <c r="C10" s="918">
        <f t="shared" si="1"/>
        <v>0</v>
      </c>
      <c r="D10" s="918">
        <f t="shared" si="2"/>
        <v>270000</v>
      </c>
      <c r="E10" s="918">
        <f t="shared" si="3"/>
        <v>0</v>
      </c>
      <c r="F10" s="918">
        <f t="shared" si="4"/>
        <v>0</v>
      </c>
      <c r="G10" s="918">
        <f t="shared" si="5"/>
        <v>0</v>
      </c>
      <c r="H10" s="918">
        <f t="shared" si="6"/>
        <v>0</v>
      </c>
      <c r="I10" s="918">
        <f t="shared" si="7"/>
        <v>0</v>
      </c>
      <c r="J10" s="1065">
        <f t="shared" si="20"/>
        <v>0</v>
      </c>
      <c r="K10" s="918">
        <f t="shared" si="8"/>
        <v>0</v>
      </c>
      <c r="L10" s="918">
        <f t="shared" si="9"/>
        <v>0</v>
      </c>
      <c r="M10" s="918">
        <f t="shared" si="21"/>
        <v>270000</v>
      </c>
      <c r="N10" s="1013">
        <v>270000</v>
      </c>
      <c r="O10" s="1014">
        <f t="shared" si="10"/>
        <v>0</v>
      </c>
      <c r="P10" s="1014">
        <f t="shared" si="51"/>
        <v>0</v>
      </c>
      <c r="Q10" s="1016">
        <f t="shared" si="11"/>
        <v>0</v>
      </c>
      <c r="R10" s="1014">
        <f t="shared" si="12"/>
        <v>0</v>
      </c>
      <c r="S10" s="1014">
        <f t="shared" si="13"/>
        <v>0</v>
      </c>
      <c r="T10" s="1014">
        <f t="shared" si="14"/>
        <v>0</v>
      </c>
      <c r="U10" s="1014">
        <f t="shared" si="15"/>
        <v>0</v>
      </c>
      <c r="V10" s="1014">
        <f t="shared" si="16"/>
        <v>0</v>
      </c>
      <c r="W10" s="1015">
        <f t="shared" si="17"/>
        <v>0</v>
      </c>
      <c r="X10" s="1014">
        <f t="shared" si="18"/>
        <v>0</v>
      </c>
      <c r="Y10" s="1014">
        <f t="shared" si="19"/>
        <v>0</v>
      </c>
      <c r="Z10" s="1023">
        <f t="shared" si="22"/>
        <v>0</v>
      </c>
    </row>
    <row r="11" spans="1:26">
      <c r="A11" s="914" t="s">
        <v>329</v>
      </c>
      <c r="B11" s="918">
        <f t="shared" si="0"/>
        <v>0</v>
      </c>
      <c r="C11" s="918">
        <f t="shared" si="1"/>
        <v>401760</v>
      </c>
      <c r="D11" s="918">
        <f t="shared" si="2"/>
        <v>0</v>
      </c>
      <c r="E11" s="918">
        <f t="shared" si="3"/>
        <v>0</v>
      </c>
      <c r="F11" s="918">
        <f t="shared" si="4"/>
        <v>0</v>
      </c>
      <c r="G11" s="918">
        <f t="shared" si="5"/>
        <v>0</v>
      </c>
      <c r="H11" s="918">
        <f t="shared" si="6"/>
        <v>0</v>
      </c>
      <c r="I11" s="918">
        <f t="shared" si="7"/>
        <v>0</v>
      </c>
      <c r="J11" s="1065">
        <f t="shared" si="20"/>
        <v>0</v>
      </c>
      <c r="K11" s="918">
        <f t="shared" si="8"/>
        <v>0</v>
      </c>
      <c r="L11" s="918">
        <f t="shared" si="9"/>
        <v>0</v>
      </c>
      <c r="M11" s="918">
        <f t="shared" si="21"/>
        <v>401760</v>
      </c>
      <c r="N11" s="1013">
        <v>401760</v>
      </c>
      <c r="O11" s="1014">
        <f t="shared" si="10"/>
        <v>0</v>
      </c>
      <c r="P11" s="1063">
        <f>SUMPRODUCT((OP_Rehab=A11)*(DatePmtRehab&lt;&gt;"")*(DatePmtRehab&lt;&gt;"en attente")*(YEAR(DatePmtRehab)=$O$1)*(ISNUMBER(MontantPayeRehab)),MontantPayeRehab)</f>
        <v>80352</v>
      </c>
      <c r="Q11" s="1016">
        <f t="shared" si="11"/>
        <v>0</v>
      </c>
      <c r="R11" s="1014">
        <f t="shared" si="12"/>
        <v>0</v>
      </c>
      <c r="S11" s="1014">
        <f t="shared" si="13"/>
        <v>0</v>
      </c>
      <c r="T11" s="1014">
        <f t="shared" si="14"/>
        <v>0</v>
      </c>
      <c r="U11" s="1014">
        <f t="shared" si="15"/>
        <v>0</v>
      </c>
      <c r="V11" s="1014">
        <f t="shared" si="16"/>
        <v>0</v>
      </c>
      <c r="W11" s="1015">
        <f t="shared" si="17"/>
        <v>0</v>
      </c>
      <c r="X11" s="1014">
        <f t="shared" si="18"/>
        <v>0</v>
      </c>
      <c r="Y11" s="1014">
        <f t="shared" si="19"/>
        <v>0</v>
      </c>
      <c r="Z11" s="1023">
        <f t="shared" si="22"/>
        <v>80352</v>
      </c>
    </row>
    <row r="12" spans="1:26">
      <c r="A12" s="914" t="s">
        <v>302</v>
      </c>
      <c r="B12" s="918">
        <f t="shared" si="0"/>
        <v>0</v>
      </c>
      <c r="C12" s="918">
        <f t="shared" si="1"/>
        <v>0</v>
      </c>
      <c r="D12" s="918">
        <f t="shared" si="2"/>
        <v>480000</v>
      </c>
      <c r="E12" s="918">
        <f t="shared" si="3"/>
        <v>0</v>
      </c>
      <c r="F12" s="918">
        <f t="shared" si="4"/>
        <v>0</v>
      </c>
      <c r="G12" s="918">
        <f t="shared" si="5"/>
        <v>0</v>
      </c>
      <c r="H12" s="918">
        <f t="shared" si="6"/>
        <v>0</v>
      </c>
      <c r="I12" s="918">
        <f t="shared" si="7"/>
        <v>0</v>
      </c>
      <c r="J12" s="1065">
        <f t="shared" si="20"/>
        <v>47338.549999999996</v>
      </c>
      <c r="K12" s="918">
        <f t="shared" si="8"/>
        <v>0</v>
      </c>
      <c r="L12" s="918">
        <f t="shared" si="9"/>
        <v>0</v>
      </c>
      <c r="M12" s="918">
        <f t="shared" si="21"/>
        <v>527338.55000000005</v>
      </c>
      <c r="N12" s="1013">
        <v>527338.55000000005</v>
      </c>
      <c r="O12" s="1014">
        <f t="shared" si="10"/>
        <v>0</v>
      </c>
      <c r="P12" s="1014">
        <f t="shared" si="51"/>
        <v>0</v>
      </c>
      <c r="Q12" s="1016">
        <f t="shared" si="11"/>
        <v>0</v>
      </c>
      <c r="R12" s="1014">
        <f t="shared" si="12"/>
        <v>0</v>
      </c>
      <c r="S12" s="1014">
        <f t="shared" si="13"/>
        <v>0</v>
      </c>
      <c r="T12" s="1014">
        <f t="shared" si="14"/>
        <v>0</v>
      </c>
      <c r="U12" s="1014">
        <f t="shared" si="15"/>
        <v>0</v>
      </c>
      <c r="V12" s="1014">
        <f t="shared" si="16"/>
        <v>0</v>
      </c>
      <c r="W12" s="1015">
        <f t="shared" si="17"/>
        <v>0</v>
      </c>
      <c r="X12" s="1014">
        <f t="shared" si="18"/>
        <v>0</v>
      </c>
      <c r="Y12" s="1014">
        <f t="shared" si="19"/>
        <v>0</v>
      </c>
      <c r="Z12" s="1023">
        <f t="shared" si="22"/>
        <v>0</v>
      </c>
    </row>
    <row r="13" spans="1:26">
      <c r="A13" s="914" t="s">
        <v>379</v>
      </c>
      <c r="B13" s="918">
        <f t="shared" si="0"/>
        <v>0</v>
      </c>
      <c r="C13" s="918">
        <f t="shared" si="1"/>
        <v>115000</v>
      </c>
      <c r="D13" s="918">
        <f t="shared" si="2"/>
        <v>0</v>
      </c>
      <c r="E13" s="918">
        <f t="shared" si="3"/>
        <v>0</v>
      </c>
      <c r="F13" s="918">
        <f t="shared" si="4"/>
        <v>0</v>
      </c>
      <c r="G13" s="918">
        <f t="shared" si="5"/>
        <v>0</v>
      </c>
      <c r="H13" s="918">
        <f t="shared" si="6"/>
        <v>0</v>
      </c>
      <c r="I13" s="918">
        <f t="shared" si="7"/>
        <v>0</v>
      </c>
      <c r="J13" s="1065">
        <f t="shared" si="20"/>
        <v>0</v>
      </c>
      <c r="K13" s="918">
        <f t="shared" si="8"/>
        <v>0</v>
      </c>
      <c r="L13" s="918">
        <f t="shared" si="9"/>
        <v>0</v>
      </c>
      <c r="M13" s="918">
        <f t="shared" si="21"/>
        <v>115000</v>
      </c>
      <c r="N13" s="1013">
        <v>115000</v>
      </c>
      <c r="O13" s="1014">
        <f t="shared" si="10"/>
        <v>0</v>
      </c>
      <c r="P13" s="1014">
        <f t="shared" si="51"/>
        <v>0</v>
      </c>
      <c r="Q13" s="1016">
        <f t="shared" si="11"/>
        <v>0</v>
      </c>
      <c r="R13" s="1014">
        <f t="shared" si="12"/>
        <v>0</v>
      </c>
      <c r="S13" s="1014">
        <f t="shared" si="13"/>
        <v>0</v>
      </c>
      <c r="T13" s="1014">
        <f t="shared" si="14"/>
        <v>0</v>
      </c>
      <c r="U13" s="1014">
        <f t="shared" si="15"/>
        <v>0</v>
      </c>
      <c r="V13" s="1014">
        <f t="shared" si="16"/>
        <v>0</v>
      </c>
      <c r="W13" s="1015">
        <f t="shared" si="17"/>
        <v>0</v>
      </c>
      <c r="X13" s="1014">
        <f t="shared" si="18"/>
        <v>0</v>
      </c>
      <c r="Y13" s="1014">
        <f t="shared" si="19"/>
        <v>0</v>
      </c>
      <c r="Z13" s="1023">
        <f t="shared" si="22"/>
        <v>0</v>
      </c>
    </row>
    <row r="14" spans="1:26">
      <c r="A14" s="914" t="s">
        <v>347</v>
      </c>
      <c r="B14" s="918">
        <f t="shared" si="0"/>
        <v>0</v>
      </c>
      <c r="C14" s="918">
        <f t="shared" si="1"/>
        <v>0</v>
      </c>
      <c r="D14" s="918">
        <f t="shared" si="2"/>
        <v>780000</v>
      </c>
      <c r="E14" s="918">
        <f t="shared" si="3"/>
        <v>0</v>
      </c>
      <c r="F14" s="918">
        <f t="shared" si="4"/>
        <v>0</v>
      </c>
      <c r="G14" s="918">
        <f t="shared" si="5"/>
        <v>0</v>
      </c>
      <c r="H14" s="918">
        <f t="shared" si="6"/>
        <v>0</v>
      </c>
      <c r="I14" s="918">
        <f t="shared" si="7"/>
        <v>0</v>
      </c>
      <c r="J14" s="1065">
        <f t="shared" si="20"/>
        <v>0</v>
      </c>
      <c r="K14" s="918">
        <f t="shared" si="8"/>
        <v>0</v>
      </c>
      <c r="L14" s="918">
        <f t="shared" si="9"/>
        <v>0</v>
      </c>
      <c r="M14" s="918">
        <f t="shared" si="21"/>
        <v>780000</v>
      </c>
      <c r="N14" s="1013">
        <v>780000</v>
      </c>
      <c r="O14" s="1014">
        <f t="shared" si="10"/>
        <v>0</v>
      </c>
      <c r="P14" s="1014">
        <f t="shared" si="51"/>
        <v>0</v>
      </c>
      <c r="Q14" s="1016">
        <f t="shared" si="11"/>
        <v>0</v>
      </c>
      <c r="R14" s="1014">
        <f t="shared" si="12"/>
        <v>0</v>
      </c>
      <c r="S14" s="1014">
        <f t="shared" si="13"/>
        <v>0</v>
      </c>
      <c r="T14" s="1014">
        <f t="shared" si="14"/>
        <v>0</v>
      </c>
      <c r="U14" s="1014">
        <f t="shared" si="15"/>
        <v>0</v>
      </c>
      <c r="V14" s="1014">
        <f t="shared" si="16"/>
        <v>0</v>
      </c>
      <c r="W14" s="1015">
        <f t="shared" si="17"/>
        <v>0</v>
      </c>
      <c r="X14" s="1014">
        <f t="shared" si="18"/>
        <v>0</v>
      </c>
      <c r="Y14" s="1014">
        <f t="shared" si="19"/>
        <v>0</v>
      </c>
      <c r="Z14" s="1023">
        <f t="shared" si="22"/>
        <v>0</v>
      </c>
    </row>
    <row r="15" spans="1:26">
      <c r="A15" s="914" t="s">
        <v>321</v>
      </c>
      <c r="B15" s="918">
        <f t="shared" si="0"/>
        <v>0</v>
      </c>
      <c r="C15" s="918">
        <f t="shared" si="1"/>
        <v>10920</v>
      </c>
      <c r="D15" s="918">
        <f t="shared" si="2"/>
        <v>0</v>
      </c>
      <c r="E15" s="918">
        <f t="shared" si="3"/>
        <v>0</v>
      </c>
      <c r="F15" s="918">
        <f t="shared" si="4"/>
        <v>0</v>
      </c>
      <c r="G15" s="918">
        <f t="shared" si="5"/>
        <v>0</v>
      </c>
      <c r="H15" s="918">
        <f t="shared" si="6"/>
        <v>0</v>
      </c>
      <c r="I15" s="918">
        <f t="shared" si="7"/>
        <v>0</v>
      </c>
      <c r="J15" s="1065">
        <f t="shared" si="20"/>
        <v>0</v>
      </c>
      <c r="K15" s="918">
        <f t="shared" si="8"/>
        <v>0</v>
      </c>
      <c r="L15" s="918">
        <f t="shared" si="9"/>
        <v>0</v>
      </c>
      <c r="M15" s="918">
        <f t="shared" si="21"/>
        <v>10920</v>
      </c>
      <c r="N15" s="1013">
        <v>10920</v>
      </c>
      <c r="O15" s="1014">
        <f t="shared" si="10"/>
        <v>0</v>
      </c>
      <c r="P15" s="1063">
        <f>SUMPRODUCT((OP_Rehab=A15)*(DatePmtRehab&lt;&gt;"")*(DatePmtRehab&lt;&gt;"en attente")*(YEAR(DatePmtRehab)=$O$1)*(ISNUMBER(MontantPayeRehab)),MontantPayeRehab)</f>
        <v>2184</v>
      </c>
      <c r="Q15" s="1016">
        <f t="shared" si="11"/>
        <v>0</v>
      </c>
      <c r="R15" s="1014">
        <f t="shared" si="12"/>
        <v>0</v>
      </c>
      <c r="S15" s="1014">
        <f t="shared" si="13"/>
        <v>0</v>
      </c>
      <c r="T15" s="1014">
        <f t="shared" si="14"/>
        <v>0</v>
      </c>
      <c r="U15" s="1014">
        <f t="shared" si="15"/>
        <v>0</v>
      </c>
      <c r="V15" s="1014">
        <f t="shared" si="16"/>
        <v>0</v>
      </c>
      <c r="W15" s="1015">
        <f t="shared" si="17"/>
        <v>0</v>
      </c>
      <c r="X15" s="1014">
        <f t="shared" si="18"/>
        <v>0</v>
      </c>
      <c r="Y15" s="1014">
        <f t="shared" si="19"/>
        <v>0</v>
      </c>
      <c r="Z15" s="1023">
        <f t="shared" si="22"/>
        <v>2184</v>
      </c>
    </row>
    <row r="16" spans="1:26">
      <c r="A16" s="914" t="s">
        <v>403</v>
      </c>
      <c r="B16" s="918">
        <f t="shared" si="0"/>
        <v>0</v>
      </c>
      <c r="C16" s="918">
        <f t="shared" si="1"/>
        <v>0</v>
      </c>
      <c r="D16" s="918">
        <f t="shared" si="2"/>
        <v>900000</v>
      </c>
      <c r="E16" s="918">
        <f t="shared" si="3"/>
        <v>0</v>
      </c>
      <c r="F16" s="918">
        <f t="shared" si="4"/>
        <v>0</v>
      </c>
      <c r="G16" s="918">
        <f t="shared" si="5"/>
        <v>0</v>
      </c>
      <c r="H16" s="918">
        <f t="shared" si="6"/>
        <v>9355</v>
      </c>
      <c r="I16" s="918">
        <f t="shared" si="7"/>
        <v>0</v>
      </c>
      <c r="J16" s="1065">
        <f t="shared" si="20"/>
        <v>65212.84</v>
      </c>
      <c r="K16" s="918">
        <f t="shared" si="8"/>
        <v>0</v>
      </c>
      <c r="L16" s="918">
        <f t="shared" si="9"/>
        <v>0</v>
      </c>
      <c r="M16" s="918">
        <f t="shared" si="21"/>
        <v>974567.84</v>
      </c>
      <c r="N16" s="1013">
        <v>974567.84</v>
      </c>
      <c r="O16" s="1014">
        <f t="shared" si="10"/>
        <v>0</v>
      </c>
      <c r="P16" s="1014">
        <f>SUMPRODUCT((OP_Rehab=A16)*(DatePmtRehab&lt;&gt;"")*(DatePmtRehab&lt;&gt;"en attente")*(YEAR(DatePmtRehab)=$O$1)*(ISNUMBER(MontantPayeRehab)),MontantPayeRehab)</f>
        <v>0</v>
      </c>
      <c r="Q16" s="1016">
        <f t="shared" si="11"/>
        <v>270000</v>
      </c>
      <c r="R16" s="1014">
        <f t="shared" si="12"/>
        <v>0</v>
      </c>
      <c r="S16" s="1014">
        <f t="shared" si="13"/>
        <v>0</v>
      </c>
      <c r="T16" s="1014">
        <f t="shared" si="14"/>
        <v>0</v>
      </c>
      <c r="U16" s="1014">
        <f t="shared" si="15"/>
        <v>0</v>
      </c>
      <c r="V16" s="1014">
        <f t="shared" si="16"/>
        <v>0</v>
      </c>
      <c r="W16" s="1015">
        <f t="shared" si="17"/>
        <v>0</v>
      </c>
      <c r="X16" s="1014">
        <f t="shared" si="18"/>
        <v>0</v>
      </c>
      <c r="Y16" s="1014">
        <f t="shared" si="19"/>
        <v>0</v>
      </c>
      <c r="Z16" s="1023">
        <f t="shared" si="22"/>
        <v>270000</v>
      </c>
    </row>
    <row r="17" spans="1:26">
      <c r="A17" s="914" t="s">
        <v>413</v>
      </c>
      <c r="B17" s="918">
        <f t="shared" ref="B17" si="58">SUMPRODUCT((OP_FRAFU=A17)*(Bdgt_FRAFU))</f>
        <v>0</v>
      </c>
      <c r="C17" s="918">
        <f t="shared" ref="C17" si="59">SUMPRODUCT((OP_Rehab=A17)*(Bdgt_Rehab))</f>
        <v>0</v>
      </c>
      <c r="D17" s="918">
        <f t="shared" ref="D17" si="60">SUMPRODUCT((OP_LBU=A17)*(Bdgt_LBU))</f>
        <v>0</v>
      </c>
      <c r="E17" s="918">
        <f t="shared" si="3"/>
        <v>0</v>
      </c>
      <c r="F17" s="918">
        <f t="shared" ref="F17" si="61">SUMPRODUCT((OP_Region=A17)*(Bdgt_Region))</f>
        <v>0</v>
      </c>
      <c r="G17" s="918">
        <f t="shared" ref="G17" si="62">SUMPRODUCT((OP_Rectorat=A17)*(Bdgt_Rectorat))</f>
        <v>0</v>
      </c>
      <c r="H17" s="918">
        <f t="shared" ref="H17" si="63">SUMPRODUCT((OP_ADEME=A17)*(Bdgt_ADEME))</f>
        <v>13720</v>
      </c>
      <c r="I17" s="918">
        <f t="shared" ref="I17" si="64">SUMPRODUCT((OP_P_Ile=A17)*(Bdgt_P_Ile))</f>
        <v>0</v>
      </c>
      <c r="J17" s="1065">
        <f t="shared" ref="J17" si="65">SUMPRODUCT((OP_EDF=A17)*(Bdgt_EDF))</f>
        <v>0</v>
      </c>
      <c r="K17" s="918">
        <f t="shared" ref="K17" si="66">SUMPRODUCT((OP_ETG_SALE=A17)*(Bdgt_ETG_SALE))</f>
        <v>0</v>
      </c>
      <c r="L17" s="918">
        <f t="shared" ref="L17" si="67">SUMPRODUCT((OP_ST_JO=A17)*(Bdgt_ST_JO))</f>
        <v>0</v>
      </c>
      <c r="M17" s="918">
        <f t="shared" ref="M17" si="68">SUM(B17:L17)</f>
        <v>13720</v>
      </c>
      <c r="N17" s="1013">
        <v>974568.84</v>
      </c>
      <c r="O17" s="1014">
        <f t="shared" si="10"/>
        <v>0</v>
      </c>
      <c r="P17" s="1014">
        <f t="shared" si="51"/>
        <v>0</v>
      </c>
      <c r="Q17" s="1016">
        <f t="shared" si="11"/>
        <v>0</v>
      </c>
      <c r="R17" s="1014">
        <f t="shared" si="12"/>
        <v>0</v>
      </c>
      <c r="S17" s="1014">
        <f t="shared" si="13"/>
        <v>0</v>
      </c>
      <c r="T17" s="1014">
        <f t="shared" ref="T17" si="69">SUMPRODUCT((OP_Rectorat=A17)*(DatePmt_Rectorat&lt;&gt;"")*(DatePmt_Rectorat&lt;&gt;"en attente")*(YEAR(DatePmt_Rectorat)=$O$1)*(ISNUMBER(MtntPaye_Rectorat)),MtntPaye_Rectorat)</f>
        <v>0</v>
      </c>
      <c r="U17" s="1014">
        <f t="shared" ref="U17" si="70">SUMPRODUCT((OP_ADEME=A17)*(DatePmt_ADEME&lt;&gt;"")*(DatePmt_ADEME&lt;&gt;"en attente")*(YEAR(DatePmt_ADEME)=$O$1)*(ISNUMBER(MtntPaye_ADEME)),MtntPaye_ADEME)</f>
        <v>13720</v>
      </c>
      <c r="V17" s="1014">
        <f t="shared" ref="V17" si="71">SUMPRODUCT((OP_P_Ile=A17)*(DatePmt_P_ILE&lt;&gt;"")*(DatePmt_P_ILE&lt;&gt;"en attente")*(YEAR(DatePmt_P_ILE)=$O$1)*(ISNUMBER(MtntPaye_P_ILE)),MtntPaye_P_ILE)</f>
        <v>0</v>
      </c>
      <c r="W17" s="1015">
        <f t="shared" ref="W17" si="72">SUMPRODUCT((OP_EDF=A17)*(DatePmt_EDF&lt;&gt;"")*(DatePmt_EDF&lt;&gt;"en attente")*(YEAR(DatePmt_EDF)=$O$1)*(ISNUMBER(MtntPaye_EDF)),MtntPaye_EDF)</f>
        <v>0</v>
      </c>
      <c r="X17" s="1014">
        <f t="shared" ref="X17" si="73">SUMPRODUCT((OP_ETG_SALE=A17)*(DatePmt_ETG_SALE&lt;&gt;"")*(DatePmt_ETG_SALE&lt;&gt;"en attente")*(YEAR(DatePmt_ETG_SALE)=$O$1)*(ISNUMBER(MtntPaye_ETG_SALE)),MtntPaye_ETG_SALE)</f>
        <v>0</v>
      </c>
      <c r="Y17" s="1014">
        <f t="shared" ref="Y17" si="74">SUMPRODUCT((OP_ST_JO=A17)*(DatePmt_ST_JOSEPH&lt;&gt;"")*(DatePmt_ST_JOSEPH&lt;&gt;"en attente")*(YEAR(DatePmt_ST_JOSEPH)=$O$1)*(ISNUMBER(MtntPaye_ST_JOSEPH)),MtntPaye_ST_JOSEPH)</f>
        <v>0</v>
      </c>
      <c r="Z17" s="1023">
        <f t="shared" si="22"/>
        <v>13720</v>
      </c>
    </row>
    <row r="18" spans="1:26">
      <c r="A18" s="914" t="s">
        <v>325</v>
      </c>
      <c r="B18" s="918">
        <f t="shared" si="0"/>
        <v>0</v>
      </c>
      <c r="C18" s="918">
        <f t="shared" si="1"/>
        <v>281250</v>
      </c>
      <c r="D18" s="918">
        <f t="shared" si="2"/>
        <v>0</v>
      </c>
      <c r="E18" s="918">
        <f t="shared" si="3"/>
        <v>0</v>
      </c>
      <c r="F18" s="918">
        <f t="shared" si="4"/>
        <v>0</v>
      </c>
      <c r="G18" s="918">
        <f t="shared" si="5"/>
        <v>0</v>
      </c>
      <c r="H18" s="918">
        <f t="shared" si="6"/>
        <v>0</v>
      </c>
      <c r="I18" s="918">
        <f t="shared" si="7"/>
        <v>0</v>
      </c>
      <c r="J18" s="1065">
        <f t="shared" si="20"/>
        <v>0</v>
      </c>
      <c r="K18" s="918">
        <f t="shared" si="8"/>
        <v>0</v>
      </c>
      <c r="L18" s="918">
        <f t="shared" si="9"/>
        <v>0</v>
      </c>
      <c r="M18" s="918">
        <f t="shared" si="21"/>
        <v>281250</v>
      </c>
      <c r="N18" s="1013">
        <v>281250</v>
      </c>
      <c r="O18" s="1014">
        <f t="shared" si="10"/>
        <v>0</v>
      </c>
      <c r="P18" s="1063">
        <f>SUMPRODUCT((OP_Rehab=A18)*(DatePmtRehab&lt;&gt;"")*(DatePmtRehab&lt;&gt;"en attente")*(YEAR(DatePmtRehab)=$O$1)*(ISNUMBER(MontantPayeRehab)),MontantPayeRehab)</f>
        <v>56250</v>
      </c>
      <c r="Q18" s="1016">
        <f t="shared" si="11"/>
        <v>0</v>
      </c>
      <c r="R18" s="1014">
        <f t="shared" si="12"/>
        <v>0</v>
      </c>
      <c r="S18" s="1014">
        <f t="shared" si="13"/>
        <v>0</v>
      </c>
      <c r="T18" s="1014">
        <f t="shared" si="14"/>
        <v>0</v>
      </c>
      <c r="U18" s="1014">
        <f t="shared" si="15"/>
        <v>0</v>
      </c>
      <c r="V18" s="1014">
        <f t="shared" si="16"/>
        <v>0</v>
      </c>
      <c r="W18" s="1015">
        <f t="shared" si="17"/>
        <v>0</v>
      </c>
      <c r="X18" s="1014">
        <f t="shared" si="18"/>
        <v>0</v>
      </c>
      <c r="Y18" s="1014">
        <f t="shared" si="19"/>
        <v>0</v>
      </c>
      <c r="Z18" s="1023">
        <f t="shared" si="22"/>
        <v>56250</v>
      </c>
    </row>
    <row r="19" spans="1:26">
      <c r="A19" s="914" t="s">
        <v>371</v>
      </c>
      <c r="B19" s="918">
        <f t="shared" si="0"/>
        <v>0</v>
      </c>
      <c r="C19" s="918">
        <f t="shared" si="1"/>
        <v>0</v>
      </c>
      <c r="D19" s="918">
        <f t="shared" si="2"/>
        <v>741000</v>
      </c>
      <c r="E19" s="918">
        <f t="shared" si="3"/>
        <v>0</v>
      </c>
      <c r="F19" s="918">
        <f t="shared" si="4"/>
        <v>0</v>
      </c>
      <c r="G19" s="918">
        <f t="shared" si="5"/>
        <v>0</v>
      </c>
      <c r="H19" s="918">
        <f t="shared" si="6"/>
        <v>5600</v>
      </c>
      <c r="I19" s="918">
        <f t="shared" si="7"/>
        <v>0</v>
      </c>
      <c r="J19" s="1065">
        <f t="shared" si="20"/>
        <v>0</v>
      </c>
      <c r="K19" s="918">
        <f t="shared" si="8"/>
        <v>0</v>
      </c>
      <c r="L19" s="918">
        <f t="shared" si="9"/>
        <v>0</v>
      </c>
      <c r="M19" s="918">
        <f t="shared" si="21"/>
        <v>746600</v>
      </c>
      <c r="N19" s="1013">
        <v>741000</v>
      </c>
      <c r="O19" s="1014">
        <f t="shared" si="10"/>
        <v>0</v>
      </c>
      <c r="P19" s="1014">
        <f t="shared" si="51"/>
        <v>0</v>
      </c>
      <c r="Q19" s="1016">
        <f t="shared" si="11"/>
        <v>0</v>
      </c>
      <c r="R19" s="1014">
        <f t="shared" si="12"/>
        <v>0</v>
      </c>
      <c r="S19" s="1014">
        <f t="shared" si="13"/>
        <v>0</v>
      </c>
      <c r="T19" s="1014">
        <f t="shared" si="14"/>
        <v>0</v>
      </c>
      <c r="U19" s="1013">
        <f t="shared" si="15"/>
        <v>5600</v>
      </c>
      <c r="V19" s="1014">
        <f t="shared" si="16"/>
        <v>0</v>
      </c>
      <c r="W19" s="1015">
        <f t="shared" si="17"/>
        <v>0</v>
      </c>
      <c r="X19" s="1014">
        <f t="shared" si="18"/>
        <v>0</v>
      </c>
      <c r="Y19" s="1014">
        <f t="shared" si="19"/>
        <v>0</v>
      </c>
      <c r="Z19" s="1023">
        <f t="shared" si="22"/>
        <v>5600</v>
      </c>
    </row>
    <row r="20" spans="1:26">
      <c r="A20" s="914" t="s">
        <v>74</v>
      </c>
      <c r="B20" s="918">
        <f t="shared" si="0"/>
        <v>1778822.24</v>
      </c>
      <c r="C20" s="918">
        <f t="shared" si="1"/>
        <v>0</v>
      </c>
      <c r="D20" s="918">
        <f t="shared" si="2"/>
        <v>0</v>
      </c>
      <c r="E20" s="918">
        <f t="shared" si="3"/>
        <v>0</v>
      </c>
      <c r="F20" s="918">
        <f t="shared" si="4"/>
        <v>0</v>
      </c>
      <c r="G20" s="918">
        <f t="shared" si="5"/>
        <v>0</v>
      </c>
      <c r="H20" s="918">
        <f t="shared" si="6"/>
        <v>0</v>
      </c>
      <c r="I20" s="918">
        <f t="shared" si="7"/>
        <v>0</v>
      </c>
      <c r="J20" s="1065">
        <f t="shared" si="20"/>
        <v>0</v>
      </c>
      <c r="K20" s="918">
        <f t="shared" si="8"/>
        <v>0</v>
      </c>
      <c r="L20" s="918">
        <f t="shared" si="9"/>
        <v>0</v>
      </c>
      <c r="M20" s="918">
        <f t="shared" si="21"/>
        <v>1778822.24</v>
      </c>
      <c r="N20" s="1013">
        <v>1778822.24</v>
      </c>
      <c r="O20" s="1014">
        <f t="shared" si="10"/>
        <v>0</v>
      </c>
      <c r="P20" s="1014">
        <f t="shared" si="51"/>
        <v>0</v>
      </c>
      <c r="Q20" s="1014">
        <f t="shared" si="11"/>
        <v>0</v>
      </c>
      <c r="R20" s="1014">
        <f t="shared" si="12"/>
        <v>0</v>
      </c>
      <c r="S20" s="1014">
        <f t="shared" si="13"/>
        <v>0</v>
      </c>
      <c r="T20" s="1014">
        <f t="shared" si="14"/>
        <v>0</v>
      </c>
      <c r="U20" s="1014">
        <f t="shared" si="15"/>
        <v>0</v>
      </c>
      <c r="V20" s="1014">
        <f t="shared" si="16"/>
        <v>0</v>
      </c>
      <c r="W20" s="1015">
        <f t="shared" si="17"/>
        <v>0</v>
      </c>
      <c r="X20" s="1014">
        <f t="shared" si="18"/>
        <v>0</v>
      </c>
      <c r="Y20" s="1014">
        <f t="shared" si="19"/>
        <v>0</v>
      </c>
      <c r="Z20" s="1023">
        <f t="shared" si="22"/>
        <v>0</v>
      </c>
    </row>
    <row r="21" spans="1:26">
      <c r="A21" s="914" t="s">
        <v>348</v>
      </c>
      <c r="B21" s="918">
        <f t="shared" si="0"/>
        <v>0</v>
      </c>
      <c r="C21" s="918">
        <f t="shared" si="1"/>
        <v>0</v>
      </c>
      <c r="D21" s="918">
        <f t="shared" si="2"/>
        <v>0</v>
      </c>
      <c r="E21" s="918">
        <f t="shared" si="3"/>
        <v>0</v>
      </c>
      <c r="F21" s="918">
        <f t="shared" si="4"/>
        <v>1227844</v>
      </c>
      <c r="G21" s="918">
        <f t="shared" si="5"/>
        <v>1227844</v>
      </c>
      <c r="H21" s="918">
        <f t="shared" si="6"/>
        <v>0</v>
      </c>
      <c r="I21" s="918">
        <f t="shared" si="7"/>
        <v>0</v>
      </c>
      <c r="J21" s="1065">
        <f t="shared" si="20"/>
        <v>0</v>
      </c>
      <c r="K21" s="918">
        <f t="shared" si="8"/>
        <v>0</v>
      </c>
      <c r="L21" s="918">
        <f t="shared" si="9"/>
        <v>0</v>
      </c>
      <c r="M21" s="918">
        <f t="shared" si="21"/>
        <v>2455688</v>
      </c>
      <c r="N21" s="1013">
        <v>2455688</v>
      </c>
      <c r="O21" s="1014">
        <f t="shared" si="10"/>
        <v>0</v>
      </c>
      <c r="P21" s="1014">
        <f t="shared" si="51"/>
        <v>0</v>
      </c>
      <c r="Q21" s="1014">
        <f t="shared" si="11"/>
        <v>0</v>
      </c>
      <c r="R21" s="1014">
        <f t="shared" si="12"/>
        <v>0</v>
      </c>
      <c r="S21" s="1016">
        <f t="shared" si="13"/>
        <v>613922</v>
      </c>
      <c r="T21" s="1016">
        <f t="shared" si="14"/>
        <v>613922</v>
      </c>
      <c r="U21" s="1014">
        <f t="shared" si="15"/>
        <v>0</v>
      </c>
      <c r="V21" s="1014">
        <f t="shared" si="16"/>
        <v>0</v>
      </c>
      <c r="W21" s="1015">
        <f t="shared" si="17"/>
        <v>0</v>
      </c>
      <c r="X21" s="1014">
        <f t="shared" si="18"/>
        <v>0</v>
      </c>
      <c r="Y21" s="1014">
        <f t="shared" si="19"/>
        <v>0</v>
      </c>
      <c r="Z21" s="1023">
        <f t="shared" si="22"/>
        <v>1227844</v>
      </c>
    </row>
    <row r="22" spans="1:26">
      <c r="A22" s="914" t="s">
        <v>368</v>
      </c>
      <c r="B22" s="918">
        <f t="shared" si="0"/>
        <v>0</v>
      </c>
      <c r="C22" s="918">
        <f t="shared" si="1"/>
        <v>0</v>
      </c>
      <c r="D22" s="918">
        <f t="shared" si="2"/>
        <v>0</v>
      </c>
      <c r="E22" s="918">
        <f t="shared" si="3"/>
        <v>0</v>
      </c>
      <c r="F22" s="918">
        <f t="shared" si="4"/>
        <v>655125</v>
      </c>
      <c r="G22" s="918">
        <f t="shared" si="5"/>
        <v>655125</v>
      </c>
      <c r="H22" s="918">
        <f t="shared" si="6"/>
        <v>0</v>
      </c>
      <c r="I22" s="918">
        <f t="shared" si="7"/>
        <v>0</v>
      </c>
      <c r="J22" s="1065">
        <f t="shared" si="20"/>
        <v>0</v>
      </c>
      <c r="K22" s="918">
        <f t="shared" si="8"/>
        <v>0</v>
      </c>
      <c r="L22" s="918">
        <f t="shared" si="9"/>
        <v>0</v>
      </c>
      <c r="M22" s="918">
        <f t="shared" si="21"/>
        <v>1310250</v>
      </c>
      <c r="N22" s="1013">
        <v>1310250</v>
      </c>
      <c r="O22" s="1014">
        <f t="shared" si="10"/>
        <v>0</v>
      </c>
      <c r="P22" s="1014">
        <f t="shared" si="51"/>
        <v>0</v>
      </c>
      <c r="Q22" s="1014">
        <f t="shared" si="11"/>
        <v>0</v>
      </c>
      <c r="R22" s="1014">
        <f t="shared" si="12"/>
        <v>0</v>
      </c>
      <c r="S22" s="1016">
        <f t="shared" si="13"/>
        <v>327562.5</v>
      </c>
      <c r="T22" s="1016">
        <f t="shared" si="14"/>
        <v>327562.5</v>
      </c>
      <c r="U22" s="1014">
        <f t="shared" si="15"/>
        <v>0</v>
      </c>
      <c r="V22" s="1014">
        <f t="shared" si="16"/>
        <v>0</v>
      </c>
      <c r="W22" s="1015">
        <f t="shared" si="17"/>
        <v>0</v>
      </c>
      <c r="X22" s="1014">
        <f t="shared" si="18"/>
        <v>0</v>
      </c>
      <c r="Y22" s="1014">
        <f t="shared" si="19"/>
        <v>0</v>
      </c>
      <c r="Z22" s="1023">
        <f t="shared" si="22"/>
        <v>655125</v>
      </c>
    </row>
    <row r="23" spans="1:26">
      <c r="A23" s="914" t="s">
        <v>307</v>
      </c>
      <c r="B23" s="918">
        <f t="shared" si="0"/>
        <v>0</v>
      </c>
      <c r="C23" s="918">
        <f t="shared" si="1"/>
        <v>0</v>
      </c>
      <c r="D23" s="918">
        <f t="shared" si="2"/>
        <v>520000</v>
      </c>
      <c r="E23" s="918">
        <f t="shared" si="3"/>
        <v>0</v>
      </c>
      <c r="F23" s="918">
        <f t="shared" si="4"/>
        <v>0</v>
      </c>
      <c r="G23" s="918">
        <f t="shared" si="5"/>
        <v>0</v>
      </c>
      <c r="H23" s="918">
        <f t="shared" si="6"/>
        <v>0</v>
      </c>
      <c r="I23" s="918">
        <f t="shared" si="7"/>
        <v>0</v>
      </c>
      <c r="J23" s="1065">
        <f t="shared" si="20"/>
        <v>0</v>
      </c>
      <c r="K23" s="918">
        <f t="shared" si="8"/>
        <v>0</v>
      </c>
      <c r="L23" s="918">
        <f t="shared" si="9"/>
        <v>0</v>
      </c>
      <c r="M23" s="918">
        <f t="shared" si="21"/>
        <v>520000</v>
      </c>
      <c r="N23" s="1013">
        <v>520000</v>
      </c>
      <c r="O23" s="1014">
        <f t="shared" si="10"/>
        <v>0</v>
      </c>
      <c r="P23" s="1014">
        <f t="shared" si="51"/>
        <v>0</v>
      </c>
      <c r="Q23" s="1014">
        <f t="shared" si="11"/>
        <v>0</v>
      </c>
      <c r="R23" s="1014">
        <f t="shared" si="12"/>
        <v>0</v>
      </c>
      <c r="S23" s="1014">
        <f t="shared" si="13"/>
        <v>0</v>
      </c>
      <c r="T23" s="1014">
        <f t="shared" si="14"/>
        <v>0</v>
      </c>
      <c r="U23" s="1014">
        <f t="shared" si="15"/>
        <v>0</v>
      </c>
      <c r="V23" s="1014">
        <f t="shared" si="16"/>
        <v>0</v>
      </c>
      <c r="W23" s="1015">
        <f t="shared" si="17"/>
        <v>0</v>
      </c>
      <c r="X23" s="1014">
        <f t="shared" si="18"/>
        <v>0</v>
      </c>
      <c r="Y23" s="1014">
        <f t="shared" si="19"/>
        <v>0</v>
      </c>
      <c r="Z23" s="1023">
        <f t="shared" si="22"/>
        <v>0</v>
      </c>
    </row>
    <row r="24" spans="1:26">
      <c r="A24" s="914" t="s">
        <v>61</v>
      </c>
      <c r="B24" s="918">
        <f t="shared" si="0"/>
        <v>480000</v>
      </c>
      <c r="C24" s="918">
        <f t="shared" si="1"/>
        <v>0</v>
      </c>
      <c r="D24" s="918">
        <f t="shared" si="2"/>
        <v>360000</v>
      </c>
      <c r="E24" s="918">
        <f t="shared" si="3"/>
        <v>120000</v>
      </c>
      <c r="F24" s="918">
        <f t="shared" si="4"/>
        <v>0</v>
      </c>
      <c r="G24" s="918">
        <f t="shared" si="5"/>
        <v>0</v>
      </c>
      <c r="H24" s="918">
        <f t="shared" si="6"/>
        <v>0</v>
      </c>
      <c r="I24" s="918">
        <f t="shared" si="7"/>
        <v>0</v>
      </c>
      <c r="J24" s="1065">
        <f t="shared" si="20"/>
        <v>54484.369999999995</v>
      </c>
      <c r="K24" s="918">
        <f t="shared" si="8"/>
        <v>0</v>
      </c>
      <c r="L24" s="918">
        <f t="shared" si="9"/>
        <v>0</v>
      </c>
      <c r="M24" s="918">
        <f t="shared" si="21"/>
        <v>1014484.37</v>
      </c>
      <c r="N24" s="1013">
        <v>894487.98210000002</v>
      </c>
      <c r="O24" s="1014">
        <f t="shared" si="10"/>
        <v>0</v>
      </c>
      <c r="P24" s="1014">
        <f t="shared" si="51"/>
        <v>0</v>
      </c>
      <c r="Q24" s="1014">
        <f t="shared" si="11"/>
        <v>72000</v>
      </c>
      <c r="R24" s="1014">
        <f t="shared" si="12"/>
        <v>0</v>
      </c>
      <c r="S24" s="1014">
        <f t="shared" si="13"/>
        <v>0</v>
      </c>
      <c r="T24" s="1014">
        <f t="shared" si="14"/>
        <v>0</v>
      </c>
      <c r="U24" s="1014">
        <f t="shared" si="15"/>
        <v>0</v>
      </c>
      <c r="V24" s="1014">
        <f t="shared" si="16"/>
        <v>0</v>
      </c>
      <c r="W24" s="1015">
        <f t="shared" si="17"/>
        <v>29590.37</v>
      </c>
      <c r="X24" s="1014">
        <f t="shared" si="18"/>
        <v>0</v>
      </c>
      <c r="Y24" s="1014">
        <f t="shared" si="19"/>
        <v>0</v>
      </c>
      <c r="Z24" s="1023">
        <f t="shared" si="22"/>
        <v>101590.37</v>
      </c>
    </row>
    <row r="25" spans="1:26">
      <c r="A25" s="914" t="s">
        <v>306</v>
      </c>
      <c r="B25" s="918">
        <f t="shared" si="0"/>
        <v>0</v>
      </c>
      <c r="C25" s="918">
        <f t="shared" si="1"/>
        <v>0</v>
      </c>
      <c r="D25" s="918">
        <f t="shared" si="2"/>
        <v>0</v>
      </c>
      <c r="E25" s="918">
        <f t="shared" si="3"/>
        <v>0</v>
      </c>
      <c r="F25" s="918">
        <f t="shared" si="4"/>
        <v>0</v>
      </c>
      <c r="G25" s="918">
        <f t="shared" si="5"/>
        <v>0</v>
      </c>
      <c r="H25" s="918">
        <f t="shared" si="6"/>
        <v>0</v>
      </c>
      <c r="I25" s="918">
        <f t="shared" si="7"/>
        <v>0</v>
      </c>
      <c r="J25" s="1065">
        <f t="shared" si="20"/>
        <v>18729.66</v>
      </c>
      <c r="K25" s="918">
        <f t="shared" si="8"/>
        <v>0</v>
      </c>
      <c r="L25" s="918">
        <f t="shared" si="9"/>
        <v>0</v>
      </c>
      <c r="M25" s="918">
        <f t="shared" si="21"/>
        <v>18729.66</v>
      </c>
      <c r="N25" s="1013">
        <v>18729.66</v>
      </c>
      <c r="O25" s="1014">
        <f t="shared" si="10"/>
        <v>0</v>
      </c>
      <c r="P25" s="1014">
        <f t="shared" si="51"/>
        <v>0</v>
      </c>
      <c r="Q25" s="1014">
        <f t="shared" si="11"/>
        <v>0</v>
      </c>
      <c r="R25" s="1014">
        <f t="shared" si="12"/>
        <v>0</v>
      </c>
      <c r="S25" s="1014">
        <f t="shared" si="13"/>
        <v>0</v>
      </c>
      <c r="T25" s="1014">
        <f t="shared" si="14"/>
        <v>0</v>
      </c>
      <c r="U25" s="1014">
        <f t="shared" si="15"/>
        <v>0</v>
      </c>
      <c r="V25" s="1014">
        <f t="shared" si="16"/>
        <v>0</v>
      </c>
      <c r="W25" s="1015">
        <f t="shared" si="17"/>
        <v>0</v>
      </c>
      <c r="X25" s="1014">
        <f t="shared" si="18"/>
        <v>0</v>
      </c>
      <c r="Y25" s="1014">
        <f t="shared" si="19"/>
        <v>0</v>
      </c>
      <c r="Z25" s="1023">
        <f t="shared" si="22"/>
        <v>0</v>
      </c>
    </row>
    <row r="26" spans="1:26">
      <c r="A26" s="914" t="s">
        <v>251</v>
      </c>
      <c r="B26" s="918">
        <f t="shared" si="0"/>
        <v>0</v>
      </c>
      <c r="C26" s="918">
        <f t="shared" si="1"/>
        <v>0</v>
      </c>
      <c r="D26" s="918">
        <f t="shared" si="2"/>
        <v>400000</v>
      </c>
      <c r="E26" s="918">
        <f t="shared" si="3"/>
        <v>0</v>
      </c>
      <c r="F26" s="918">
        <f t="shared" si="4"/>
        <v>0</v>
      </c>
      <c r="G26" s="918">
        <f t="shared" si="5"/>
        <v>0</v>
      </c>
      <c r="H26" s="918">
        <f t="shared" si="6"/>
        <v>0</v>
      </c>
      <c r="I26" s="918">
        <f t="shared" si="7"/>
        <v>0</v>
      </c>
      <c r="J26" s="1065">
        <f t="shared" si="20"/>
        <v>16082.955</v>
      </c>
      <c r="K26" s="918">
        <f t="shared" si="8"/>
        <v>0</v>
      </c>
      <c r="L26" s="918">
        <f t="shared" si="9"/>
        <v>0</v>
      </c>
      <c r="M26" s="918">
        <f t="shared" si="21"/>
        <v>416082.95500000002</v>
      </c>
      <c r="N26" s="1013">
        <v>416082.95500000002</v>
      </c>
      <c r="O26" s="1014">
        <f t="shared" si="10"/>
        <v>0</v>
      </c>
      <c r="P26" s="1014">
        <f t="shared" si="51"/>
        <v>0</v>
      </c>
      <c r="Q26" s="1014">
        <f t="shared" si="11"/>
        <v>0</v>
      </c>
      <c r="R26" s="1014">
        <f t="shared" si="12"/>
        <v>0</v>
      </c>
      <c r="S26" s="1014">
        <f t="shared" si="13"/>
        <v>0</v>
      </c>
      <c r="T26" s="1014">
        <f t="shared" si="14"/>
        <v>0</v>
      </c>
      <c r="U26" s="1014">
        <f t="shared" si="15"/>
        <v>0</v>
      </c>
      <c r="V26" s="1014">
        <f t="shared" si="16"/>
        <v>0</v>
      </c>
      <c r="W26" s="1015">
        <f t="shared" si="17"/>
        <v>0</v>
      </c>
      <c r="X26" s="1014">
        <f t="shared" si="18"/>
        <v>0</v>
      </c>
      <c r="Y26" s="1014">
        <f t="shared" si="19"/>
        <v>0</v>
      </c>
      <c r="Z26" s="1023">
        <f t="shared" si="22"/>
        <v>0</v>
      </c>
    </row>
    <row r="27" spans="1:26">
      <c r="A27" s="914" t="s">
        <v>328</v>
      </c>
      <c r="B27" s="918">
        <f t="shared" si="0"/>
        <v>0</v>
      </c>
      <c r="C27" s="918">
        <f t="shared" si="1"/>
        <v>462500</v>
      </c>
      <c r="D27" s="918">
        <f t="shared" si="2"/>
        <v>0</v>
      </c>
      <c r="E27" s="918">
        <f t="shared" si="3"/>
        <v>0</v>
      </c>
      <c r="F27" s="918">
        <f t="shared" si="4"/>
        <v>0</v>
      </c>
      <c r="G27" s="918">
        <f t="shared" si="5"/>
        <v>0</v>
      </c>
      <c r="H27" s="918">
        <f t="shared" si="6"/>
        <v>0</v>
      </c>
      <c r="I27" s="918">
        <f t="shared" si="7"/>
        <v>0</v>
      </c>
      <c r="J27" s="1065">
        <f t="shared" si="20"/>
        <v>54723.06</v>
      </c>
      <c r="K27" s="918">
        <f t="shared" si="8"/>
        <v>0</v>
      </c>
      <c r="L27" s="918">
        <f t="shared" si="9"/>
        <v>0</v>
      </c>
      <c r="M27" s="918">
        <f t="shared" si="21"/>
        <v>517223.06</v>
      </c>
      <c r="N27" s="1013">
        <v>517223.06</v>
      </c>
      <c r="O27" s="1014">
        <f t="shared" si="10"/>
        <v>0</v>
      </c>
      <c r="P27" s="1063">
        <f>SUMPRODUCT((OP_Rehab=A27)*(DatePmtRehab&lt;&gt;"")*(DatePmtRehab&lt;&gt;"en attente")*(YEAR(DatePmtRehab)=$O$1)*(ISNUMBER(MontantPayeRehab)),MontantPayeRehab)</f>
        <v>92500</v>
      </c>
      <c r="Q27" s="1014">
        <f t="shared" si="11"/>
        <v>0</v>
      </c>
      <c r="R27" s="1014">
        <f t="shared" si="12"/>
        <v>0</v>
      </c>
      <c r="S27" s="1014">
        <f t="shared" si="13"/>
        <v>0</v>
      </c>
      <c r="T27" s="1014">
        <f t="shared" si="14"/>
        <v>0</v>
      </c>
      <c r="U27" s="1014">
        <f t="shared" si="15"/>
        <v>0</v>
      </c>
      <c r="V27" s="1014">
        <f t="shared" si="16"/>
        <v>0</v>
      </c>
      <c r="W27" s="1015">
        <f t="shared" si="17"/>
        <v>0</v>
      </c>
      <c r="X27" s="1014">
        <f t="shared" si="18"/>
        <v>0</v>
      </c>
      <c r="Y27" s="1014">
        <f t="shared" si="19"/>
        <v>0</v>
      </c>
      <c r="Z27" s="1023">
        <f t="shared" si="22"/>
        <v>92500</v>
      </c>
    </row>
    <row r="28" spans="1:26">
      <c r="A28" s="914" t="s">
        <v>275</v>
      </c>
      <c r="B28" s="918">
        <f t="shared" ref="B28:B29" si="75">SUMPRODUCT((OP_FRAFU=A28)*(Bdgt_FRAFU))</f>
        <v>0</v>
      </c>
      <c r="C28" s="918">
        <f t="shared" ref="C28:C29" si="76">SUMPRODUCT((OP_Rehab=A28)*(Bdgt_Rehab))</f>
        <v>0</v>
      </c>
      <c r="D28" s="918">
        <f t="shared" ref="D28:D29" si="77">SUMPRODUCT((OP_LBU=A28)*(Bdgt_LBU))</f>
        <v>320000</v>
      </c>
      <c r="E28" s="918">
        <f t="shared" si="3"/>
        <v>0</v>
      </c>
      <c r="F28" s="918">
        <f t="shared" ref="F28:F29" si="78">SUMPRODUCT((OP_Region=A28)*(Bdgt_Region))</f>
        <v>0</v>
      </c>
      <c r="G28" s="918">
        <f t="shared" ref="G28:G29" si="79">SUMPRODUCT((OP_Rectorat=A28)*(Bdgt_Rectorat))</f>
        <v>0</v>
      </c>
      <c r="H28" s="918">
        <f t="shared" ref="H28:H29" si="80">SUMPRODUCT((OP_ADEME=A28)*(Bdgt_ADEME))</f>
        <v>0</v>
      </c>
      <c r="I28" s="918">
        <f t="shared" ref="I28:I29" si="81">SUMPRODUCT((OP_P_Ile=A28)*(Bdgt_P_Ile))</f>
        <v>0</v>
      </c>
      <c r="J28" s="1065">
        <f t="shared" ref="J28:J29" si="82">SUMPRODUCT((OP_EDF=A28)*(Bdgt_EDF))</f>
        <v>18573.52</v>
      </c>
      <c r="K28" s="918">
        <f t="shared" ref="K28:K29" si="83">SUMPRODUCT((OP_ETG_SALE=A28)*(Bdgt_ETG_SALE))</f>
        <v>0</v>
      </c>
      <c r="L28" s="918">
        <f t="shared" ref="L28:L29" si="84">SUMPRODUCT((OP_ST_JO=A28)*(Bdgt_ST_JO))</f>
        <v>0</v>
      </c>
      <c r="M28" s="918">
        <f t="shared" ref="M28:M29" si="85">SUM(B28:L28)</f>
        <v>338573.52</v>
      </c>
      <c r="N28" s="1013">
        <v>517224.06</v>
      </c>
      <c r="O28" s="1014">
        <f t="shared" si="10"/>
        <v>0</v>
      </c>
      <c r="P28" s="1014">
        <f>SUMPRODUCT((OP_Rehab=A28)*(DatePmtRehab&lt;&gt;"")*(DatePmtRehab&lt;&gt;"en attente")*(YEAR(DatePmtRehab)=$O$1)*(ISNUMBER(MontantPayeRehab)),MontantPayeRehab)</f>
        <v>0</v>
      </c>
      <c r="Q28" s="1014">
        <f t="shared" si="11"/>
        <v>64000</v>
      </c>
      <c r="R28" s="1014">
        <f t="shared" si="12"/>
        <v>0</v>
      </c>
      <c r="S28" s="1014">
        <f t="shared" si="13"/>
        <v>0</v>
      </c>
      <c r="T28" s="1014">
        <f t="shared" ref="T28:T29" si="86">SUMPRODUCT((OP_Rectorat=A28)*(DatePmt_Rectorat&lt;&gt;"")*(DatePmt_Rectorat&lt;&gt;"en attente")*(YEAR(DatePmt_Rectorat)=$O$1)*(ISNUMBER(MtntPaye_Rectorat)),MtntPaye_Rectorat)</f>
        <v>0</v>
      </c>
      <c r="U28" s="1014">
        <f t="shared" ref="U28:U29" si="87">SUMPRODUCT((OP_ADEME=A28)*(DatePmt_ADEME&lt;&gt;"")*(DatePmt_ADEME&lt;&gt;"en attente")*(YEAR(DatePmt_ADEME)=$O$1)*(ISNUMBER(MtntPaye_ADEME)),MtntPaye_ADEME)</f>
        <v>0</v>
      </c>
      <c r="V28" s="1014">
        <f t="shared" ref="V28:V29" si="88">SUMPRODUCT((OP_P_Ile=A28)*(DatePmt_P_ILE&lt;&gt;"")*(DatePmt_P_ILE&lt;&gt;"en attente")*(YEAR(DatePmt_P_ILE)=$O$1)*(ISNUMBER(MtntPaye_P_ILE)),MtntPaye_P_ILE)</f>
        <v>0</v>
      </c>
      <c r="W28" s="1015">
        <f t="shared" ref="W28:W29" si="89">SUMPRODUCT((OP_EDF=A28)*(DatePmt_EDF&lt;&gt;"")*(DatePmt_EDF&lt;&gt;"en attente")*(YEAR(DatePmt_EDF)=$O$1)*(ISNUMBER(MtntPaye_EDF)),MtntPaye_EDF)</f>
        <v>18573.52</v>
      </c>
      <c r="X28" s="1014">
        <f t="shared" ref="X28:X29" si="90">SUMPRODUCT((OP_ETG_SALE=A28)*(DatePmt_ETG_SALE&lt;&gt;"")*(DatePmt_ETG_SALE&lt;&gt;"en attente")*(YEAR(DatePmt_ETG_SALE)=$O$1)*(ISNUMBER(MtntPaye_ETG_SALE)),MtntPaye_ETG_SALE)</f>
        <v>0</v>
      </c>
      <c r="Y28" s="1014">
        <f t="shared" ref="Y28:Y29" si="91">SUMPRODUCT((OP_ST_JO=A28)*(DatePmt_ST_JOSEPH&lt;&gt;"")*(DatePmt_ST_JOSEPH&lt;&gt;"en attente")*(YEAR(DatePmt_ST_JOSEPH)=$O$1)*(ISNUMBER(MtntPaye_ST_JOSEPH)),MtntPaye_ST_JOSEPH)</f>
        <v>0</v>
      </c>
      <c r="Z28" s="1023">
        <f t="shared" si="22"/>
        <v>82573.52</v>
      </c>
    </row>
    <row r="29" spans="1:26">
      <c r="A29" s="914" t="s">
        <v>272</v>
      </c>
      <c r="B29" s="918">
        <f t="shared" si="75"/>
        <v>0</v>
      </c>
      <c r="C29" s="918">
        <f t="shared" si="76"/>
        <v>0</v>
      </c>
      <c r="D29" s="918">
        <f t="shared" si="77"/>
        <v>280000</v>
      </c>
      <c r="E29" s="918">
        <f t="shared" si="3"/>
        <v>0</v>
      </c>
      <c r="F29" s="918">
        <f t="shared" si="78"/>
        <v>0</v>
      </c>
      <c r="G29" s="918">
        <f t="shared" si="79"/>
        <v>0</v>
      </c>
      <c r="H29" s="918">
        <f t="shared" si="80"/>
        <v>0</v>
      </c>
      <c r="I29" s="918">
        <f t="shared" si="81"/>
        <v>0</v>
      </c>
      <c r="J29" s="1065">
        <f t="shared" si="82"/>
        <v>48640.06</v>
      </c>
      <c r="K29" s="918">
        <f t="shared" si="83"/>
        <v>0</v>
      </c>
      <c r="L29" s="918">
        <f t="shared" si="84"/>
        <v>0</v>
      </c>
      <c r="M29" s="918">
        <f t="shared" si="85"/>
        <v>328640.06</v>
      </c>
      <c r="N29" s="1013">
        <v>517225.06</v>
      </c>
      <c r="O29" s="1014">
        <f t="shared" si="10"/>
        <v>0</v>
      </c>
      <c r="P29" s="1014">
        <f>SUMPRODUCT((OP_Rehab=A29)*(DatePmtRehab&lt;&gt;"")*(DatePmtRehab&lt;&gt;"en attente")*(YEAR(DatePmtRehab)=$O$1)*(ISNUMBER(MontantPayeRehab)),MontantPayeRehab)</f>
        <v>0</v>
      </c>
      <c r="Q29" s="1014">
        <f t="shared" si="11"/>
        <v>140000</v>
      </c>
      <c r="R29" s="1014">
        <f t="shared" si="12"/>
        <v>0</v>
      </c>
      <c r="S29" s="1014">
        <f t="shared" si="13"/>
        <v>0</v>
      </c>
      <c r="T29" s="1014">
        <f t="shared" si="86"/>
        <v>0</v>
      </c>
      <c r="U29" s="1014">
        <f t="shared" si="87"/>
        <v>0</v>
      </c>
      <c r="V29" s="1014">
        <f t="shared" si="88"/>
        <v>0</v>
      </c>
      <c r="W29" s="1015">
        <f t="shared" si="89"/>
        <v>36226.06</v>
      </c>
      <c r="X29" s="1014">
        <f t="shared" si="90"/>
        <v>0</v>
      </c>
      <c r="Y29" s="1014">
        <f t="shared" si="91"/>
        <v>0</v>
      </c>
      <c r="Z29" s="1023">
        <f t="shared" si="22"/>
        <v>176226.06</v>
      </c>
    </row>
    <row r="30" spans="1:26">
      <c r="A30" s="914" t="s">
        <v>273</v>
      </c>
      <c r="B30" s="918">
        <f t="shared" si="0"/>
        <v>0</v>
      </c>
      <c r="C30" s="918">
        <f t="shared" si="1"/>
        <v>0</v>
      </c>
      <c r="D30" s="918">
        <f t="shared" si="2"/>
        <v>600000</v>
      </c>
      <c r="E30" s="918">
        <f t="shared" si="3"/>
        <v>0</v>
      </c>
      <c r="F30" s="918">
        <f t="shared" si="4"/>
        <v>0</v>
      </c>
      <c r="G30" s="918">
        <f t="shared" si="5"/>
        <v>0</v>
      </c>
      <c r="H30" s="918">
        <f t="shared" si="6"/>
        <v>0</v>
      </c>
      <c r="I30" s="918">
        <f t="shared" si="7"/>
        <v>0</v>
      </c>
      <c r="J30" s="1065">
        <f t="shared" si="20"/>
        <v>38342.75</v>
      </c>
      <c r="K30" s="918">
        <f t="shared" si="8"/>
        <v>0</v>
      </c>
      <c r="L30" s="918">
        <f t="shared" si="9"/>
        <v>0</v>
      </c>
      <c r="M30" s="918">
        <f t="shared" si="21"/>
        <v>638342.75</v>
      </c>
      <c r="N30" s="1013">
        <v>638342.75</v>
      </c>
      <c r="O30" s="1014">
        <f t="shared" si="10"/>
        <v>0</v>
      </c>
      <c r="P30" s="1014">
        <f>SUMPRODUCT((OP_Rehab=A30)*(DatePmtRehab&lt;&gt;"")*(DatePmtRehab&lt;&gt;"en attente")*(YEAR(DatePmtRehab)=$O$1)*(ISNUMBER(MontantPayeRehab)),MontantPayeRehab)</f>
        <v>0</v>
      </c>
      <c r="Q30" s="1016">
        <f t="shared" si="11"/>
        <v>197520</v>
      </c>
      <c r="R30" s="1014">
        <f t="shared" si="12"/>
        <v>0</v>
      </c>
      <c r="S30" s="1014">
        <f t="shared" si="13"/>
        <v>0</v>
      </c>
      <c r="T30" s="1014">
        <f t="shared" si="14"/>
        <v>0</v>
      </c>
      <c r="U30" s="1014">
        <f t="shared" si="15"/>
        <v>0</v>
      </c>
      <c r="V30" s="1014">
        <f t="shared" si="16"/>
        <v>0</v>
      </c>
      <c r="W30" s="1015">
        <f t="shared" si="17"/>
        <v>0</v>
      </c>
      <c r="X30" s="1014">
        <f t="shared" si="18"/>
        <v>0</v>
      </c>
      <c r="Y30" s="1014">
        <f t="shared" si="19"/>
        <v>0</v>
      </c>
      <c r="Z30" s="1023">
        <f t="shared" si="22"/>
        <v>197520</v>
      </c>
    </row>
    <row r="31" spans="1:26">
      <c r="A31" s="914" t="s">
        <v>147</v>
      </c>
      <c r="B31" s="918">
        <f t="shared" si="0"/>
        <v>0</v>
      </c>
      <c r="C31" s="918">
        <f t="shared" si="1"/>
        <v>0</v>
      </c>
      <c r="D31" s="918">
        <f t="shared" si="2"/>
        <v>360000</v>
      </c>
      <c r="E31" s="918">
        <f t="shared" si="3"/>
        <v>0</v>
      </c>
      <c r="F31" s="918">
        <f t="shared" si="4"/>
        <v>0</v>
      </c>
      <c r="G31" s="918">
        <f t="shared" si="5"/>
        <v>0</v>
      </c>
      <c r="H31" s="918">
        <f t="shared" si="6"/>
        <v>0</v>
      </c>
      <c r="I31" s="918">
        <f t="shared" si="7"/>
        <v>0</v>
      </c>
      <c r="J31" s="1065">
        <f t="shared" si="20"/>
        <v>22103.5766</v>
      </c>
      <c r="K31" s="918">
        <f t="shared" si="8"/>
        <v>0</v>
      </c>
      <c r="L31" s="918">
        <f t="shared" si="9"/>
        <v>0</v>
      </c>
      <c r="M31" s="918">
        <f t="shared" si="21"/>
        <v>382103.57660000003</v>
      </c>
      <c r="N31" s="1013">
        <v>382103.57660000003</v>
      </c>
      <c r="O31" s="1014">
        <f t="shared" si="10"/>
        <v>0</v>
      </c>
      <c r="P31" s="1014">
        <f>SUMPRODUCT((OP_Rehab=A31)*(DatePmtRehab&lt;&gt;"")*(DatePmtRehab&lt;&gt;"en attente")*(YEAR(DatePmtRehab)=$O$1)*(ISNUMBER(MontantPayeRehab)),MontantPayeRehab)</f>
        <v>0</v>
      </c>
      <c r="Q31" s="1016">
        <f t="shared" si="11"/>
        <v>144900</v>
      </c>
      <c r="R31" s="1014">
        <f t="shared" si="12"/>
        <v>0</v>
      </c>
      <c r="S31" s="1014">
        <f t="shared" si="13"/>
        <v>0</v>
      </c>
      <c r="T31" s="1014">
        <f t="shared" si="14"/>
        <v>0</v>
      </c>
      <c r="U31" s="1014">
        <f t="shared" si="15"/>
        <v>0</v>
      </c>
      <c r="V31" s="1014">
        <f t="shared" si="16"/>
        <v>0</v>
      </c>
      <c r="W31" s="1015">
        <f t="shared" si="17"/>
        <v>0</v>
      </c>
      <c r="X31" s="1014">
        <f t="shared" si="18"/>
        <v>0</v>
      </c>
      <c r="Y31" s="1014">
        <f t="shared" si="19"/>
        <v>0</v>
      </c>
      <c r="Z31" s="1023">
        <f t="shared" si="22"/>
        <v>144900</v>
      </c>
    </row>
    <row r="32" spans="1:26">
      <c r="A32" s="914" t="s">
        <v>305</v>
      </c>
      <c r="B32" s="918">
        <f t="shared" si="0"/>
        <v>0</v>
      </c>
      <c r="C32" s="918">
        <f t="shared" si="1"/>
        <v>0</v>
      </c>
      <c r="D32" s="918">
        <f t="shared" si="2"/>
        <v>1512000</v>
      </c>
      <c r="E32" s="918">
        <f t="shared" si="3"/>
        <v>0</v>
      </c>
      <c r="F32" s="918">
        <f t="shared" si="4"/>
        <v>0</v>
      </c>
      <c r="G32" s="918">
        <f t="shared" si="5"/>
        <v>0</v>
      </c>
      <c r="H32" s="918">
        <f t="shared" si="6"/>
        <v>0</v>
      </c>
      <c r="I32" s="918">
        <f t="shared" si="7"/>
        <v>0</v>
      </c>
      <c r="J32" s="1065">
        <f t="shared" si="20"/>
        <v>0</v>
      </c>
      <c r="K32" s="918">
        <f t="shared" si="8"/>
        <v>0</v>
      </c>
      <c r="L32" s="918">
        <f t="shared" si="9"/>
        <v>0</v>
      </c>
      <c r="M32" s="918">
        <f t="shared" si="21"/>
        <v>1512000</v>
      </c>
      <c r="N32" s="1013">
        <v>1512000</v>
      </c>
      <c r="O32" s="1014">
        <f t="shared" si="10"/>
        <v>0</v>
      </c>
      <c r="P32" s="1014">
        <f>SUMPRODUCT((OP_Rehab=A32)*(DatePmtRehab&lt;&gt;"")*(DatePmtRehab&lt;&gt;"en attente")*(YEAR(DatePmtRehab)=$O$1)*(ISNUMBER(MontantPayeRehab)),MontantPayeRehab)</f>
        <v>0</v>
      </c>
      <c r="Q32" s="1016">
        <f t="shared" si="11"/>
        <v>0</v>
      </c>
      <c r="R32" s="1014">
        <f t="shared" si="12"/>
        <v>0</v>
      </c>
      <c r="S32" s="1014">
        <f t="shared" si="13"/>
        <v>0</v>
      </c>
      <c r="T32" s="1014">
        <f t="shared" si="14"/>
        <v>0</v>
      </c>
      <c r="U32" s="1014">
        <f t="shared" si="15"/>
        <v>0</v>
      </c>
      <c r="V32" s="1014">
        <f t="shared" si="16"/>
        <v>0</v>
      </c>
      <c r="W32" s="1015">
        <f t="shared" si="17"/>
        <v>0</v>
      </c>
      <c r="X32" s="1014">
        <f t="shared" si="18"/>
        <v>0</v>
      </c>
      <c r="Y32" s="1014">
        <f t="shared" si="19"/>
        <v>0</v>
      </c>
      <c r="Z32" s="1023">
        <f t="shared" si="22"/>
        <v>0</v>
      </c>
    </row>
    <row r="33" spans="1:26">
      <c r="A33" s="914" t="s">
        <v>353</v>
      </c>
      <c r="B33" s="918">
        <f t="shared" si="0"/>
        <v>0</v>
      </c>
      <c r="C33" s="918">
        <f t="shared" si="1"/>
        <v>0</v>
      </c>
      <c r="D33" s="918">
        <f t="shared" si="2"/>
        <v>418000</v>
      </c>
      <c r="E33" s="918">
        <f t="shared" si="3"/>
        <v>0</v>
      </c>
      <c r="F33" s="918">
        <f t="shared" si="4"/>
        <v>0</v>
      </c>
      <c r="G33" s="918">
        <f t="shared" si="5"/>
        <v>0</v>
      </c>
      <c r="H33" s="918">
        <f t="shared" si="6"/>
        <v>0</v>
      </c>
      <c r="I33" s="918">
        <f t="shared" si="7"/>
        <v>0</v>
      </c>
      <c r="J33" s="1065">
        <f t="shared" si="20"/>
        <v>0</v>
      </c>
      <c r="K33" s="918">
        <f t="shared" si="8"/>
        <v>0</v>
      </c>
      <c r="L33" s="918">
        <f t="shared" si="9"/>
        <v>0</v>
      </c>
      <c r="M33" s="918">
        <f t="shared" si="21"/>
        <v>418000</v>
      </c>
      <c r="N33" s="1013">
        <v>418000</v>
      </c>
      <c r="O33" s="1014">
        <f t="shared" si="10"/>
        <v>0</v>
      </c>
      <c r="P33" s="1014">
        <f>SUMPRODUCT((OP_Rehab=A33)*(DatePmtRehab&lt;&gt;"")*(DatePmtRehab&lt;&gt;"en attente")*(YEAR(DatePmtRehab)=$O$1)*(ISNUMBER(MontantPayeRehab)),MontantPayeRehab)</f>
        <v>0</v>
      </c>
      <c r="Q33" s="1016">
        <f t="shared" si="11"/>
        <v>0</v>
      </c>
      <c r="R33" s="1014">
        <f t="shared" si="12"/>
        <v>0</v>
      </c>
      <c r="S33" s="1014">
        <f t="shared" si="13"/>
        <v>0</v>
      </c>
      <c r="T33" s="1014">
        <f t="shared" si="14"/>
        <v>0</v>
      </c>
      <c r="U33" s="1014">
        <f t="shared" si="15"/>
        <v>0</v>
      </c>
      <c r="V33" s="1014">
        <f t="shared" si="16"/>
        <v>0</v>
      </c>
      <c r="W33" s="1015">
        <f t="shared" si="17"/>
        <v>0</v>
      </c>
      <c r="X33" s="1014">
        <f t="shared" si="18"/>
        <v>0</v>
      </c>
      <c r="Y33" s="1014">
        <f t="shared" si="19"/>
        <v>0</v>
      </c>
      <c r="Z33" s="1023">
        <f t="shared" si="22"/>
        <v>0</v>
      </c>
    </row>
    <row r="34" spans="1:26">
      <c r="A34" s="914" t="s">
        <v>354</v>
      </c>
      <c r="B34" s="918">
        <f t="shared" si="0"/>
        <v>0</v>
      </c>
      <c r="C34" s="918">
        <f t="shared" si="1"/>
        <v>0</v>
      </c>
      <c r="D34" s="918">
        <f t="shared" si="2"/>
        <v>714000</v>
      </c>
      <c r="E34" s="918">
        <f t="shared" si="3"/>
        <v>0</v>
      </c>
      <c r="F34" s="918">
        <f t="shared" si="4"/>
        <v>0</v>
      </c>
      <c r="G34" s="918">
        <f t="shared" si="5"/>
        <v>0</v>
      </c>
      <c r="H34" s="918">
        <f t="shared" si="6"/>
        <v>0</v>
      </c>
      <c r="I34" s="918">
        <f t="shared" si="7"/>
        <v>0</v>
      </c>
      <c r="J34" s="1065">
        <f t="shared" si="20"/>
        <v>0</v>
      </c>
      <c r="K34" s="918">
        <f t="shared" si="8"/>
        <v>0</v>
      </c>
      <c r="L34" s="918">
        <f t="shared" si="9"/>
        <v>0</v>
      </c>
      <c r="M34" s="918">
        <f t="shared" si="21"/>
        <v>714000</v>
      </c>
      <c r="N34" s="1013">
        <v>714000</v>
      </c>
      <c r="O34" s="1014">
        <f t="shared" si="10"/>
        <v>0</v>
      </c>
      <c r="P34" s="1014">
        <f>SUMPRODUCT((OP_Rehab=A34)*(DatePmtRehab&lt;&gt;"")*(DatePmtRehab&lt;&gt;"en attente")*(YEAR(DatePmtRehab)=$O$1)*(ISNUMBER(MontantPayeRehab)),MontantPayeRehab)</f>
        <v>0</v>
      </c>
      <c r="Q34" s="1016">
        <f t="shared" si="11"/>
        <v>0</v>
      </c>
      <c r="R34" s="1014">
        <f t="shared" si="12"/>
        <v>0</v>
      </c>
      <c r="S34" s="1014">
        <f t="shared" si="13"/>
        <v>0</v>
      </c>
      <c r="T34" s="1014">
        <f t="shared" si="14"/>
        <v>0</v>
      </c>
      <c r="U34" s="1014">
        <f t="shared" si="15"/>
        <v>0</v>
      </c>
      <c r="V34" s="1014">
        <f t="shared" si="16"/>
        <v>0</v>
      </c>
      <c r="W34" s="1015">
        <f t="shared" si="17"/>
        <v>0</v>
      </c>
      <c r="X34" s="1014">
        <f t="shared" si="18"/>
        <v>0</v>
      </c>
      <c r="Y34" s="1014">
        <f t="shared" si="19"/>
        <v>0</v>
      </c>
      <c r="Z34" s="1023">
        <f t="shared" si="22"/>
        <v>0</v>
      </c>
    </row>
    <row r="35" spans="1:26">
      <c r="A35" s="914" t="s">
        <v>56</v>
      </c>
      <c r="B35" s="918">
        <f t="shared" si="0"/>
        <v>300000</v>
      </c>
      <c r="C35" s="918">
        <f t="shared" si="1"/>
        <v>0</v>
      </c>
      <c r="D35" s="918">
        <f t="shared" si="2"/>
        <v>393831</v>
      </c>
      <c r="E35" s="918">
        <f t="shared" ref="E35:E69" si="92">SUMPRODUCT((OP_CAF=A35)*(Bdgt_CAF))</f>
        <v>0</v>
      </c>
      <c r="F35" s="918">
        <f t="shared" si="4"/>
        <v>0</v>
      </c>
      <c r="G35" s="918">
        <f t="shared" si="5"/>
        <v>0</v>
      </c>
      <c r="H35" s="918">
        <f t="shared" si="6"/>
        <v>0</v>
      </c>
      <c r="I35" s="918">
        <f t="shared" si="7"/>
        <v>0</v>
      </c>
      <c r="J35" s="1065">
        <f t="shared" si="20"/>
        <v>34402.42</v>
      </c>
      <c r="K35" s="918">
        <f t="shared" si="8"/>
        <v>0</v>
      </c>
      <c r="L35" s="918">
        <f t="shared" si="9"/>
        <v>162750</v>
      </c>
      <c r="M35" s="918">
        <f t="shared" si="21"/>
        <v>890983.42</v>
      </c>
      <c r="N35" s="1013">
        <v>590986.66429999995</v>
      </c>
      <c r="O35" s="1016">
        <f t="shared" ref="O35:O69" si="93">SUMPRODUCT((OP_FRAFU=A35)*(DatePmt&lt;&gt;"")*(DatePmt&lt;&gt;"en attente")*(YEAR(DatePmt)=$O$1)*(ISNUMBER(MontantPaye)),MontantPaye)</f>
        <v>60000</v>
      </c>
      <c r="P35" s="1014">
        <f>SUMPRODUCT((OP_Rehab=A35)*(DatePmtRehab&lt;&gt;"")*(DatePmtRehab&lt;&gt;"en attente")*(YEAR(DatePmtRehab)=$O$1)*(ISNUMBER(MontantPayeRehab)),MontantPayeRehab)</f>
        <v>0</v>
      </c>
      <c r="Q35" s="1016">
        <f t="shared" ref="Q35:Q69" si="94">SUMPRODUCT((OP_LBU=A35)*(DatePmt_LBU&lt;&gt;"")*(DatePmt_LBU&lt;&gt;"en attente")*(YEAR(DatePmt_LBU)=$O$1)*(ISNUMBER(MtntPaye_LBU)),MtntPaye_LBU)</f>
        <v>78766.2</v>
      </c>
      <c r="R35" s="1014">
        <f t="shared" ref="R35:R69" si="95">SUMPRODUCT((OP_CAF=A35)*(DatePmt_caf&lt;&gt;"")*(DatePmt_caf&lt;&gt;"en attente")*(YEAR(DatePmt_caf)=$O$1)*(ISNUMBER(MtntPaye_CAF)),MtntPaye_CAF)</f>
        <v>0</v>
      </c>
      <c r="S35" s="1014">
        <f t="shared" ref="S35:S69" si="96">SUMPRODUCT((OP_Region=A35)*(DatePmt_Region&lt;&gt;"")*(DatePmt_Region&lt;&gt;"en attente")*(YEAR(DatePmt_Region)=$O$1)*(ISNUMBER(MtntPaye_Region)),MtntPaye_Region)</f>
        <v>0</v>
      </c>
      <c r="T35" s="1014">
        <f t="shared" si="14"/>
        <v>0</v>
      </c>
      <c r="U35" s="1014">
        <f t="shared" si="15"/>
        <v>0</v>
      </c>
      <c r="V35" s="1014">
        <f t="shared" si="16"/>
        <v>0</v>
      </c>
      <c r="W35" s="1015">
        <f t="shared" si="17"/>
        <v>0</v>
      </c>
      <c r="X35" s="1014">
        <f t="shared" si="18"/>
        <v>0</v>
      </c>
      <c r="Y35" s="1014">
        <f t="shared" si="19"/>
        <v>81375</v>
      </c>
      <c r="Z35" s="1023">
        <f t="shared" si="22"/>
        <v>220141.2</v>
      </c>
    </row>
    <row r="36" spans="1:26">
      <c r="A36" s="914" t="s">
        <v>395</v>
      </c>
      <c r="B36" s="918">
        <f t="shared" si="0"/>
        <v>0</v>
      </c>
      <c r="C36" s="918">
        <f t="shared" si="1"/>
        <v>150000</v>
      </c>
      <c r="D36" s="918">
        <f t="shared" si="2"/>
        <v>0</v>
      </c>
      <c r="E36" s="918">
        <f t="shared" si="92"/>
        <v>0</v>
      </c>
      <c r="F36" s="918">
        <f t="shared" si="4"/>
        <v>0</v>
      </c>
      <c r="G36" s="918">
        <f t="shared" si="5"/>
        <v>0</v>
      </c>
      <c r="H36" s="918">
        <f t="shared" si="6"/>
        <v>0</v>
      </c>
      <c r="I36" s="918">
        <f t="shared" si="7"/>
        <v>0</v>
      </c>
      <c r="J36" s="1065">
        <f t="shared" si="20"/>
        <v>0</v>
      </c>
      <c r="K36" s="918">
        <f t="shared" si="8"/>
        <v>0</v>
      </c>
      <c r="L36" s="918">
        <f t="shared" si="9"/>
        <v>0</v>
      </c>
      <c r="M36" s="918">
        <f t="shared" si="21"/>
        <v>150000</v>
      </c>
      <c r="N36" s="1013">
        <v>150000</v>
      </c>
      <c r="O36" s="1014">
        <f t="shared" si="93"/>
        <v>0</v>
      </c>
      <c r="P36" s="1014">
        <f>SUMPRODUCT((OP_Rehab=A36)*(DatePmtRehab&lt;&gt;"")*(DatePmtRehab&lt;&gt;"en attente")*(YEAR(DatePmtRehab)=$O$1)*(ISNUMBER(MontantPayeRehab)),MontantPayeRehab)</f>
        <v>0</v>
      </c>
      <c r="Q36" s="1016">
        <f t="shared" si="94"/>
        <v>0</v>
      </c>
      <c r="R36" s="1014">
        <f t="shared" si="95"/>
        <v>0</v>
      </c>
      <c r="S36" s="1014">
        <f t="shared" si="96"/>
        <v>0</v>
      </c>
      <c r="T36" s="1014">
        <f t="shared" si="14"/>
        <v>0</v>
      </c>
      <c r="U36" s="1014">
        <f t="shared" si="15"/>
        <v>0</v>
      </c>
      <c r="V36" s="1014">
        <f t="shared" si="16"/>
        <v>0</v>
      </c>
      <c r="W36" s="1015">
        <f t="shared" si="17"/>
        <v>0</v>
      </c>
      <c r="X36" s="1014">
        <f t="shared" si="18"/>
        <v>0</v>
      </c>
      <c r="Y36" s="1014">
        <f t="shared" si="19"/>
        <v>0</v>
      </c>
      <c r="Z36" s="1023">
        <f t="shared" si="22"/>
        <v>0</v>
      </c>
    </row>
    <row r="37" spans="1:26">
      <c r="A37" s="914" t="s">
        <v>396</v>
      </c>
      <c r="B37" s="918">
        <f t="shared" si="0"/>
        <v>0</v>
      </c>
      <c r="C37" s="918">
        <f t="shared" si="1"/>
        <v>0</v>
      </c>
      <c r="D37" s="918">
        <f t="shared" si="2"/>
        <v>0</v>
      </c>
      <c r="E37" s="918">
        <f t="shared" si="92"/>
        <v>0</v>
      </c>
      <c r="F37" s="918">
        <f t="shared" si="4"/>
        <v>0</v>
      </c>
      <c r="G37" s="918">
        <f t="shared" si="5"/>
        <v>0</v>
      </c>
      <c r="H37" s="918">
        <f t="shared" si="6"/>
        <v>0</v>
      </c>
      <c r="I37" s="918">
        <f t="shared" si="7"/>
        <v>0</v>
      </c>
      <c r="J37" s="1065">
        <f t="shared" si="20"/>
        <v>0</v>
      </c>
      <c r="K37" s="918">
        <f t="shared" si="8"/>
        <v>0</v>
      </c>
      <c r="L37" s="918">
        <f t="shared" si="9"/>
        <v>0</v>
      </c>
      <c r="M37" s="918">
        <f t="shared" si="21"/>
        <v>0</v>
      </c>
      <c r="N37" s="1013">
        <v>0</v>
      </c>
      <c r="O37" s="1014">
        <f t="shared" si="93"/>
        <v>0</v>
      </c>
      <c r="P37" s="1014">
        <f>SUMPRODUCT((OP_Rehab=A37)*(DatePmtRehab&lt;&gt;"")*(DatePmtRehab&lt;&gt;"en attente")*(YEAR(DatePmtRehab)=$O$1)*(ISNUMBER(MontantPayeRehab)),MontantPayeRehab)</f>
        <v>0</v>
      </c>
      <c r="Q37" s="1016">
        <f t="shared" si="94"/>
        <v>0</v>
      </c>
      <c r="R37" s="1014">
        <f t="shared" si="95"/>
        <v>0</v>
      </c>
      <c r="S37" s="1014">
        <f t="shared" si="96"/>
        <v>0</v>
      </c>
      <c r="T37" s="1014">
        <f t="shared" si="14"/>
        <v>0</v>
      </c>
      <c r="U37" s="1014">
        <f t="shared" si="15"/>
        <v>0</v>
      </c>
      <c r="V37" s="1014">
        <f t="shared" si="16"/>
        <v>0</v>
      </c>
      <c r="W37" s="1015">
        <f t="shared" si="17"/>
        <v>0</v>
      </c>
      <c r="X37" s="1014">
        <f t="shared" si="18"/>
        <v>0</v>
      </c>
      <c r="Y37" s="1014">
        <f t="shared" si="19"/>
        <v>0</v>
      </c>
      <c r="Z37" s="1023">
        <f t="shared" si="22"/>
        <v>0</v>
      </c>
    </row>
    <row r="38" spans="1:26">
      <c r="A38" s="914" t="s">
        <v>388</v>
      </c>
      <c r="B38" s="918">
        <f t="shared" si="0"/>
        <v>0</v>
      </c>
      <c r="C38" s="918">
        <f t="shared" si="1"/>
        <v>0</v>
      </c>
      <c r="D38" s="918">
        <f t="shared" si="2"/>
        <v>0</v>
      </c>
      <c r="E38" s="918">
        <f t="shared" si="92"/>
        <v>0</v>
      </c>
      <c r="F38" s="918">
        <f t="shared" si="4"/>
        <v>0</v>
      </c>
      <c r="G38" s="918">
        <f t="shared" si="5"/>
        <v>0</v>
      </c>
      <c r="H38" s="918">
        <f t="shared" si="6"/>
        <v>1575</v>
      </c>
      <c r="I38" s="918">
        <f t="shared" si="7"/>
        <v>0</v>
      </c>
      <c r="J38" s="1065">
        <f t="shared" si="20"/>
        <v>0</v>
      </c>
      <c r="K38" s="918">
        <f t="shared" si="8"/>
        <v>0</v>
      </c>
      <c r="L38" s="918">
        <f t="shared" si="9"/>
        <v>0</v>
      </c>
      <c r="M38" s="918">
        <f t="shared" si="21"/>
        <v>1575</v>
      </c>
      <c r="N38" s="1013">
        <v>1575</v>
      </c>
      <c r="O38" s="1014">
        <f t="shared" si="93"/>
        <v>0</v>
      </c>
      <c r="P38" s="1014">
        <f>SUMPRODUCT((OP_Rehab=A38)*(DatePmtRehab&lt;&gt;"")*(DatePmtRehab&lt;&gt;"en attente")*(YEAR(DatePmtRehab)=$O$1)*(ISNUMBER(MontantPayeRehab)),MontantPayeRehab)</f>
        <v>0</v>
      </c>
      <c r="Q38" s="1016">
        <f t="shared" si="94"/>
        <v>0</v>
      </c>
      <c r="R38" s="1014">
        <f t="shared" si="95"/>
        <v>0</v>
      </c>
      <c r="S38" s="1014">
        <f t="shared" si="96"/>
        <v>0</v>
      </c>
      <c r="T38" s="1014">
        <f t="shared" si="14"/>
        <v>0</v>
      </c>
      <c r="U38" s="1014">
        <f t="shared" si="15"/>
        <v>0</v>
      </c>
      <c r="V38" s="1014">
        <f t="shared" si="16"/>
        <v>0</v>
      </c>
      <c r="W38" s="1015">
        <f t="shared" si="17"/>
        <v>0</v>
      </c>
      <c r="X38" s="1014">
        <f t="shared" si="18"/>
        <v>0</v>
      </c>
      <c r="Y38" s="1014">
        <f t="shared" si="19"/>
        <v>0</v>
      </c>
      <c r="Z38" s="1023">
        <f t="shared" si="22"/>
        <v>0</v>
      </c>
    </row>
    <row r="39" spans="1:26">
      <c r="A39" s="914" t="s">
        <v>130</v>
      </c>
      <c r="B39" s="918">
        <f t="shared" ref="B39:B66" si="97">SUMPRODUCT((OP_FRAFU=A39)*(Bdgt_FRAFU))</f>
        <v>0</v>
      </c>
      <c r="C39" s="918">
        <f t="shared" ref="C39:C66" si="98">SUMPRODUCT((OP_Rehab=A39)*(Bdgt_Rehab))</f>
        <v>0</v>
      </c>
      <c r="D39" s="918">
        <f t="shared" ref="D39:D66" si="99">SUMPRODUCT((OP_LBU=A39)*(Bdgt_LBU))</f>
        <v>400000</v>
      </c>
      <c r="E39" s="918">
        <f t="shared" si="92"/>
        <v>0</v>
      </c>
      <c r="F39" s="918">
        <f t="shared" ref="F39:F66" si="100">SUMPRODUCT((OP_Region=A39)*(Bdgt_Region))</f>
        <v>0</v>
      </c>
      <c r="G39" s="918">
        <f t="shared" ref="G39:G66" si="101">SUMPRODUCT((OP_Rectorat=A39)*(Bdgt_Rectorat))</f>
        <v>0</v>
      </c>
      <c r="H39" s="918">
        <f t="shared" ref="H39:H66" si="102">SUMPRODUCT((OP_ADEME=A39)*(Bdgt_ADEME))</f>
        <v>0</v>
      </c>
      <c r="I39" s="918">
        <f t="shared" ref="I39:I66" si="103">SUMPRODUCT((OP_P_Ile=A39)*(Bdgt_P_Ile))</f>
        <v>0</v>
      </c>
      <c r="J39" s="1065">
        <f t="shared" ref="J39:J66" si="104">SUMPRODUCT((OP_EDF=A39)*(Bdgt_EDF))</f>
        <v>30128.059999999998</v>
      </c>
      <c r="K39" s="918">
        <f t="shared" ref="K39:K66" si="105">SUMPRODUCT((OP_ETG_SALE=A39)*(Bdgt_ETG_SALE))</f>
        <v>0</v>
      </c>
      <c r="L39" s="918">
        <f t="shared" ref="L39:L66" si="106">SUMPRODUCT((OP_ST_JO=A39)*(Bdgt_ST_JO))</f>
        <v>0</v>
      </c>
      <c r="M39" s="918">
        <f t="shared" si="21"/>
        <v>430128.06</v>
      </c>
      <c r="N39" s="1013">
        <v>430128.06</v>
      </c>
      <c r="O39" s="1014">
        <f t="shared" si="93"/>
        <v>0</v>
      </c>
      <c r="P39" s="1014">
        <f>SUMPRODUCT((OP_Rehab=A39)*(DatePmtRehab&lt;&gt;"")*(DatePmtRehab&lt;&gt;"en attente")*(YEAR(DatePmtRehab)=$O$1)*(ISNUMBER(MontantPayeRehab)),MontantPayeRehab)</f>
        <v>0</v>
      </c>
      <c r="Q39" s="1016">
        <f t="shared" si="94"/>
        <v>128680</v>
      </c>
      <c r="R39" s="1014">
        <f t="shared" si="95"/>
        <v>0</v>
      </c>
      <c r="S39" s="1014">
        <f t="shared" si="96"/>
        <v>0</v>
      </c>
      <c r="T39" s="1014">
        <f t="shared" ref="T39:T66" si="107">SUMPRODUCT((OP_Rectorat=A39)*(DatePmt_Rectorat&lt;&gt;"")*(DatePmt_Rectorat&lt;&gt;"en attente")*(YEAR(DatePmt_Rectorat)=$O$1)*(ISNUMBER(MtntPaye_Rectorat)),MtntPaye_Rectorat)</f>
        <v>0</v>
      </c>
      <c r="U39" s="1014">
        <f t="shared" ref="U39:U66" si="108">SUMPRODUCT((OP_ADEME=A39)*(DatePmt_ADEME&lt;&gt;"")*(DatePmt_ADEME&lt;&gt;"en attente")*(YEAR(DatePmt_ADEME)=$O$1)*(ISNUMBER(MtntPaye_ADEME)),MtntPaye_ADEME)</f>
        <v>0</v>
      </c>
      <c r="V39" s="1014">
        <f t="shared" ref="V39:V66" si="109">SUMPRODUCT((OP_P_Ile=A39)*(DatePmt_P_ILE&lt;&gt;"")*(DatePmt_P_ILE&lt;&gt;"en attente")*(YEAR(DatePmt_P_ILE)=$O$1)*(ISNUMBER(MtntPaye_P_ILE)),MtntPaye_P_ILE)</f>
        <v>0</v>
      </c>
      <c r="W39" s="1015">
        <f t="shared" ref="W39:W66" si="110">SUMPRODUCT((OP_EDF=A39)*(DatePmt_EDF&lt;&gt;"")*(DatePmt_EDF&lt;&gt;"en attente")*(YEAR(DatePmt_EDF)=$O$1)*(ISNUMBER(MtntPaye_EDF)),MtntPaye_EDF)</f>
        <v>18371</v>
      </c>
      <c r="X39" s="1014">
        <f t="shared" ref="X39:X66" si="111">SUMPRODUCT((OP_ETG_SALE=A39)*(DatePmt_ETG_SALE&lt;&gt;"")*(DatePmt_ETG_SALE&lt;&gt;"en attente")*(YEAR(DatePmt_ETG_SALE)=$O$1)*(ISNUMBER(MtntPaye_ETG_SALE)),MtntPaye_ETG_SALE)</f>
        <v>0</v>
      </c>
      <c r="Y39" s="1014">
        <f t="shared" ref="Y39:Y66" si="112">SUMPRODUCT((OP_ST_JO=A39)*(DatePmt_ST_JOSEPH&lt;&gt;"")*(DatePmt_ST_JOSEPH&lt;&gt;"en attente")*(YEAR(DatePmt_ST_JOSEPH)=$O$1)*(ISNUMBER(MtntPaye_ST_JOSEPH)),MtntPaye_ST_JOSEPH)</f>
        <v>0</v>
      </c>
      <c r="Z39" s="1023">
        <f t="shared" si="22"/>
        <v>147051</v>
      </c>
    </row>
    <row r="40" spans="1:26">
      <c r="A40" s="914" t="s">
        <v>9</v>
      </c>
      <c r="B40" s="918">
        <f t="shared" ref="B40:B42" si="113">SUMPRODUCT((OP_FRAFU=A40)*(Bdgt_FRAFU))</f>
        <v>480000</v>
      </c>
      <c r="C40" s="918">
        <f t="shared" ref="C40:C42" si="114">SUMPRODUCT((OP_Rehab=A40)*(Bdgt_Rehab))</f>
        <v>0</v>
      </c>
      <c r="D40" s="918">
        <f t="shared" ref="D40:D42" si="115">SUMPRODUCT((OP_LBU=A40)*(Bdgt_LBU))</f>
        <v>264000</v>
      </c>
      <c r="E40" s="918">
        <f t="shared" si="92"/>
        <v>120000</v>
      </c>
      <c r="F40" s="918">
        <f t="shared" ref="F40:F42" si="116">SUMPRODUCT((OP_Region=A40)*(Bdgt_Region))</f>
        <v>0</v>
      </c>
      <c r="G40" s="918">
        <f t="shared" ref="G40:G42" si="117">SUMPRODUCT((OP_Rectorat=A40)*(Bdgt_Rectorat))</f>
        <v>0</v>
      </c>
      <c r="H40" s="918">
        <f t="shared" ref="H40:H42" si="118">SUMPRODUCT((OP_ADEME=A40)*(Bdgt_ADEME))</f>
        <v>0</v>
      </c>
      <c r="I40" s="918">
        <f t="shared" ref="I40:I42" si="119">SUMPRODUCT((OP_P_Ile=A40)*(Bdgt_P_Ile))</f>
        <v>0</v>
      </c>
      <c r="J40" s="1065">
        <f t="shared" ref="J40:J42" si="120">SUMPRODUCT((OP_EDF=A40)*(Bdgt_EDF))</f>
        <v>42015.88</v>
      </c>
      <c r="K40" s="918">
        <f t="shared" ref="K40:K42" si="121">SUMPRODUCT((OP_ETG_SALE=A40)*(Bdgt_ETG_SALE))</f>
        <v>0</v>
      </c>
      <c r="L40" s="918">
        <f t="shared" ref="L40:L42" si="122">SUMPRODUCT((OP_ST_JO=A40)*(Bdgt_ST_JO))</f>
        <v>0</v>
      </c>
      <c r="M40" s="918">
        <f t="shared" ref="M40:M42" si="123">SUM(B40:L40)</f>
        <v>906015.88</v>
      </c>
      <c r="N40" s="1013">
        <v>430129.06</v>
      </c>
      <c r="O40" s="1014">
        <f t="shared" si="93"/>
        <v>0</v>
      </c>
      <c r="P40" s="1014">
        <f>SUMPRODUCT((OP_Rehab=A40)*(DatePmtRehab&lt;&gt;"")*(DatePmtRehab&lt;&gt;"en attente")*(YEAR(DatePmtRehab)=$O$1)*(ISNUMBER(MontantPayeRehab)),MontantPayeRehab)</f>
        <v>0</v>
      </c>
      <c r="Q40" s="1016">
        <f t="shared" si="94"/>
        <v>61089.599999999999</v>
      </c>
      <c r="R40" s="1014">
        <f t="shared" si="95"/>
        <v>0</v>
      </c>
      <c r="S40" s="1014">
        <f t="shared" si="96"/>
        <v>0</v>
      </c>
      <c r="T40" s="1014">
        <f t="shared" ref="T40:T42" si="124">SUMPRODUCT((OP_Rectorat=A40)*(DatePmt_Rectorat&lt;&gt;"")*(DatePmt_Rectorat&lt;&gt;"en attente")*(YEAR(DatePmt_Rectorat)=$O$1)*(ISNUMBER(MtntPaye_Rectorat)),MtntPaye_Rectorat)</f>
        <v>0</v>
      </c>
      <c r="U40" s="1014">
        <f t="shared" ref="U40:U42" si="125">SUMPRODUCT((OP_ADEME=A40)*(DatePmt_ADEME&lt;&gt;"")*(DatePmt_ADEME&lt;&gt;"en attente")*(YEAR(DatePmt_ADEME)=$O$1)*(ISNUMBER(MtntPaye_ADEME)),MtntPaye_ADEME)</f>
        <v>0</v>
      </c>
      <c r="V40" s="1014">
        <f t="shared" ref="V40:V42" si="126">SUMPRODUCT((OP_P_Ile=A40)*(DatePmt_P_ILE&lt;&gt;"")*(DatePmt_P_ILE&lt;&gt;"en attente")*(YEAR(DatePmt_P_ILE)=$O$1)*(ISNUMBER(MtntPaye_P_ILE)),MtntPaye_P_ILE)</f>
        <v>0</v>
      </c>
      <c r="W40" s="1015">
        <f t="shared" ref="W40:W42" si="127">SUMPRODUCT((OP_EDF=A40)*(DatePmt_EDF&lt;&gt;"")*(DatePmt_EDF&lt;&gt;"en attente")*(YEAR(DatePmt_EDF)=$O$1)*(ISNUMBER(MtntPaye_EDF)),MtntPaye_EDF)</f>
        <v>0</v>
      </c>
      <c r="X40" s="1014">
        <f t="shared" ref="X40:X42" si="128">SUMPRODUCT((OP_ETG_SALE=A40)*(DatePmt_ETG_SALE&lt;&gt;"")*(DatePmt_ETG_SALE&lt;&gt;"en attente")*(YEAR(DatePmt_ETG_SALE)=$O$1)*(ISNUMBER(MtntPaye_ETG_SALE)),MtntPaye_ETG_SALE)</f>
        <v>0</v>
      </c>
      <c r="Y40" s="1014">
        <f t="shared" ref="Y40:Y42" si="129">SUMPRODUCT((OP_ST_JO=A40)*(DatePmt_ST_JOSEPH&lt;&gt;"")*(DatePmt_ST_JOSEPH&lt;&gt;"en attente")*(YEAR(DatePmt_ST_JOSEPH)=$O$1)*(ISNUMBER(MtntPaye_ST_JOSEPH)),MtntPaye_ST_JOSEPH)</f>
        <v>0</v>
      </c>
      <c r="Z40" s="1023">
        <f t="shared" si="22"/>
        <v>61089.599999999999</v>
      </c>
    </row>
    <row r="41" spans="1:26">
      <c r="A41" s="914" t="s">
        <v>314</v>
      </c>
      <c r="B41" s="918">
        <f t="shared" si="113"/>
        <v>0</v>
      </c>
      <c r="C41" s="918">
        <f t="shared" si="114"/>
        <v>0</v>
      </c>
      <c r="D41" s="918">
        <f t="shared" si="115"/>
        <v>504000</v>
      </c>
      <c r="E41" s="918">
        <f t="shared" si="92"/>
        <v>0</v>
      </c>
      <c r="F41" s="918">
        <f t="shared" si="116"/>
        <v>0</v>
      </c>
      <c r="G41" s="918">
        <f t="shared" si="117"/>
        <v>0</v>
      </c>
      <c r="H41" s="918">
        <f t="shared" si="118"/>
        <v>0</v>
      </c>
      <c r="I41" s="918">
        <f t="shared" si="119"/>
        <v>0</v>
      </c>
      <c r="J41" s="1065">
        <f t="shared" si="120"/>
        <v>102991.94324999998</v>
      </c>
      <c r="K41" s="918">
        <f t="shared" si="121"/>
        <v>0</v>
      </c>
      <c r="L41" s="918">
        <f t="shared" si="122"/>
        <v>0</v>
      </c>
      <c r="M41" s="918">
        <f t="shared" si="123"/>
        <v>606991.94325000001</v>
      </c>
      <c r="N41" s="1013">
        <v>430130.06</v>
      </c>
      <c r="O41" s="1014">
        <f t="shared" si="93"/>
        <v>0</v>
      </c>
      <c r="P41" s="1014">
        <f>SUMPRODUCT((OP_Rehab=A41)*(DatePmtRehab&lt;&gt;"")*(DatePmtRehab&lt;&gt;"en attente")*(YEAR(DatePmtRehab)=$O$1)*(ISNUMBER(MontantPayeRehab)),MontantPayeRehab)</f>
        <v>0</v>
      </c>
      <c r="Q41" s="1016">
        <f t="shared" si="94"/>
        <v>0</v>
      </c>
      <c r="R41" s="1014">
        <f t="shared" si="95"/>
        <v>0</v>
      </c>
      <c r="S41" s="1014">
        <f t="shared" si="96"/>
        <v>0</v>
      </c>
      <c r="T41" s="1014">
        <f t="shared" si="124"/>
        <v>0</v>
      </c>
      <c r="U41" s="1014">
        <f t="shared" si="125"/>
        <v>0</v>
      </c>
      <c r="V41" s="1014">
        <f t="shared" si="126"/>
        <v>0</v>
      </c>
      <c r="W41" s="1015">
        <f t="shared" si="127"/>
        <v>0</v>
      </c>
      <c r="X41" s="1014">
        <f t="shared" si="128"/>
        <v>0</v>
      </c>
      <c r="Y41" s="1014">
        <f t="shared" si="129"/>
        <v>0</v>
      </c>
      <c r="Z41" s="1023">
        <f t="shared" si="22"/>
        <v>0</v>
      </c>
    </row>
    <row r="42" spans="1:26">
      <c r="A42" s="914" t="s">
        <v>280</v>
      </c>
      <c r="B42" s="918">
        <f t="shared" si="113"/>
        <v>0</v>
      </c>
      <c r="C42" s="918">
        <f t="shared" si="114"/>
        <v>0</v>
      </c>
      <c r="D42" s="918">
        <f t="shared" si="115"/>
        <v>945000</v>
      </c>
      <c r="E42" s="918">
        <f t="shared" si="92"/>
        <v>0</v>
      </c>
      <c r="F42" s="918">
        <f t="shared" si="116"/>
        <v>0</v>
      </c>
      <c r="G42" s="918">
        <f t="shared" si="117"/>
        <v>0</v>
      </c>
      <c r="H42" s="918">
        <f t="shared" si="118"/>
        <v>0</v>
      </c>
      <c r="I42" s="918">
        <f t="shared" si="119"/>
        <v>0</v>
      </c>
      <c r="J42" s="1065">
        <f t="shared" si="120"/>
        <v>173939.71350000001</v>
      </c>
      <c r="K42" s="918">
        <f t="shared" si="121"/>
        <v>0</v>
      </c>
      <c r="L42" s="918">
        <f t="shared" si="122"/>
        <v>0</v>
      </c>
      <c r="M42" s="918">
        <f t="shared" si="123"/>
        <v>1118939.7135000001</v>
      </c>
      <c r="N42" s="1013">
        <v>430131.06</v>
      </c>
      <c r="O42" s="1014">
        <f t="shared" si="93"/>
        <v>0</v>
      </c>
      <c r="P42" s="1014">
        <f>SUMPRODUCT((OP_Rehab=A42)*(DatePmtRehab&lt;&gt;"")*(DatePmtRehab&lt;&gt;"en attente")*(YEAR(DatePmtRehab)=$O$1)*(ISNUMBER(MontantPayeRehab)),MontantPayeRehab)</f>
        <v>0</v>
      </c>
      <c r="Q42" s="1016">
        <f t="shared" si="94"/>
        <v>333112.5</v>
      </c>
      <c r="R42" s="1014">
        <f t="shared" si="95"/>
        <v>0</v>
      </c>
      <c r="S42" s="1014">
        <f t="shared" si="96"/>
        <v>0</v>
      </c>
      <c r="T42" s="1014">
        <f t="shared" si="124"/>
        <v>0</v>
      </c>
      <c r="U42" s="1014">
        <f t="shared" si="125"/>
        <v>0</v>
      </c>
      <c r="V42" s="1014">
        <f t="shared" si="126"/>
        <v>0</v>
      </c>
      <c r="W42" s="1015">
        <f t="shared" si="127"/>
        <v>0</v>
      </c>
      <c r="X42" s="1014">
        <f t="shared" si="128"/>
        <v>0</v>
      </c>
      <c r="Y42" s="1014">
        <f t="shared" si="129"/>
        <v>0</v>
      </c>
      <c r="Z42" s="1023">
        <f t="shared" si="22"/>
        <v>333112.5</v>
      </c>
    </row>
    <row r="43" spans="1:26">
      <c r="A43" s="914" t="s">
        <v>261</v>
      </c>
      <c r="B43" s="918">
        <f t="shared" si="97"/>
        <v>560000</v>
      </c>
      <c r="C43" s="918">
        <f t="shared" si="98"/>
        <v>0</v>
      </c>
      <c r="D43" s="918">
        <f t="shared" si="99"/>
        <v>656000</v>
      </c>
      <c r="E43" s="918">
        <f t="shared" si="92"/>
        <v>0</v>
      </c>
      <c r="F43" s="918">
        <f t="shared" si="100"/>
        <v>0</v>
      </c>
      <c r="G43" s="918">
        <f t="shared" si="101"/>
        <v>0</v>
      </c>
      <c r="H43" s="918">
        <f t="shared" si="102"/>
        <v>0</v>
      </c>
      <c r="I43" s="918">
        <f t="shared" si="103"/>
        <v>92043.64</v>
      </c>
      <c r="J43" s="1065">
        <f t="shared" si="104"/>
        <v>74691.399999999994</v>
      </c>
      <c r="K43" s="918">
        <f t="shared" si="105"/>
        <v>0</v>
      </c>
      <c r="L43" s="918">
        <f t="shared" si="106"/>
        <v>0</v>
      </c>
      <c r="M43" s="918">
        <f t="shared" si="21"/>
        <v>1382735.0399999998</v>
      </c>
      <c r="N43" s="1013">
        <v>1382734.0399999998</v>
      </c>
      <c r="O43" s="1014">
        <f t="shared" si="93"/>
        <v>270744.06</v>
      </c>
      <c r="P43" s="1014">
        <f>SUMPRODUCT((OP_Rehab=A43)*(DatePmtRehab&lt;&gt;"")*(DatePmtRehab&lt;&gt;"en attente")*(YEAR(DatePmtRehab)=$O$1)*(ISNUMBER(MontantPayeRehab)),MontantPayeRehab)</f>
        <v>0</v>
      </c>
      <c r="Q43" s="1016">
        <f t="shared" si="94"/>
        <v>196800</v>
      </c>
      <c r="R43" s="1014">
        <f t="shared" si="95"/>
        <v>0</v>
      </c>
      <c r="S43" s="1014">
        <f t="shared" si="96"/>
        <v>0</v>
      </c>
      <c r="T43" s="1014">
        <f t="shared" si="107"/>
        <v>0</v>
      </c>
      <c r="U43" s="1014">
        <f t="shared" si="108"/>
        <v>0</v>
      </c>
      <c r="V43" s="1014">
        <f t="shared" si="109"/>
        <v>46021.32</v>
      </c>
      <c r="W43" s="1015">
        <f t="shared" si="110"/>
        <v>0</v>
      </c>
      <c r="X43" s="1014">
        <f t="shared" si="111"/>
        <v>0</v>
      </c>
      <c r="Y43" s="1014">
        <f t="shared" si="112"/>
        <v>0</v>
      </c>
      <c r="Z43" s="1023">
        <f t="shared" si="22"/>
        <v>513565.38</v>
      </c>
    </row>
    <row r="44" spans="1:26">
      <c r="A44" s="914" t="s">
        <v>37</v>
      </c>
      <c r="B44" s="918">
        <f t="shared" si="97"/>
        <v>315000</v>
      </c>
      <c r="C44" s="918">
        <f t="shared" si="98"/>
        <v>0</v>
      </c>
      <c r="D44" s="918">
        <f t="shared" si="99"/>
        <v>442750</v>
      </c>
      <c r="E44" s="918">
        <f t="shared" si="92"/>
        <v>0</v>
      </c>
      <c r="F44" s="918">
        <f t="shared" si="100"/>
        <v>0</v>
      </c>
      <c r="G44" s="918">
        <f t="shared" si="101"/>
        <v>0</v>
      </c>
      <c r="H44" s="918">
        <f t="shared" si="102"/>
        <v>0</v>
      </c>
      <c r="I44" s="918">
        <f t="shared" si="103"/>
        <v>0</v>
      </c>
      <c r="J44" s="1065">
        <f t="shared" si="104"/>
        <v>123038.96219999999</v>
      </c>
      <c r="K44" s="918">
        <f t="shared" si="105"/>
        <v>0</v>
      </c>
      <c r="L44" s="918">
        <f t="shared" si="106"/>
        <v>292222.2</v>
      </c>
      <c r="M44" s="918">
        <f t="shared" si="21"/>
        <v>1173011.1621999999</v>
      </c>
      <c r="N44" s="1013">
        <v>858011.1621999999</v>
      </c>
      <c r="O44" s="1016">
        <f t="shared" si="93"/>
        <v>146932.96</v>
      </c>
      <c r="P44" s="1014">
        <f>SUMPRODUCT((OP_Rehab=A44)*(DatePmtRehab&lt;&gt;"")*(DatePmtRehab&lt;&gt;"en attente")*(YEAR(DatePmtRehab)=$O$1)*(ISNUMBER(MontantPayeRehab)),MontantPayeRehab)</f>
        <v>0</v>
      </c>
      <c r="Q44" s="1016">
        <f t="shared" si="94"/>
        <v>221375</v>
      </c>
      <c r="R44" s="1014">
        <f t="shared" si="95"/>
        <v>0</v>
      </c>
      <c r="S44" s="1014">
        <f t="shared" si="96"/>
        <v>0</v>
      </c>
      <c r="T44" s="1014">
        <f t="shared" si="107"/>
        <v>0</v>
      </c>
      <c r="U44" s="1014">
        <f t="shared" si="108"/>
        <v>0</v>
      </c>
      <c r="V44" s="1014">
        <f t="shared" si="109"/>
        <v>0</v>
      </c>
      <c r="W44" s="1015">
        <f t="shared" si="110"/>
        <v>0</v>
      </c>
      <c r="X44" s="1014">
        <f t="shared" si="111"/>
        <v>0</v>
      </c>
      <c r="Y44" s="1014">
        <f t="shared" si="112"/>
        <v>146111.1</v>
      </c>
      <c r="Z44" s="1023">
        <f t="shared" si="22"/>
        <v>514419.05999999994</v>
      </c>
    </row>
    <row r="45" spans="1:26">
      <c r="A45" s="914" t="s">
        <v>292</v>
      </c>
      <c r="B45" s="918">
        <f t="shared" si="97"/>
        <v>0</v>
      </c>
      <c r="C45" s="918">
        <f t="shared" si="98"/>
        <v>0</v>
      </c>
      <c r="D45" s="918">
        <f t="shared" si="99"/>
        <v>1100000</v>
      </c>
      <c r="E45" s="918">
        <f t="shared" si="92"/>
        <v>0</v>
      </c>
      <c r="F45" s="918">
        <f t="shared" si="100"/>
        <v>0</v>
      </c>
      <c r="G45" s="918">
        <f t="shared" si="101"/>
        <v>0</v>
      </c>
      <c r="H45" s="918">
        <f t="shared" si="102"/>
        <v>0</v>
      </c>
      <c r="I45" s="918">
        <f t="shared" si="103"/>
        <v>0</v>
      </c>
      <c r="J45" s="1065">
        <f t="shared" si="104"/>
        <v>0</v>
      </c>
      <c r="K45" s="918">
        <f t="shared" si="105"/>
        <v>0</v>
      </c>
      <c r="L45" s="918">
        <f t="shared" si="106"/>
        <v>0</v>
      </c>
      <c r="M45" s="918">
        <f t="shared" si="21"/>
        <v>1100000</v>
      </c>
      <c r="N45" s="1013">
        <v>1100000</v>
      </c>
      <c r="O45" s="1014">
        <f t="shared" si="93"/>
        <v>0</v>
      </c>
      <c r="P45" s="1014">
        <f>SUMPRODUCT((OP_Rehab=A45)*(DatePmtRehab&lt;&gt;"")*(DatePmtRehab&lt;&gt;"en attente")*(YEAR(DatePmtRehab)=$O$1)*(ISNUMBER(MontantPayeRehab)),MontantPayeRehab)</f>
        <v>0</v>
      </c>
      <c r="Q45" s="1016">
        <f t="shared" si="94"/>
        <v>478060</v>
      </c>
      <c r="R45" s="1014">
        <f t="shared" si="95"/>
        <v>0</v>
      </c>
      <c r="S45" s="1014">
        <f t="shared" si="96"/>
        <v>0</v>
      </c>
      <c r="T45" s="1014">
        <f t="shared" si="107"/>
        <v>0</v>
      </c>
      <c r="U45" s="1014">
        <f t="shared" si="108"/>
        <v>0</v>
      </c>
      <c r="V45" s="1014">
        <f t="shared" si="109"/>
        <v>0</v>
      </c>
      <c r="W45" s="1015">
        <f t="shared" si="110"/>
        <v>0</v>
      </c>
      <c r="X45" s="1014">
        <f t="shared" si="111"/>
        <v>0</v>
      </c>
      <c r="Y45" s="1014">
        <f t="shared" si="112"/>
        <v>0</v>
      </c>
      <c r="Z45" s="1023">
        <f t="shared" si="22"/>
        <v>478060</v>
      </c>
    </row>
    <row r="46" spans="1:26">
      <c r="A46" s="914" t="s">
        <v>355</v>
      </c>
      <c r="B46" s="918">
        <f t="shared" si="97"/>
        <v>0</v>
      </c>
      <c r="C46" s="918">
        <f t="shared" si="98"/>
        <v>0</v>
      </c>
      <c r="D46" s="918">
        <f t="shared" si="99"/>
        <v>323000</v>
      </c>
      <c r="E46" s="918">
        <f t="shared" si="92"/>
        <v>0</v>
      </c>
      <c r="F46" s="918">
        <f t="shared" si="100"/>
        <v>0</v>
      </c>
      <c r="G46" s="918">
        <f t="shared" si="101"/>
        <v>0</v>
      </c>
      <c r="H46" s="918">
        <f t="shared" si="102"/>
        <v>4200</v>
      </c>
      <c r="I46" s="918">
        <f t="shared" si="103"/>
        <v>0</v>
      </c>
      <c r="J46" s="1065">
        <f t="shared" si="104"/>
        <v>0</v>
      </c>
      <c r="K46" s="918">
        <f t="shared" si="105"/>
        <v>0</v>
      </c>
      <c r="L46" s="918">
        <f t="shared" si="106"/>
        <v>0</v>
      </c>
      <c r="M46" s="918">
        <f t="shared" si="21"/>
        <v>327200</v>
      </c>
      <c r="N46" s="1013">
        <v>327200</v>
      </c>
      <c r="O46" s="1014">
        <f t="shared" si="93"/>
        <v>0</v>
      </c>
      <c r="P46" s="1014">
        <f>SUMPRODUCT((OP_Rehab=A46)*(DatePmtRehab&lt;&gt;"")*(DatePmtRehab&lt;&gt;"en attente")*(YEAR(DatePmtRehab)=$O$1)*(ISNUMBER(MontantPayeRehab)),MontantPayeRehab)</f>
        <v>0</v>
      </c>
      <c r="Q46" s="1016">
        <f t="shared" si="94"/>
        <v>0</v>
      </c>
      <c r="R46" s="1014">
        <f t="shared" si="95"/>
        <v>0</v>
      </c>
      <c r="S46" s="1014">
        <f t="shared" si="96"/>
        <v>0</v>
      </c>
      <c r="T46" s="1014">
        <f t="shared" si="107"/>
        <v>0</v>
      </c>
      <c r="U46" s="1014">
        <f t="shared" si="108"/>
        <v>4200</v>
      </c>
      <c r="V46" s="1014">
        <f t="shared" si="109"/>
        <v>0</v>
      </c>
      <c r="W46" s="1015">
        <f t="shared" si="110"/>
        <v>0</v>
      </c>
      <c r="X46" s="1014">
        <f t="shared" si="111"/>
        <v>0</v>
      </c>
      <c r="Y46" s="1014">
        <f t="shared" si="112"/>
        <v>0</v>
      </c>
      <c r="Z46" s="1023">
        <f t="shared" si="22"/>
        <v>4200</v>
      </c>
    </row>
    <row r="47" spans="1:26">
      <c r="A47" s="914" t="s">
        <v>255</v>
      </c>
      <c r="B47" s="918">
        <f t="shared" si="97"/>
        <v>0</v>
      </c>
      <c r="C47" s="918">
        <f t="shared" si="98"/>
        <v>0</v>
      </c>
      <c r="D47" s="918">
        <f t="shared" si="99"/>
        <v>270000</v>
      </c>
      <c r="E47" s="918">
        <f t="shared" si="92"/>
        <v>0</v>
      </c>
      <c r="F47" s="918">
        <f t="shared" si="100"/>
        <v>0</v>
      </c>
      <c r="G47" s="918">
        <f t="shared" si="101"/>
        <v>0</v>
      </c>
      <c r="H47" s="918">
        <f t="shared" si="102"/>
        <v>0</v>
      </c>
      <c r="I47" s="918">
        <f t="shared" si="103"/>
        <v>0</v>
      </c>
      <c r="J47" s="1065">
        <f t="shared" si="104"/>
        <v>69990.431349999999</v>
      </c>
      <c r="K47" s="918">
        <f t="shared" si="105"/>
        <v>0</v>
      </c>
      <c r="L47" s="918">
        <f t="shared" si="106"/>
        <v>0</v>
      </c>
      <c r="M47" s="918">
        <f t="shared" si="21"/>
        <v>339990.43134999997</v>
      </c>
      <c r="N47" s="1013">
        <v>339990.43134999997</v>
      </c>
      <c r="O47" s="1014">
        <f t="shared" si="93"/>
        <v>0</v>
      </c>
      <c r="P47" s="1014">
        <f>SUMPRODUCT((OP_Rehab=A47)*(DatePmtRehab&lt;&gt;"")*(DatePmtRehab&lt;&gt;"en attente")*(YEAR(DatePmtRehab)=$O$1)*(ISNUMBER(MontantPayeRehab)),MontantPayeRehab)</f>
        <v>0</v>
      </c>
      <c r="Q47" s="1016">
        <f t="shared" si="94"/>
        <v>0</v>
      </c>
      <c r="R47" s="1014">
        <f t="shared" si="95"/>
        <v>0</v>
      </c>
      <c r="S47" s="1014">
        <f t="shared" si="96"/>
        <v>0</v>
      </c>
      <c r="T47" s="1014">
        <f t="shared" si="107"/>
        <v>0</v>
      </c>
      <c r="U47" s="1014">
        <f t="shared" si="108"/>
        <v>0</v>
      </c>
      <c r="V47" s="1014">
        <f t="shared" si="109"/>
        <v>0</v>
      </c>
      <c r="W47" s="1015">
        <f t="shared" si="110"/>
        <v>0</v>
      </c>
      <c r="X47" s="1014">
        <f t="shared" si="111"/>
        <v>0</v>
      </c>
      <c r="Y47" s="1014">
        <f t="shared" si="112"/>
        <v>0</v>
      </c>
      <c r="Z47" s="1023">
        <f t="shared" si="22"/>
        <v>0</v>
      </c>
    </row>
    <row r="48" spans="1:26">
      <c r="A48" s="914" t="s">
        <v>356</v>
      </c>
      <c r="B48" s="918">
        <f t="shared" si="97"/>
        <v>0</v>
      </c>
      <c r="C48" s="918">
        <f t="shared" si="98"/>
        <v>0</v>
      </c>
      <c r="D48" s="918">
        <f t="shared" si="99"/>
        <v>643500</v>
      </c>
      <c r="E48" s="918">
        <f t="shared" si="92"/>
        <v>0</v>
      </c>
      <c r="F48" s="918">
        <f t="shared" si="100"/>
        <v>0</v>
      </c>
      <c r="G48" s="918">
        <f t="shared" si="101"/>
        <v>0</v>
      </c>
      <c r="H48" s="918">
        <f t="shared" si="102"/>
        <v>0</v>
      </c>
      <c r="I48" s="918">
        <f t="shared" si="103"/>
        <v>0</v>
      </c>
      <c r="J48" s="1065">
        <f t="shared" si="104"/>
        <v>0</v>
      </c>
      <c r="K48" s="918">
        <f t="shared" si="105"/>
        <v>0</v>
      </c>
      <c r="L48" s="918">
        <f t="shared" si="106"/>
        <v>0</v>
      </c>
      <c r="M48" s="918">
        <f t="shared" si="21"/>
        <v>643500</v>
      </c>
      <c r="N48" s="1013">
        <v>643500</v>
      </c>
      <c r="O48" s="1014">
        <f t="shared" si="93"/>
        <v>0</v>
      </c>
      <c r="P48" s="1014">
        <f>SUMPRODUCT((OP_Rehab=A48)*(DatePmtRehab&lt;&gt;"")*(DatePmtRehab&lt;&gt;"en attente")*(YEAR(DatePmtRehab)=$O$1)*(ISNUMBER(MontantPayeRehab)),MontantPayeRehab)</f>
        <v>0</v>
      </c>
      <c r="Q48" s="1016">
        <f t="shared" si="94"/>
        <v>0</v>
      </c>
      <c r="R48" s="1014">
        <f t="shared" si="95"/>
        <v>0</v>
      </c>
      <c r="S48" s="1014">
        <f t="shared" si="96"/>
        <v>0</v>
      </c>
      <c r="T48" s="1014">
        <f t="shared" si="107"/>
        <v>0</v>
      </c>
      <c r="U48" s="1014">
        <f t="shared" si="108"/>
        <v>0</v>
      </c>
      <c r="V48" s="1014">
        <f t="shared" si="109"/>
        <v>0</v>
      </c>
      <c r="W48" s="1015">
        <f t="shared" si="110"/>
        <v>0</v>
      </c>
      <c r="X48" s="1014">
        <f t="shared" si="111"/>
        <v>0</v>
      </c>
      <c r="Y48" s="1014">
        <f t="shared" si="112"/>
        <v>0</v>
      </c>
      <c r="Z48" s="1023">
        <f t="shared" si="22"/>
        <v>0</v>
      </c>
    </row>
    <row r="49" spans="1:26">
      <c r="A49" s="914" t="s">
        <v>332</v>
      </c>
      <c r="B49" s="918">
        <f t="shared" ref="B49" si="130">SUMPRODUCT((OP_FRAFU=A49)*(Bdgt_FRAFU))</f>
        <v>0</v>
      </c>
      <c r="C49" s="918">
        <f t="shared" ref="C49" si="131">SUMPRODUCT((OP_Rehab=A49)*(Bdgt_Rehab))</f>
        <v>0</v>
      </c>
      <c r="D49" s="918">
        <f t="shared" ref="D49" si="132">SUMPRODUCT((OP_LBU=A49)*(Bdgt_LBU))</f>
        <v>0</v>
      </c>
      <c r="E49" s="918">
        <f t="shared" si="92"/>
        <v>0</v>
      </c>
      <c r="F49" s="918">
        <f t="shared" ref="F49" si="133">SUMPRODUCT((OP_Region=A49)*(Bdgt_Region))</f>
        <v>0</v>
      </c>
      <c r="G49" s="918">
        <f t="shared" ref="G49" si="134">SUMPRODUCT((OP_Rectorat=A49)*(Bdgt_Rectorat))</f>
        <v>0</v>
      </c>
      <c r="H49" s="918">
        <f t="shared" ref="H49" si="135">SUMPRODUCT((OP_ADEME=A49)*(Bdgt_ADEME))</f>
        <v>6860</v>
      </c>
      <c r="I49" s="918">
        <f t="shared" ref="I49" si="136">SUMPRODUCT((OP_P_Ile=A49)*(Bdgt_P_Ile))</f>
        <v>0</v>
      </c>
      <c r="J49" s="1065">
        <f t="shared" ref="J49" si="137">SUMPRODUCT((OP_EDF=A49)*(Bdgt_EDF))</f>
        <v>0</v>
      </c>
      <c r="K49" s="918">
        <f t="shared" ref="K49" si="138">SUMPRODUCT((OP_ETG_SALE=A49)*(Bdgt_ETG_SALE))</f>
        <v>0</v>
      </c>
      <c r="L49" s="918">
        <f t="shared" ref="L49" si="139">SUMPRODUCT((OP_ST_JO=A49)*(Bdgt_ST_JO))</f>
        <v>0</v>
      </c>
      <c r="M49" s="918">
        <f t="shared" ref="M49" si="140">SUM(B49:L49)</f>
        <v>6860</v>
      </c>
      <c r="N49" s="1013">
        <v>643501</v>
      </c>
      <c r="O49" s="1014">
        <f t="shared" si="93"/>
        <v>0</v>
      </c>
      <c r="P49" s="1014">
        <f>SUMPRODUCT((OP_Rehab=A49)*(DatePmtRehab&lt;&gt;"")*(DatePmtRehab&lt;&gt;"en attente")*(YEAR(DatePmtRehab)=$O$1)*(ISNUMBER(MontantPayeRehab)),MontantPayeRehab)</f>
        <v>0</v>
      </c>
      <c r="Q49" s="1016">
        <f t="shared" si="94"/>
        <v>0</v>
      </c>
      <c r="R49" s="1014">
        <f t="shared" si="95"/>
        <v>0</v>
      </c>
      <c r="S49" s="1014">
        <f t="shared" si="96"/>
        <v>0</v>
      </c>
      <c r="T49" s="1014">
        <f t="shared" ref="T49" si="141">SUMPRODUCT((OP_Rectorat=A49)*(DatePmt_Rectorat&lt;&gt;"")*(DatePmt_Rectorat&lt;&gt;"en attente")*(YEAR(DatePmt_Rectorat)=$O$1)*(ISNUMBER(MtntPaye_Rectorat)),MtntPaye_Rectorat)</f>
        <v>0</v>
      </c>
      <c r="U49" s="1014">
        <f t="shared" ref="U49" si="142">SUMPRODUCT((OP_ADEME=A49)*(DatePmt_ADEME&lt;&gt;"")*(DatePmt_ADEME&lt;&gt;"en attente")*(YEAR(DatePmt_ADEME)=$O$1)*(ISNUMBER(MtntPaye_ADEME)),MtntPaye_ADEME)</f>
        <v>6860</v>
      </c>
      <c r="V49" s="1014">
        <f t="shared" ref="V49" si="143">SUMPRODUCT((OP_P_Ile=A49)*(DatePmt_P_ILE&lt;&gt;"")*(DatePmt_P_ILE&lt;&gt;"en attente")*(YEAR(DatePmt_P_ILE)=$O$1)*(ISNUMBER(MtntPaye_P_ILE)),MtntPaye_P_ILE)</f>
        <v>0</v>
      </c>
      <c r="W49" s="1015">
        <f t="shared" ref="W49" si="144">SUMPRODUCT((OP_EDF=A49)*(DatePmt_EDF&lt;&gt;"")*(DatePmt_EDF&lt;&gt;"en attente")*(YEAR(DatePmt_EDF)=$O$1)*(ISNUMBER(MtntPaye_EDF)),MtntPaye_EDF)</f>
        <v>0</v>
      </c>
      <c r="X49" s="1014">
        <f t="shared" ref="X49" si="145">SUMPRODUCT((OP_ETG_SALE=A49)*(DatePmt_ETG_SALE&lt;&gt;"")*(DatePmt_ETG_SALE&lt;&gt;"en attente")*(YEAR(DatePmt_ETG_SALE)=$O$1)*(ISNUMBER(MtntPaye_ETG_SALE)),MtntPaye_ETG_SALE)</f>
        <v>0</v>
      </c>
      <c r="Y49" s="1014">
        <f t="shared" ref="Y49" si="146">SUMPRODUCT((OP_ST_JO=A49)*(DatePmt_ST_JOSEPH&lt;&gt;"")*(DatePmt_ST_JOSEPH&lt;&gt;"en attente")*(YEAR(DatePmt_ST_JOSEPH)=$O$1)*(ISNUMBER(MtntPaye_ST_JOSEPH)),MtntPaye_ST_JOSEPH)</f>
        <v>0</v>
      </c>
      <c r="Z49" s="1023">
        <f t="shared" si="22"/>
        <v>6860</v>
      </c>
    </row>
    <row r="50" spans="1:26">
      <c r="A50" s="914" t="s">
        <v>55</v>
      </c>
      <c r="B50" s="918">
        <f t="shared" si="97"/>
        <v>680000</v>
      </c>
      <c r="C50" s="918">
        <f t="shared" si="98"/>
        <v>0</v>
      </c>
      <c r="D50" s="918">
        <f t="shared" si="99"/>
        <v>680000</v>
      </c>
      <c r="E50" s="918">
        <f t="shared" si="92"/>
        <v>0</v>
      </c>
      <c r="F50" s="918">
        <f t="shared" si="100"/>
        <v>0</v>
      </c>
      <c r="G50" s="918">
        <f t="shared" si="101"/>
        <v>0</v>
      </c>
      <c r="H50" s="918">
        <f t="shared" si="102"/>
        <v>0</v>
      </c>
      <c r="I50" s="918">
        <f t="shared" si="103"/>
        <v>0</v>
      </c>
      <c r="J50" s="1065">
        <f t="shared" si="104"/>
        <v>120804.55</v>
      </c>
      <c r="K50" s="918">
        <f t="shared" si="105"/>
        <v>0</v>
      </c>
      <c r="L50" s="918">
        <f t="shared" si="106"/>
        <v>55743.18</v>
      </c>
      <c r="M50" s="918">
        <f t="shared" si="21"/>
        <v>1536547.73</v>
      </c>
      <c r="N50" s="1013">
        <v>1536551.4660999998</v>
      </c>
      <c r="O50" s="1014">
        <f t="shared" si="93"/>
        <v>0</v>
      </c>
      <c r="P50" s="1014">
        <f>SUMPRODUCT((OP_Rehab=A50)*(DatePmtRehab&lt;&gt;"")*(DatePmtRehab&lt;&gt;"en attente")*(YEAR(DatePmtRehab)=$O$1)*(ISNUMBER(MontantPayeRehab)),MontantPayeRehab)</f>
        <v>0</v>
      </c>
      <c r="Q50" s="1016">
        <f t="shared" si="94"/>
        <v>136340</v>
      </c>
      <c r="R50" s="1014">
        <f t="shared" si="95"/>
        <v>0</v>
      </c>
      <c r="S50" s="1014">
        <f t="shared" si="96"/>
        <v>0</v>
      </c>
      <c r="T50" s="1014">
        <f t="shared" si="107"/>
        <v>0</v>
      </c>
      <c r="U50" s="1014">
        <f t="shared" si="108"/>
        <v>0</v>
      </c>
      <c r="V50" s="1014">
        <f t="shared" si="109"/>
        <v>0</v>
      </c>
      <c r="W50" s="1015">
        <f t="shared" si="110"/>
        <v>120804.55</v>
      </c>
      <c r="X50" s="1014">
        <f t="shared" si="111"/>
        <v>0</v>
      </c>
      <c r="Y50" s="1014">
        <f t="shared" si="112"/>
        <v>27871.59</v>
      </c>
      <c r="Z50" s="1023">
        <f t="shared" si="22"/>
        <v>285016.14</v>
      </c>
    </row>
    <row r="51" spans="1:26">
      <c r="A51" s="914" t="s">
        <v>59</v>
      </c>
      <c r="B51" s="918">
        <f t="shared" si="97"/>
        <v>0</v>
      </c>
      <c r="C51" s="918">
        <f t="shared" si="98"/>
        <v>0</v>
      </c>
      <c r="D51" s="918">
        <f t="shared" si="99"/>
        <v>1</v>
      </c>
      <c r="E51" s="918">
        <f t="shared" si="92"/>
        <v>0</v>
      </c>
      <c r="F51" s="918">
        <f t="shared" si="100"/>
        <v>0</v>
      </c>
      <c r="G51" s="918">
        <f t="shared" si="101"/>
        <v>0</v>
      </c>
      <c r="H51" s="918">
        <f t="shared" si="102"/>
        <v>0</v>
      </c>
      <c r="I51" s="918">
        <f t="shared" si="103"/>
        <v>0</v>
      </c>
      <c r="J51" s="1065">
        <f t="shared" si="104"/>
        <v>57669.912850000001</v>
      </c>
      <c r="K51" s="918">
        <f t="shared" si="105"/>
        <v>0</v>
      </c>
      <c r="L51" s="918">
        <f t="shared" si="106"/>
        <v>0</v>
      </c>
      <c r="M51" s="918">
        <f t="shared" si="21"/>
        <v>57670.912850000001</v>
      </c>
      <c r="N51" s="1013">
        <v>57670.912850000001</v>
      </c>
      <c r="O51" s="1014">
        <f t="shared" si="93"/>
        <v>0</v>
      </c>
      <c r="P51" s="1014">
        <f>SUMPRODUCT((OP_Rehab=A51)*(DatePmtRehab&lt;&gt;"")*(DatePmtRehab&lt;&gt;"en attente")*(YEAR(DatePmtRehab)=$O$1)*(ISNUMBER(MontantPayeRehab)),MontantPayeRehab)</f>
        <v>0</v>
      </c>
      <c r="Q51" s="1016">
        <f t="shared" si="94"/>
        <v>0</v>
      </c>
      <c r="R51" s="1014">
        <f t="shared" si="95"/>
        <v>0</v>
      </c>
      <c r="S51" s="1014">
        <f t="shared" si="96"/>
        <v>0</v>
      </c>
      <c r="T51" s="1014">
        <f t="shared" si="107"/>
        <v>0</v>
      </c>
      <c r="U51" s="1014">
        <f t="shared" si="108"/>
        <v>0</v>
      </c>
      <c r="V51" s="1014">
        <f t="shared" si="109"/>
        <v>0</v>
      </c>
      <c r="W51" s="1015">
        <f t="shared" si="110"/>
        <v>40319.910000000003</v>
      </c>
      <c r="X51" s="1014">
        <f t="shared" si="111"/>
        <v>0</v>
      </c>
      <c r="Y51" s="1014">
        <f t="shared" si="112"/>
        <v>0</v>
      </c>
      <c r="Z51" s="1023">
        <f t="shared" si="22"/>
        <v>40319.910000000003</v>
      </c>
    </row>
    <row r="52" spans="1:26">
      <c r="A52" s="914" t="s">
        <v>143</v>
      </c>
      <c r="B52" s="918">
        <f t="shared" si="97"/>
        <v>0</v>
      </c>
      <c r="C52" s="918">
        <f t="shared" si="98"/>
        <v>0</v>
      </c>
      <c r="D52" s="918">
        <f t="shared" si="99"/>
        <v>360000</v>
      </c>
      <c r="E52" s="918">
        <f t="shared" si="92"/>
        <v>0</v>
      </c>
      <c r="F52" s="918">
        <f t="shared" si="100"/>
        <v>0</v>
      </c>
      <c r="G52" s="918">
        <f t="shared" si="101"/>
        <v>0</v>
      </c>
      <c r="H52" s="918">
        <f t="shared" si="102"/>
        <v>0</v>
      </c>
      <c r="I52" s="918">
        <f t="shared" si="103"/>
        <v>0</v>
      </c>
      <c r="J52" s="1065">
        <f t="shared" si="104"/>
        <v>28277.031300000002</v>
      </c>
      <c r="K52" s="918">
        <f t="shared" si="105"/>
        <v>0</v>
      </c>
      <c r="L52" s="918">
        <f t="shared" si="106"/>
        <v>0</v>
      </c>
      <c r="M52" s="918">
        <f t="shared" si="21"/>
        <v>388277.03130000003</v>
      </c>
      <c r="N52" s="1013">
        <v>388277.03130000003</v>
      </c>
      <c r="O52" s="1014">
        <f t="shared" si="93"/>
        <v>0</v>
      </c>
      <c r="P52" s="1014">
        <f>SUMPRODUCT((OP_Rehab=A52)*(DatePmtRehab&lt;&gt;"")*(DatePmtRehab&lt;&gt;"en attente")*(YEAR(DatePmtRehab)=$O$1)*(ISNUMBER(MontantPayeRehab)),MontantPayeRehab)</f>
        <v>0</v>
      </c>
      <c r="Q52" s="1016">
        <f t="shared" si="94"/>
        <v>149436</v>
      </c>
      <c r="R52" s="1014">
        <f t="shared" si="95"/>
        <v>0</v>
      </c>
      <c r="S52" s="1014">
        <f t="shared" si="96"/>
        <v>0</v>
      </c>
      <c r="T52" s="1014">
        <f t="shared" si="107"/>
        <v>0</v>
      </c>
      <c r="U52" s="1014">
        <f t="shared" si="108"/>
        <v>0</v>
      </c>
      <c r="V52" s="1014">
        <f t="shared" si="109"/>
        <v>0</v>
      </c>
      <c r="W52" s="1015">
        <f t="shared" si="110"/>
        <v>0</v>
      </c>
      <c r="X52" s="1014">
        <f t="shared" si="111"/>
        <v>0</v>
      </c>
      <c r="Y52" s="1014">
        <f t="shared" si="112"/>
        <v>0</v>
      </c>
      <c r="Z52" s="1023">
        <f t="shared" si="22"/>
        <v>149436</v>
      </c>
    </row>
    <row r="53" spans="1:26">
      <c r="A53" s="914" t="s">
        <v>376</v>
      </c>
      <c r="B53" s="918">
        <f t="shared" si="97"/>
        <v>0</v>
      </c>
      <c r="C53" s="918">
        <f t="shared" si="98"/>
        <v>136000</v>
      </c>
      <c r="D53" s="918">
        <f t="shared" si="99"/>
        <v>0</v>
      </c>
      <c r="E53" s="918">
        <f t="shared" si="92"/>
        <v>0</v>
      </c>
      <c r="F53" s="918">
        <f t="shared" si="100"/>
        <v>0</v>
      </c>
      <c r="G53" s="918">
        <f t="shared" si="101"/>
        <v>0</v>
      </c>
      <c r="H53" s="918">
        <f t="shared" si="102"/>
        <v>0</v>
      </c>
      <c r="I53" s="918">
        <f t="shared" si="103"/>
        <v>0</v>
      </c>
      <c r="J53" s="1065">
        <f t="shared" si="104"/>
        <v>0</v>
      </c>
      <c r="K53" s="918">
        <f t="shared" si="105"/>
        <v>0</v>
      </c>
      <c r="L53" s="918">
        <f t="shared" si="106"/>
        <v>0</v>
      </c>
      <c r="M53" s="918">
        <f t="shared" si="21"/>
        <v>136000</v>
      </c>
      <c r="N53" s="1013">
        <v>136000</v>
      </c>
      <c r="O53" s="1014">
        <f t="shared" si="93"/>
        <v>0</v>
      </c>
      <c r="P53" s="1014">
        <f>SUMPRODUCT((OP_Rehab=A53)*(DatePmtRehab&lt;&gt;"")*(DatePmtRehab&lt;&gt;"en attente")*(YEAR(DatePmtRehab)=$O$1)*(ISNUMBER(MontantPayeRehab)),MontantPayeRehab)</f>
        <v>0</v>
      </c>
      <c r="Q53" s="1016">
        <f t="shared" si="94"/>
        <v>0</v>
      </c>
      <c r="R53" s="1014">
        <f t="shared" si="95"/>
        <v>0</v>
      </c>
      <c r="S53" s="1014">
        <f t="shared" si="96"/>
        <v>0</v>
      </c>
      <c r="T53" s="1014">
        <f t="shared" si="107"/>
        <v>0</v>
      </c>
      <c r="U53" s="1014">
        <f t="shared" si="108"/>
        <v>0</v>
      </c>
      <c r="V53" s="1014">
        <f t="shared" si="109"/>
        <v>0</v>
      </c>
      <c r="W53" s="1015">
        <f t="shared" si="110"/>
        <v>0</v>
      </c>
      <c r="X53" s="1014">
        <f t="shared" si="111"/>
        <v>0</v>
      </c>
      <c r="Y53" s="1014">
        <f t="shared" si="112"/>
        <v>0</v>
      </c>
      <c r="Z53" s="1023">
        <f t="shared" si="22"/>
        <v>0</v>
      </c>
    </row>
    <row r="54" spans="1:26">
      <c r="A54" s="914" t="s">
        <v>41</v>
      </c>
      <c r="B54" s="918">
        <f t="shared" ref="B54" si="147">SUMPRODUCT((OP_FRAFU=A54)*(Bdgt_FRAFU))</f>
        <v>0</v>
      </c>
      <c r="C54" s="918">
        <f t="shared" ref="C54" si="148">SUMPRODUCT((OP_Rehab=A54)*(Bdgt_Rehab))</f>
        <v>0</v>
      </c>
      <c r="D54" s="918">
        <f t="shared" ref="D54" si="149">SUMPRODUCT((OP_LBU=A54)*(Bdgt_LBU))</f>
        <v>60001</v>
      </c>
      <c r="E54" s="918">
        <f t="shared" si="92"/>
        <v>0</v>
      </c>
      <c r="F54" s="918">
        <f t="shared" ref="F54" si="150">SUMPRODUCT((OP_Region=A54)*(Bdgt_Region))</f>
        <v>0</v>
      </c>
      <c r="G54" s="918">
        <f t="shared" ref="G54" si="151">SUMPRODUCT((OP_Rectorat=A54)*(Bdgt_Rectorat))</f>
        <v>0</v>
      </c>
      <c r="H54" s="918">
        <f t="shared" ref="H54" si="152">SUMPRODUCT((OP_ADEME=A54)*(Bdgt_ADEME))</f>
        <v>0</v>
      </c>
      <c r="I54" s="918">
        <f t="shared" ref="I54" si="153">SUMPRODUCT((OP_P_Ile=A54)*(Bdgt_P_Ile))</f>
        <v>0</v>
      </c>
      <c r="J54" s="1065">
        <f t="shared" ref="J54" si="154">SUMPRODUCT((OP_EDF=A54)*(Bdgt_EDF))</f>
        <v>0</v>
      </c>
      <c r="K54" s="918">
        <f t="shared" ref="K54" si="155">SUMPRODUCT((OP_ETG_SALE=A54)*(Bdgt_ETG_SALE))</f>
        <v>0</v>
      </c>
      <c r="L54" s="918">
        <f t="shared" ref="L54" si="156">SUMPRODUCT((OP_ST_JO=A54)*(Bdgt_ST_JO))</f>
        <v>0</v>
      </c>
      <c r="M54" s="918">
        <f t="shared" ref="M54" si="157">SUM(B54:L54)</f>
        <v>60001</v>
      </c>
      <c r="N54" s="1013">
        <v>136001</v>
      </c>
      <c r="O54" s="1014">
        <f t="shared" si="93"/>
        <v>0</v>
      </c>
      <c r="P54" s="1014">
        <f>SUMPRODUCT((OP_Rehab=A54)*(DatePmtRehab&lt;&gt;"")*(DatePmtRehab&lt;&gt;"en attente")*(YEAR(DatePmtRehab)=$O$1)*(ISNUMBER(MontantPayeRehab)),MontantPayeRehab)</f>
        <v>0</v>
      </c>
      <c r="Q54" s="1016">
        <f t="shared" si="94"/>
        <v>12000</v>
      </c>
      <c r="R54" s="1014">
        <f t="shared" si="95"/>
        <v>0</v>
      </c>
      <c r="S54" s="1014">
        <f t="shared" si="96"/>
        <v>0</v>
      </c>
      <c r="T54" s="1014">
        <f t="shared" ref="T54" si="158">SUMPRODUCT((OP_Rectorat=A54)*(DatePmt_Rectorat&lt;&gt;"")*(DatePmt_Rectorat&lt;&gt;"en attente")*(YEAR(DatePmt_Rectorat)=$O$1)*(ISNUMBER(MtntPaye_Rectorat)),MtntPaye_Rectorat)</f>
        <v>0</v>
      </c>
      <c r="U54" s="1014">
        <f t="shared" ref="U54" si="159">SUMPRODUCT((OP_ADEME=A54)*(DatePmt_ADEME&lt;&gt;"")*(DatePmt_ADEME&lt;&gt;"en attente")*(YEAR(DatePmt_ADEME)=$O$1)*(ISNUMBER(MtntPaye_ADEME)),MtntPaye_ADEME)</f>
        <v>0</v>
      </c>
      <c r="V54" s="1014">
        <f t="shared" ref="V54" si="160">SUMPRODUCT((OP_P_Ile=A54)*(DatePmt_P_ILE&lt;&gt;"")*(DatePmt_P_ILE&lt;&gt;"en attente")*(YEAR(DatePmt_P_ILE)=$O$1)*(ISNUMBER(MtntPaye_P_ILE)),MtntPaye_P_ILE)</f>
        <v>0</v>
      </c>
      <c r="W54" s="1015">
        <f t="shared" ref="W54" si="161">SUMPRODUCT((OP_EDF=A54)*(DatePmt_EDF&lt;&gt;"")*(DatePmt_EDF&lt;&gt;"en attente")*(YEAR(DatePmt_EDF)=$O$1)*(ISNUMBER(MtntPaye_EDF)),MtntPaye_EDF)</f>
        <v>0</v>
      </c>
      <c r="X54" s="1014">
        <f t="shared" ref="X54" si="162">SUMPRODUCT((OP_ETG_SALE=A54)*(DatePmt_ETG_SALE&lt;&gt;"")*(DatePmt_ETG_SALE&lt;&gt;"en attente")*(YEAR(DatePmt_ETG_SALE)=$O$1)*(ISNUMBER(MtntPaye_ETG_SALE)),MtntPaye_ETG_SALE)</f>
        <v>0</v>
      </c>
      <c r="Y54" s="1014">
        <f t="shared" ref="Y54" si="163">SUMPRODUCT((OP_ST_JO=A54)*(DatePmt_ST_JOSEPH&lt;&gt;"")*(DatePmt_ST_JOSEPH&lt;&gt;"en attente")*(YEAR(DatePmt_ST_JOSEPH)=$O$1)*(ISNUMBER(MtntPaye_ST_JOSEPH)),MtntPaye_ST_JOSEPH)</f>
        <v>0</v>
      </c>
      <c r="Z54" s="1023">
        <f t="shared" si="22"/>
        <v>12000</v>
      </c>
    </row>
    <row r="55" spans="1:26" ht="13.5" customHeight="1">
      <c r="A55" s="914" t="s">
        <v>58</v>
      </c>
      <c r="B55" s="918">
        <f t="shared" si="97"/>
        <v>0</v>
      </c>
      <c r="C55" s="918">
        <f t="shared" si="98"/>
        <v>0</v>
      </c>
      <c r="D55" s="918">
        <f t="shared" si="99"/>
        <v>1</v>
      </c>
      <c r="E55" s="918">
        <f t="shared" si="92"/>
        <v>0</v>
      </c>
      <c r="F55" s="918">
        <f t="shared" si="100"/>
        <v>0</v>
      </c>
      <c r="G55" s="918">
        <f t="shared" si="101"/>
        <v>0</v>
      </c>
      <c r="H55" s="918">
        <f t="shared" si="102"/>
        <v>0</v>
      </c>
      <c r="I55" s="918">
        <f t="shared" si="103"/>
        <v>0</v>
      </c>
      <c r="J55" s="1065">
        <f t="shared" si="104"/>
        <v>44263.48575</v>
      </c>
      <c r="K55" s="918">
        <f t="shared" si="105"/>
        <v>0</v>
      </c>
      <c r="L55" s="918">
        <f t="shared" si="106"/>
        <v>0</v>
      </c>
      <c r="M55" s="918">
        <f t="shared" si="21"/>
        <v>44264.48575</v>
      </c>
      <c r="N55" s="1013">
        <v>44264.48575</v>
      </c>
      <c r="O55" s="1014">
        <f t="shared" si="93"/>
        <v>0</v>
      </c>
      <c r="P55" s="1014">
        <f>SUMPRODUCT((OP_Rehab=A55)*(DatePmtRehab&lt;&gt;"")*(DatePmtRehab&lt;&gt;"en attente")*(YEAR(DatePmtRehab)=$O$1)*(ISNUMBER(MontantPayeRehab)),MontantPayeRehab)</f>
        <v>0</v>
      </c>
      <c r="Q55" s="1016">
        <f t="shared" si="94"/>
        <v>0</v>
      </c>
      <c r="R55" s="1014">
        <f t="shared" si="95"/>
        <v>0</v>
      </c>
      <c r="S55" s="1014">
        <f t="shared" si="96"/>
        <v>0</v>
      </c>
      <c r="T55" s="1014">
        <f t="shared" si="107"/>
        <v>0</v>
      </c>
      <c r="U55" s="1014">
        <f t="shared" si="108"/>
        <v>0</v>
      </c>
      <c r="V55" s="1014">
        <f t="shared" si="109"/>
        <v>0</v>
      </c>
      <c r="W55" s="1015">
        <f t="shared" si="110"/>
        <v>0</v>
      </c>
      <c r="X55" s="1014">
        <f t="shared" si="111"/>
        <v>0</v>
      </c>
      <c r="Y55" s="1014">
        <f t="shared" si="112"/>
        <v>0</v>
      </c>
      <c r="Z55" s="1023">
        <f t="shared" si="22"/>
        <v>0</v>
      </c>
    </row>
    <row r="56" spans="1:26" ht="13.5" customHeight="1">
      <c r="A56" s="914" t="s">
        <v>299</v>
      </c>
      <c r="B56" s="918">
        <f t="shared" ref="B56" si="164">SUMPRODUCT((OP_FRAFU=A56)*(Bdgt_FRAFU))</f>
        <v>0</v>
      </c>
      <c r="C56" s="918">
        <f t="shared" ref="C56" si="165">SUMPRODUCT((OP_Rehab=A56)*(Bdgt_Rehab))</f>
        <v>0</v>
      </c>
      <c r="D56" s="918">
        <f t="shared" ref="D56" si="166">SUMPRODUCT((OP_LBU=A56)*(Bdgt_LBU))</f>
        <v>0</v>
      </c>
      <c r="E56" s="918">
        <f t="shared" si="92"/>
        <v>0</v>
      </c>
      <c r="F56" s="918">
        <f t="shared" ref="F56" si="167">SUMPRODUCT((OP_Region=A56)*(Bdgt_Region))</f>
        <v>0</v>
      </c>
      <c r="G56" s="918">
        <f t="shared" ref="G56" si="168">SUMPRODUCT((OP_Rectorat=A56)*(Bdgt_Rectorat))</f>
        <v>0</v>
      </c>
      <c r="H56" s="918">
        <f t="shared" ref="H56" si="169">SUMPRODUCT((OP_ADEME=A56)*(Bdgt_ADEME))</f>
        <v>7700</v>
      </c>
      <c r="I56" s="918">
        <f t="shared" ref="I56" si="170">SUMPRODUCT((OP_P_Ile=A56)*(Bdgt_P_Ile))</f>
        <v>0</v>
      </c>
      <c r="J56" s="1065">
        <f t="shared" ref="J56" si="171">SUMPRODUCT((OP_EDF=A56)*(Bdgt_EDF))</f>
        <v>0</v>
      </c>
      <c r="K56" s="918">
        <f t="shared" ref="K56" si="172">SUMPRODUCT((OP_ETG_SALE=A56)*(Bdgt_ETG_SALE))</f>
        <v>0</v>
      </c>
      <c r="L56" s="918">
        <f t="shared" ref="L56" si="173">SUMPRODUCT((OP_ST_JO=A56)*(Bdgt_ST_JO))</f>
        <v>0</v>
      </c>
      <c r="M56" s="918">
        <f t="shared" ref="M56" si="174">SUM(B56:L56)</f>
        <v>7700</v>
      </c>
      <c r="N56" s="1013">
        <v>44265.48575</v>
      </c>
      <c r="O56" s="1014">
        <f t="shared" si="93"/>
        <v>0</v>
      </c>
      <c r="P56" s="1014">
        <f>SUMPRODUCT((OP_Rehab=A56)*(DatePmtRehab&lt;&gt;"")*(DatePmtRehab&lt;&gt;"en attente")*(YEAR(DatePmtRehab)=$O$1)*(ISNUMBER(MontantPayeRehab)),MontantPayeRehab)</f>
        <v>0</v>
      </c>
      <c r="Q56" s="1016">
        <f t="shared" si="94"/>
        <v>0</v>
      </c>
      <c r="R56" s="1014">
        <f t="shared" si="95"/>
        <v>0</v>
      </c>
      <c r="S56" s="1014">
        <f t="shared" si="96"/>
        <v>0</v>
      </c>
      <c r="T56" s="1014">
        <f t="shared" ref="T56" si="175">SUMPRODUCT((OP_Rectorat=A56)*(DatePmt_Rectorat&lt;&gt;"")*(DatePmt_Rectorat&lt;&gt;"en attente")*(YEAR(DatePmt_Rectorat)=$O$1)*(ISNUMBER(MtntPaye_Rectorat)),MtntPaye_Rectorat)</f>
        <v>0</v>
      </c>
      <c r="U56" s="1014">
        <f t="shared" ref="U56" si="176">SUMPRODUCT((OP_ADEME=A56)*(DatePmt_ADEME&lt;&gt;"")*(DatePmt_ADEME&lt;&gt;"en attente")*(YEAR(DatePmt_ADEME)=$O$1)*(ISNUMBER(MtntPaye_ADEME)),MtntPaye_ADEME)</f>
        <v>7700</v>
      </c>
      <c r="V56" s="1014">
        <f t="shared" ref="V56" si="177">SUMPRODUCT((OP_P_Ile=A56)*(DatePmt_P_ILE&lt;&gt;"")*(DatePmt_P_ILE&lt;&gt;"en attente")*(YEAR(DatePmt_P_ILE)=$O$1)*(ISNUMBER(MtntPaye_P_ILE)),MtntPaye_P_ILE)</f>
        <v>0</v>
      </c>
      <c r="W56" s="1015">
        <f t="shared" ref="W56" si="178">SUMPRODUCT((OP_EDF=A56)*(DatePmt_EDF&lt;&gt;"")*(DatePmt_EDF&lt;&gt;"en attente")*(YEAR(DatePmt_EDF)=$O$1)*(ISNUMBER(MtntPaye_EDF)),MtntPaye_EDF)</f>
        <v>0</v>
      </c>
      <c r="X56" s="1014">
        <f t="shared" ref="X56" si="179">SUMPRODUCT((OP_ETG_SALE=A56)*(DatePmt_ETG_SALE&lt;&gt;"")*(DatePmt_ETG_SALE&lt;&gt;"en attente")*(YEAR(DatePmt_ETG_SALE)=$O$1)*(ISNUMBER(MtntPaye_ETG_SALE)),MtntPaye_ETG_SALE)</f>
        <v>0</v>
      </c>
      <c r="Y56" s="1014">
        <f t="shared" ref="Y56" si="180">SUMPRODUCT((OP_ST_JO=A56)*(DatePmt_ST_JOSEPH&lt;&gt;"")*(DatePmt_ST_JOSEPH&lt;&gt;"en attente")*(YEAR(DatePmt_ST_JOSEPH)=$O$1)*(ISNUMBER(MtntPaye_ST_JOSEPH)),MtntPaye_ST_JOSEPH)</f>
        <v>0</v>
      </c>
      <c r="Z56" s="1023">
        <f t="shared" si="22"/>
        <v>7700</v>
      </c>
    </row>
    <row r="57" spans="1:26">
      <c r="A57" s="914" t="s">
        <v>63</v>
      </c>
      <c r="B57" s="918">
        <f t="shared" si="97"/>
        <v>12983142</v>
      </c>
      <c r="C57" s="918">
        <f t="shared" si="98"/>
        <v>0</v>
      </c>
      <c r="D57" s="918">
        <f t="shared" si="99"/>
        <v>0</v>
      </c>
      <c r="E57" s="918">
        <f t="shared" si="92"/>
        <v>0</v>
      </c>
      <c r="F57" s="918">
        <f t="shared" si="100"/>
        <v>0</v>
      </c>
      <c r="G57" s="918">
        <f t="shared" si="101"/>
        <v>0</v>
      </c>
      <c r="H57" s="918">
        <f t="shared" si="102"/>
        <v>0</v>
      </c>
      <c r="I57" s="918">
        <f t="shared" si="103"/>
        <v>0</v>
      </c>
      <c r="J57" s="1065">
        <f t="shared" si="104"/>
        <v>0</v>
      </c>
      <c r="K57" s="918">
        <f t="shared" si="105"/>
        <v>1085000</v>
      </c>
      <c r="L57" s="918">
        <f t="shared" si="106"/>
        <v>0</v>
      </c>
      <c r="M57" s="918">
        <f t="shared" si="21"/>
        <v>14068142</v>
      </c>
      <c r="N57" s="1013">
        <v>14068142</v>
      </c>
      <c r="O57" s="1014">
        <f t="shared" si="93"/>
        <v>354455.5</v>
      </c>
      <c r="P57" s="1014">
        <f>SUMPRODUCT((OP_Rehab=A57)*(DatePmtRehab&lt;&gt;"")*(DatePmtRehab&lt;&gt;"en attente")*(YEAR(DatePmtRehab)=$O$1)*(ISNUMBER(MontantPayeRehab)),MontantPayeRehab)</f>
        <v>0</v>
      </c>
      <c r="Q57" s="1016">
        <f t="shared" si="94"/>
        <v>0</v>
      </c>
      <c r="R57" s="1014">
        <f t="shared" si="95"/>
        <v>0</v>
      </c>
      <c r="S57" s="1014">
        <f t="shared" si="96"/>
        <v>0</v>
      </c>
      <c r="T57" s="1014">
        <f t="shared" si="107"/>
        <v>0</v>
      </c>
      <c r="U57" s="1014">
        <f t="shared" si="108"/>
        <v>0</v>
      </c>
      <c r="V57" s="1014">
        <f t="shared" si="109"/>
        <v>0</v>
      </c>
      <c r="W57" s="1015">
        <f t="shared" si="110"/>
        <v>0</v>
      </c>
      <c r="X57" s="1014">
        <f t="shared" si="111"/>
        <v>542500</v>
      </c>
      <c r="Y57" s="1014">
        <f t="shared" si="112"/>
        <v>0</v>
      </c>
      <c r="Z57" s="1023">
        <f t="shared" si="22"/>
        <v>896955.5</v>
      </c>
    </row>
    <row r="58" spans="1:26">
      <c r="A58" s="914" t="s">
        <v>257</v>
      </c>
      <c r="B58" s="918">
        <f t="shared" si="97"/>
        <v>0</v>
      </c>
      <c r="C58" s="918">
        <f t="shared" si="98"/>
        <v>0</v>
      </c>
      <c r="D58" s="918">
        <f t="shared" si="99"/>
        <v>800000</v>
      </c>
      <c r="E58" s="918">
        <f t="shared" si="92"/>
        <v>0</v>
      </c>
      <c r="F58" s="918">
        <f t="shared" si="100"/>
        <v>0</v>
      </c>
      <c r="G58" s="918">
        <f t="shared" si="101"/>
        <v>0</v>
      </c>
      <c r="H58" s="918">
        <f t="shared" si="102"/>
        <v>0</v>
      </c>
      <c r="I58" s="918">
        <f t="shared" si="103"/>
        <v>0</v>
      </c>
      <c r="J58" s="1065">
        <f t="shared" si="104"/>
        <v>25750.793249999999</v>
      </c>
      <c r="K58" s="918">
        <f t="shared" si="105"/>
        <v>0</v>
      </c>
      <c r="L58" s="918">
        <f t="shared" si="106"/>
        <v>0</v>
      </c>
      <c r="M58" s="918">
        <f t="shared" si="21"/>
        <v>825750.79324999999</v>
      </c>
      <c r="N58" s="1013">
        <v>825750.79324999999</v>
      </c>
      <c r="O58" s="1014">
        <f t="shared" si="93"/>
        <v>0</v>
      </c>
      <c r="P58" s="1014">
        <f>SUMPRODUCT((OP_Rehab=A58)*(DatePmtRehab&lt;&gt;"")*(DatePmtRehab&lt;&gt;"en attente")*(YEAR(DatePmtRehab)=$O$1)*(ISNUMBER(MontantPayeRehab)),MontantPayeRehab)</f>
        <v>0</v>
      </c>
      <c r="Q58" s="1016">
        <f t="shared" si="94"/>
        <v>0</v>
      </c>
      <c r="R58" s="1014">
        <f t="shared" si="95"/>
        <v>0</v>
      </c>
      <c r="S58" s="1014">
        <f t="shared" si="96"/>
        <v>0</v>
      </c>
      <c r="T58" s="1014">
        <f t="shared" si="107"/>
        <v>0</v>
      </c>
      <c r="U58" s="1014">
        <f t="shared" si="108"/>
        <v>0</v>
      </c>
      <c r="V58" s="1014">
        <f t="shared" si="109"/>
        <v>0</v>
      </c>
      <c r="W58" s="1015">
        <f t="shared" si="110"/>
        <v>0</v>
      </c>
      <c r="X58" s="1014">
        <f t="shared" si="111"/>
        <v>0</v>
      </c>
      <c r="Y58" s="1014">
        <f t="shared" si="112"/>
        <v>0</v>
      </c>
      <c r="Z58" s="1023">
        <f t="shared" si="22"/>
        <v>0</v>
      </c>
    </row>
    <row r="59" spans="1:26">
      <c r="A59" s="914" t="s">
        <v>131</v>
      </c>
      <c r="B59" s="918">
        <f t="shared" si="97"/>
        <v>380000</v>
      </c>
      <c r="C59" s="918">
        <f t="shared" si="98"/>
        <v>0</v>
      </c>
      <c r="D59" s="918">
        <f t="shared" si="99"/>
        <v>420000</v>
      </c>
      <c r="E59" s="918">
        <f t="shared" si="92"/>
        <v>0</v>
      </c>
      <c r="F59" s="918">
        <f t="shared" si="100"/>
        <v>0</v>
      </c>
      <c r="G59" s="918">
        <f t="shared" si="101"/>
        <v>0</v>
      </c>
      <c r="H59" s="918">
        <f t="shared" si="102"/>
        <v>0</v>
      </c>
      <c r="I59" s="918">
        <f t="shared" si="103"/>
        <v>0</v>
      </c>
      <c r="J59" s="1065">
        <f t="shared" si="104"/>
        <v>72532.304250000001</v>
      </c>
      <c r="K59" s="918">
        <f t="shared" si="105"/>
        <v>0</v>
      </c>
      <c r="L59" s="918">
        <f t="shared" si="106"/>
        <v>0</v>
      </c>
      <c r="M59" s="918">
        <f t="shared" si="21"/>
        <v>872532.30425000004</v>
      </c>
      <c r="N59" s="1013">
        <v>872532.30425000004</v>
      </c>
      <c r="O59" s="1014">
        <f t="shared" si="93"/>
        <v>56578.879999999997</v>
      </c>
      <c r="P59" s="1014">
        <f>SUMPRODUCT((OP_Rehab=A59)*(DatePmtRehab&lt;&gt;"")*(DatePmtRehab&lt;&gt;"en attente")*(YEAR(DatePmtRehab)=$O$1)*(ISNUMBER(MontantPayeRehab)),MontantPayeRehab)</f>
        <v>0</v>
      </c>
      <c r="Q59" s="1016">
        <f t="shared" si="94"/>
        <v>172158</v>
      </c>
      <c r="R59" s="1014">
        <f t="shared" si="95"/>
        <v>0</v>
      </c>
      <c r="S59" s="1014">
        <f t="shared" si="96"/>
        <v>0</v>
      </c>
      <c r="T59" s="1014">
        <f t="shared" si="107"/>
        <v>0</v>
      </c>
      <c r="U59" s="1014">
        <f t="shared" si="108"/>
        <v>0</v>
      </c>
      <c r="V59" s="1014">
        <f t="shared" si="109"/>
        <v>0</v>
      </c>
      <c r="W59" s="1015">
        <f t="shared" si="110"/>
        <v>0</v>
      </c>
      <c r="X59" s="1014">
        <f t="shared" si="111"/>
        <v>0</v>
      </c>
      <c r="Y59" s="1014">
        <f t="shared" si="112"/>
        <v>0</v>
      </c>
      <c r="Z59" s="1023">
        <f t="shared" si="22"/>
        <v>228736.88</v>
      </c>
    </row>
    <row r="60" spans="1:26">
      <c r="A60" s="914" t="s">
        <v>60</v>
      </c>
      <c r="B60" s="918">
        <f t="shared" si="97"/>
        <v>0</v>
      </c>
      <c r="C60" s="918">
        <f t="shared" si="98"/>
        <v>0</v>
      </c>
      <c r="D60" s="918">
        <f t="shared" si="99"/>
        <v>432000</v>
      </c>
      <c r="E60" s="918">
        <f t="shared" si="92"/>
        <v>0</v>
      </c>
      <c r="F60" s="918">
        <f t="shared" si="100"/>
        <v>0</v>
      </c>
      <c r="G60" s="918">
        <f t="shared" si="101"/>
        <v>0</v>
      </c>
      <c r="H60" s="918">
        <f t="shared" si="102"/>
        <v>0</v>
      </c>
      <c r="I60" s="918">
        <f t="shared" si="103"/>
        <v>0</v>
      </c>
      <c r="J60" s="1065">
        <f t="shared" si="104"/>
        <v>19296.941999999999</v>
      </c>
      <c r="K60" s="918">
        <f t="shared" si="105"/>
        <v>0</v>
      </c>
      <c r="L60" s="918">
        <f t="shared" si="106"/>
        <v>0</v>
      </c>
      <c r="M60" s="918">
        <f t="shared" si="21"/>
        <v>451296.94199999998</v>
      </c>
      <c r="N60" s="1013">
        <v>451300.53199999995</v>
      </c>
      <c r="O60" s="1014">
        <f t="shared" si="93"/>
        <v>0</v>
      </c>
      <c r="P60" s="1014">
        <f>SUMPRODUCT((OP_Rehab=A60)*(DatePmtRehab&lt;&gt;"")*(DatePmtRehab&lt;&gt;"en attente")*(YEAR(DatePmtRehab)=$O$1)*(ISNUMBER(MontantPayeRehab)),MontantPayeRehab)</f>
        <v>0</v>
      </c>
      <c r="Q60" s="1016">
        <f t="shared" si="94"/>
        <v>104025.60000000001</v>
      </c>
      <c r="R60" s="1014">
        <f t="shared" si="95"/>
        <v>0</v>
      </c>
      <c r="S60" s="1014">
        <f t="shared" si="96"/>
        <v>0</v>
      </c>
      <c r="T60" s="1014">
        <f t="shared" si="107"/>
        <v>0</v>
      </c>
      <c r="U60" s="1014">
        <f t="shared" si="108"/>
        <v>0</v>
      </c>
      <c r="V60" s="1014">
        <f t="shared" si="109"/>
        <v>0</v>
      </c>
      <c r="W60" s="1015">
        <f t="shared" si="110"/>
        <v>19296.939999999999</v>
      </c>
      <c r="X60" s="1014">
        <f t="shared" si="111"/>
        <v>0</v>
      </c>
      <c r="Y60" s="1014">
        <f t="shared" si="112"/>
        <v>0</v>
      </c>
      <c r="Z60" s="1023">
        <f t="shared" si="22"/>
        <v>123322.54000000001</v>
      </c>
    </row>
    <row r="61" spans="1:26">
      <c r="A61" s="914" t="s">
        <v>268</v>
      </c>
      <c r="B61" s="918">
        <f t="shared" si="97"/>
        <v>0</v>
      </c>
      <c r="C61" s="918">
        <f t="shared" si="98"/>
        <v>0</v>
      </c>
      <c r="D61" s="918">
        <f t="shared" si="99"/>
        <v>0</v>
      </c>
      <c r="E61" s="918">
        <f t="shared" si="92"/>
        <v>0</v>
      </c>
      <c r="F61" s="918">
        <f t="shared" si="100"/>
        <v>0</v>
      </c>
      <c r="G61" s="918">
        <f t="shared" si="101"/>
        <v>0</v>
      </c>
      <c r="H61" s="918">
        <f t="shared" si="102"/>
        <v>0</v>
      </c>
      <c r="I61" s="918">
        <f t="shared" si="103"/>
        <v>0</v>
      </c>
      <c r="J61" s="1065">
        <f t="shared" si="104"/>
        <v>108289.3147</v>
      </c>
      <c r="K61" s="918">
        <f t="shared" si="105"/>
        <v>0</v>
      </c>
      <c r="L61" s="918">
        <f t="shared" si="106"/>
        <v>0</v>
      </c>
      <c r="M61" s="918">
        <f t="shared" si="21"/>
        <v>108289.3147</v>
      </c>
      <c r="N61" s="1013">
        <v>108289.3147</v>
      </c>
      <c r="O61" s="1014">
        <f t="shared" si="93"/>
        <v>0</v>
      </c>
      <c r="P61" s="1014">
        <f>SUMPRODUCT((OP_Rehab=A61)*(DatePmtRehab&lt;&gt;"")*(DatePmtRehab&lt;&gt;"en attente")*(YEAR(DatePmtRehab)=$O$1)*(ISNUMBER(MontantPayeRehab)),MontantPayeRehab)</f>
        <v>0</v>
      </c>
      <c r="Q61" s="1016">
        <f t="shared" si="94"/>
        <v>0</v>
      </c>
      <c r="R61" s="1014">
        <f t="shared" si="95"/>
        <v>0</v>
      </c>
      <c r="S61" s="1014">
        <f t="shared" si="96"/>
        <v>0</v>
      </c>
      <c r="T61" s="1014">
        <f t="shared" si="107"/>
        <v>0</v>
      </c>
      <c r="U61" s="1014">
        <f t="shared" si="108"/>
        <v>0</v>
      </c>
      <c r="V61" s="1014">
        <f t="shared" si="109"/>
        <v>0</v>
      </c>
      <c r="W61" s="1015">
        <f t="shared" si="110"/>
        <v>0</v>
      </c>
      <c r="X61" s="1014">
        <f t="shared" si="111"/>
        <v>0</v>
      </c>
      <c r="Y61" s="1014">
        <f t="shared" si="112"/>
        <v>0</v>
      </c>
      <c r="Z61" s="1023">
        <f t="shared" si="22"/>
        <v>0</v>
      </c>
    </row>
    <row r="62" spans="1:26">
      <c r="A62" s="914" t="s">
        <v>75</v>
      </c>
      <c r="B62" s="918">
        <f t="shared" si="97"/>
        <v>0</v>
      </c>
      <c r="C62" s="918">
        <f t="shared" si="98"/>
        <v>0</v>
      </c>
      <c r="D62" s="918">
        <f t="shared" si="99"/>
        <v>1</v>
      </c>
      <c r="E62" s="918">
        <f t="shared" si="92"/>
        <v>0</v>
      </c>
      <c r="F62" s="918">
        <f t="shared" si="100"/>
        <v>0</v>
      </c>
      <c r="G62" s="918">
        <f t="shared" si="101"/>
        <v>0</v>
      </c>
      <c r="H62" s="918">
        <f t="shared" si="102"/>
        <v>0</v>
      </c>
      <c r="I62" s="918">
        <f t="shared" si="103"/>
        <v>0</v>
      </c>
      <c r="J62" s="1065">
        <f t="shared" si="104"/>
        <v>0</v>
      </c>
      <c r="K62" s="918">
        <f t="shared" si="105"/>
        <v>0</v>
      </c>
      <c r="L62" s="918">
        <f t="shared" si="106"/>
        <v>0</v>
      </c>
      <c r="M62" s="918">
        <f t="shared" si="21"/>
        <v>1</v>
      </c>
      <c r="N62" s="1013">
        <v>1</v>
      </c>
      <c r="O62" s="1014">
        <f t="shared" si="93"/>
        <v>0</v>
      </c>
      <c r="P62" s="1014">
        <f>SUMPRODUCT((OP_Rehab=A62)*(DatePmtRehab&lt;&gt;"")*(DatePmtRehab&lt;&gt;"en attente")*(YEAR(DatePmtRehab)=$O$1)*(ISNUMBER(MontantPayeRehab)),MontantPayeRehab)</f>
        <v>0</v>
      </c>
      <c r="Q62" s="1016">
        <f t="shared" si="94"/>
        <v>0</v>
      </c>
      <c r="R62" s="1014">
        <f t="shared" si="95"/>
        <v>0</v>
      </c>
      <c r="S62" s="1014">
        <f t="shared" si="96"/>
        <v>0</v>
      </c>
      <c r="T62" s="1014">
        <f t="shared" si="107"/>
        <v>0</v>
      </c>
      <c r="U62" s="1014">
        <f t="shared" si="108"/>
        <v>0</v>
      </c>
      <c r="V62" s="1014">
        <f t="shared" si="109"/>
        <v>0</v>
      </c>
      <c r="W62" s="1015">
        <f t="shared" si="110"/>
        <v>0</v>
      </c>
      <c r="X62" s="1014">
        <f t="shared" si="111"/>
        <v>0</v>
      </c>
      <c r="Y62" s="1014">
        <f t="shared" si="112"/>
        <v>0</v>
      </c>
      <c r="Z62" s="1023">
        <f t="shared" si="22"/>
        <v>0</v>
      </c>
    </row>
    <row r="63" spans="1:26">
      <c r="A63" s="914" t="s">
        <v>51</v>
      </c>
      <c r="B63" s="918">
        <f t="shared" si="97"/>
        <v>1303101.69</v>
      </c>
      <c r="C63" s="918">
        <f t="shared" si="98"/>
        <v>0</v>
      </c>
      <c r="D63" s="918">
        <f t="shared" si="99"/>
        <v>660001</v>
      </c>
      <c r="E63" s="918">
        <f t="shared" si="92"/>
        <v>0</v>
      </c>
      <c r="F63" s="918">
        <f t="shared" si="100"/>
        <v>0</v>
      </c>
      <c r="G63" s="918">
        <f t="shared" si="101"/>
        <v>0</v>
      </c>
      <c r="H63" s="918">
        <f t="shared" si="102"/>
        <v>0</v>
      </c>
      <c r="I63" s="918">
        <f t="shared" si="103"/>
        <v>0</v>
      </c>
      <c r="J63" s="1065">
        <f t="shared" si="104"/>
        <v>58548.7</v>
      </c>
      <c r="K63" s="918">
        <f t="shared" si="105"/>
        <v>0</v>
      </c>
      <c r="L63" s="918">
        <f t="shared" si="106"/>
        <v>0</v>
      </c>
      <c r="M63" s="918">
        <f t="shared" si="21"/>
        <v>2021651.39</v>
      </c>
      <c r="N63" s="1013">
        <v>718553.31700000004</v>
      </c>
      <c r="O63" s="1014">
        <f t="shared" si="93"/>
        <v>260620.34</v>
      </c>
      <c r="P63" s="1014">
        <f>SUMPRODUCT((OP_Rehab=A63)*(DatePmtRehab&lt;&gt;"")*(DatePmtRehab&lt;&gt;"en attente")*(YEAR(DatePmtRehab)=$O$1)*(ISNUMBER(MontantPayeRehab)),MontantPayeRehab)</f>
        <v>0</v>
      </c>
      <c r="Q63" s="1016">
        <f t="shared" si="94"/>
        <v>140448</v>
      </c>
      <c r="R63" s="1014">
        <f t="shared" si="95"/>
        <v>0</v>
      </c>
      <c r="S63" s="1014">
        <f t="shared" si="96"/>
        <v>0</v>
      </c>
      <c r="T63" s="1014">
        <f t="shared" si="107"/>
        <v>0</v>
      </c>
      <c r="U63" s="1014">
        <f t="shared" si="108"/>
        <v>0</v>
      </c>
      <c r="V63" s="1014">
        <f t="shared" si="109"/>
        <v>0</v>
      </c>
      <c r="W63" s="1015">
        <f t="shared" si="110"/>
        <v>0</v>
      </c>
      <c r="X63" s="1014">
        <f t="shared" si="111"/>
        <v>0</v>
      </c>
      <c r="Y63" s="1014">
        <f t="shared" si="112"/>
        <v>0</v>
      </c>
      <c r="Z63" s="1023">
        <f t="shared" si="22"/>
        <v>401068.33999999997</v>
      </c>
    </row>
    <row r="64" spans="1:26">
      <c r="A64" s="914" t="s">
        <v>301</v>
      </c>
      <c r="B64" s="918">
        <f t="shared" si="97"/>
        <v>0</v>
      </c>
      <c r="C64" s="918">
        <f t="shared" si="98"/>
        <v>0</v>
      </c>
      <c r="D64" s="918">
        <f t="shared" si="99"/>
        <v>700000</v>
      </c>
      <c r="E64" s="918">
        <f t="shared" si="92"/>
        <v>0</v>
      </c>
      <c r="F64" s="918">
        <f t="shared" si="100"/>
        <v>0</v>
      </c>
      <c r="G64" s="918">
        <f t="shared" si="101"/>
        <v>0</v>
      </c>
      <c r="H64" s="918">
        <f t="shared" si="102"/>
        <v>0</v>
      </c>
      <c r="I64" s="918">
        <f t="shared" si="103"/>
        <v>0</v>
      </c>
      <c r="J64" s="1065">
        <f t="shared" si="104"/>
        <v>0</v>
      </c>
      <c r="K64" s="918">
        <f t="shared" si="105"/>
        <v>0</v>
      </c>
      <c r="L64" s="918">
        <f t="shared" si="106"/>
        <v>0</v>
      </c>
      <c r="M64" s="918">
        <f t="shared" si="21"/>
        <v>700000</v>
      </c>
      <c r="N64" s="1013">
        <v>700000</v>
      </c>
      <c r="O64" s="1014">
        <f t="shared" si="93"/>
        <v>0</v>
      </c>
      <c r="P64" s="1014">
        <f>SUMPRODUCT((OP_Rehab=A64)*(DatePmtRehab&lt;&gt;"")*(DatePmtRehab&lt;&gt;"en attente")*(YEAR(DatePmtRehab)=$O$1)*(ISNUMBER(MontantPayeRehab)),MontantPayeRehab)</f>
        <v>0</v>
      </c>
      <c r="Q64" s="1016">
        <f t="shared" si="94"/>
        <v>210000</v>
      </c>
      <c r="R64" s="1014">
        <f t="shared" si="95"/>
        <v>0</v>
      </c>
      <c r="S64" s="1014">
        <f t="shared" si="96"/>
        <v>0</v>
      </c>
      <c r="T64" s="1014">
        <f t="shared" si="107"/>
        <v>0</v>
      </c>
      <c r="U64" s="1014">
        <f t="shared" si="108"/>
        <v>0</v>
      </c>
      <c r="V64" s="1014">
        <f t="shared" si="109"/>
        <v>0</v>
      </c>
      <c r="W64" s="1015">
        <f t="shared" si="110"/>
        <v>0</v>
      </c>
      <c r="X64" s="1014">
        <f t="shared" si="111"/>
        <v>0</v>
      </c>
      <c r="Y64" s="1014">
        <f t="shared" si="112"/>
        <v>0</v>
      </c>
      <c r="Z64" s="1023">
        <f t="shared" si="22"/>
        <v>210000</v>
      </c>
    </row>
    <row r="65" spans="1:26">
      <c r="A65" s="914" t="s">
        <v>103</v>
      </c>
      <c r="B65" s="918">
        <f t="shared" si="97"/>
        <v>0</v>
      </c>
      <c r="C65" s="918">
        <f t="shared" si="98"/>
        <v>0</v>
      </c>
      <c r="D65" s="918">
        <f t="shared" si="99"/>
        <v>543200</v>
      </c>
      <c r="E65" s="918">
        <f t="shared" si="92"/>
        <v>160000</v>
      </c>
      <c r="F65" s="918">
        <f t="shared" si="100"/>
        <v>0</v>
      </c>
      <c r="G65" s="918">
        <f t="shared" si="101"/>
        <v>0</v>
      </c>
      <c r="H65" s="918">
        <f t="shared" si="102"/>
        <v>0</v>
      </c>
      <c r="I65" s="918">
        <f t="shared" si="103"/>
        <v>0</v>
      </c>
      <c r="J65" s="1065">
        <f t="shared" si="104"/>
        <v>0</v>
      </c>
      <c r="K65" s="918">
        <f t="shared" si="105"/>
        <v>0</v>
      </c>
      <c r="L65" s="918">
        <f t="shared" si="106"/>
        <v>0</v>
      </c>
      <c r="M65" s="918">
        <f t="shared" si="21"/>
        <v>703200</v>
      </c>
      <c r="N65" s="1013">
        <v>543200</v>
      </c>
      <c r="O65" s="1014">
        <f t="shared" si="93"/>
        <v>0</v>
      </c>
      <c r="P65" s="1014">
        <f>SUMPRODUCT((OP_Rehab=A65)*(DatePmtRehab&lt;&gt;"")*(DatePmtRehab&lt;&gt;"en attente")*(YEAR(DatePmtRehab)=$O$1)*(ISNUMBER(MontantPayeRehab)),MontantPayeRehab)</f>
        <v>0</v>
      </c>
      <c r="Q65" s="1016">
        <f t="shared" si="94"/>
        <v>0</v>
      </c>
      <c r="R65" s="1014">
        <f t="shared" si="95"/>
        <v>0</v>
      </c>
      <c r="S65" s="1014">
        <f t="shared" si="96"/>
        <v>0</v>
      </c>
      <c r="T65" s="1014">
        <f t="shared" si="107"/>
        <v>0</v>
      </c>
      <c r="U65" s="1014">
        <f t="shared" si="108"/>
        <v>0</v>
      </c>
      <c r="V65" s="1014">
        <f t="shared" si="109"/>
        <v>0</v>
      </c>
      <c r="W65" s="1015">
        <f t="shared" si="110"/>
        <v>0</v>
      </c>
      <c r="X65" s="1014">
        <f t="shared" si="111"/>
        <v>0</v>
      </c>
      <c r="Y65" s="1014">
        <f t="shared" si="112"/>
        <v>0</v>
      </c>
      <c r="Z65" s="1023">
        <f t="shared" si="22"/>
        <v>0</v>
      </c>
    </row>
    <row r="66" spans="1:26">
      <c r="A66" s="914" t="s">
        <v>316</v>
      </c>
      <c r="B66" s="918">
        <f t="shared" si="97"/>
        <v>0</v>
      </c>
      <c r="C66" s="918">
        <f t="shared" si="98"/>
        <v>0</v>
      </c>
      <c r="D66" s="918">
        <f t="shared" si="99"/>
        <v>660000</v>
      </c>
      <c r="E66" s="918">
        <f t="shared" si="92"/>
        <v>0</v>
      </c>
      <c r="F66" s="918">
        <f t="shared" si="100"/>
        <v>0</v>
      </c>
      <c r="G66" s="918">
        <f t="shared" si="101"/>
        <v>0</v>
      </c>
      <c r="H66" s="918">
        <f t="shared" si="102"/>
        <v>0</v>
      </c>
      <c r="I66" s="918">
        <f t="shared" si="103"/>
        <v>0</v>
      </c>
      <c r="J66" s="1065">
        <f t="shared" si="104"/>
        <v>0</v>
      </c>
      <c r="K66" s="918">
        <f t="shared" si="105"/>
        <v>0</v>
      </c>
      <c r="L66" s="918">
        <f t="shared" si="106"/>
        <v>0</v>
      </c>
      <c r="M66" s="918">
        <f t="shared" si="21"/>
        <v>660000</v>
      </c>
      <c r="N66" s="1013">
        <v>660000</v>
      </c>
      <c r="O66" s="1014">
        <f t="shared" si="93"/>
        <v>0</v>
      </c>
      <c r="P66" s="1014">
        <f>SUMPRODUCT((OP_Rehab=A66)*(DatePmtRehab&lt;&gt;"")*(DatePmtRehab&lt;&gt;"en attente")*(YEAR(DatePmtRehab)=$O$1)*(ISNUMBER(MontantPayeRehab)),MontantPayeRehab)</f>
        <v>0</v>
      </c>
      <c r="Q66" s="1016">
        <f t="shared" si="94"/>
        <v>0</v>
      </c>
      <c r="R66" s="1014">
        <f t="shared" si="95"/>
        <v>0</v>
      </c>
      <c r="S66" s="1014">
        <f t="shared" si="96"/>
        <v>0</v>
      </c>
      <c r="T66" s="1014">
        <f t="shared" si="107"/>
        <v>0</v>
      </c>
      <c r="U66" s="1014">
        <f t="shared" si="108"/>
        <v>0</v>
      </c>
      <c r="V66" s="1014">
        <f t="shared" si="109"/>
        <v>0</v>
      </c>
      <c r="W66" s="1015">
        <f t="shared" si="110"/>
        <v>0</v>
      </c>
      <c r="X66" s="1014">
        <f t="shared" si="111"/>
        <v>0</v>
      </c>
      <c r="Y66" s="1014">
        <f t="shared" si="112"/>
        <v>0</v>
      </c>
      <c r="Z66" s="1023">
        <f t="shared" si="22"/>
        <v>0</v>
      </c>
    </row>
    <row r="67" spans="1:26">
      <c r="A67" s="914" t="s">
        <v>242</v>
      </c>
      <c r="B67" s="918">
        <f t="shared" ref="B67:B69" si="181">SUMPRODUCT((OP_FRAFU=A67)*(Bdgt_FRAFU))</f>
        <v>0</v>
      </c>
      <c r="C67" s="918">
        <f t="shared" ref="C67:C69" si="182">SUMPRODUCT((OP_Rehab=A67)*(Bdgt_Rehab))</f>
        <v>0</v>
      </c>
      <c r="D67" s="918">
        <f t="shared" ref="D67:D69" si="183">SUMPRODUCT((OP_LBU=A67)*(Bdgt_LBU))</f>
        <v>529000</v>
      </c>
      <c r="E67" s="918">
        <f t="shared" si="92"/>
        <v>0</v>
      </c>
      <c r="F67" s="918">
        <f t="shared" ref="F67:F69" si="184">SUMPRODUCT((OP_Region=A67)*(Bdgt_Region))</f>
        <v>0</v>
      </c>
      <c r="G67" s="918">
        <f t="shared" ref="G67:G69" si="185">SUMPRODUCT((OP_Rectorat=A67)*(Bdgt_Rectorat))</f>
        <v>0</v>
      </c>
      <c r="H67" s="918">
        <f t="shared" ref="H67:H69" si="186">SUMPRODUCT((OP_ADEME=A67)*(Bdgt_ADEME))</f>
        <v>0</v>
      </c>
      <c r="I67" s="918">
        <f t="shared" ref="I67:I69" si="187">SUMPRODUCT((OP_P_Ile=A67)*(Bdgt_P_Ile))</f>
        <v>0</v>
      </c>
      <c r="J67" s="1065">
        <f t="shared" ref="J67:J69" si="188">SUMPRODUCT((OP_EDF=A67)*(Bdgt_EDF))</f>
        <v>0</v>
      </c>
      <c r="K67" s="918">
        <f t="shared" ref="K67:K69" si="189">SUMPRODUCT((OP_ETG_SALE=A67)*(Bdgt_ETG_SALE))</f>
        <v>0</v>
      </c>
      <c r="L67" s="918">
        <f t="shared" ref="L67:L69" si="190">SUMPRODUCT((OP_ST_JO=A67)*(Bdgt_ST_JO))</f>
        <v>0</v>
      </c>
      <c r="M67" s="918">
        <f t="shared" ref="M67:M69" si="191">SUM(B67:L67)</f>
        <v>529000</v>
      </c>
      <c r="N67" s="1013">
        <v>660001</v>
      </c>
      <c r="O67" s="1014">
        <f t="shared" si="93"/>
        <v>0</v>
      </c>
      <c r="P67" s="1014">
        <f>SUMPRODUCT((OP_Rehab=A67)*(DatePmtRehab&lt;&gt;"")*(DatePmtRehab&lt;&gt;"en attente")*(YEAR(DatePmtRehab)=$O$1)*(ISNUMBER(MontantPayeRehab)),MontantPayeRehab)</f>
        <v>0</v>
      </c>
      <c r="Q67" s="1016">
        <f t="shared" si="94"/>
        <v>156901.4</v>
      </c>
      <c r="R67" s="1014">
        <f t="shared" si="95"/>
        <v>0</v>
      </c>
      <c r="S67" s="1014">
        <f t="shared" si="96"/>
        <v>0</v>
      </c>
      <c r="T67" s="1014">
        <f t="shared" ref="T67:T69" si="192">SUMPRODUCT((OP_Rectorat=A67)*(DatePmt_Rectorat&lt;&gt;"")*(DatePmt_Rectorat&lt;&gt;"en attente")*(YEAR(DatePmt_Rectorat)=$O$1)*(ISNUMBER(MtntPaye_Rectorat)),MtntPaye_Rectorat)</f>
        <v>0</v>
      </c>
      <c r="U67" s="1014">
        <f t="shared" ref="U67:U69" si="193">SUMPRODUCT((OP_ADEME=A67)*(DatePmt_ADEME&lt;&gt;"")*(DatePmt_ADEME&lt;&gt;"en attente")*(YEAR(DatePmt_ADEME)=$O$1)*(ISNUMBER(MtntPaye_ADEME)),MtntPaye_ADEME)</f>
        <v>0</v>
      </c>
      <c r="V67" s="1014">
        <f t="shared" ref="V67:V69" si="194">SUMPRODUCT((OP_P_Ile=A67)*(DatePmt_P_ILE&lt;&gt;"")*(DatePmt_P_ILE&lt;&gt;"en attente")*(YEAR(DatePmt_P_ILE)=$O$1)*(ISNUMBER(MtntPaye_P_ILE)),MtntPaye_P_ILE)</f>
        <v>0</v>
      </c>
      <c r="W67" s="1015">
        <f t="shared" ref="W67:W69" si="195">SUMPRODUCT((OP_EDF=A67)*(DatePmt_EDF&lt;&gt;"")*(DatePmt_EDF&lt;&gt;"en attente")*(YEAR(DatePmt_EDF)=$O$1)*(ISNUMBER(MtntPaye_EDF)),MtntPaye_EDF)</f>
        <v>0</v>
      </c>
      <c r="X67" s="1014">
        <f t="shared" ref="X67:X69" si="196">SUMPRODUCT((OP_ETG_SALE=A67)*(DatePmt_ETG_SALE&lt;&gt;"")*(DatePmt_ETG_SALE&lt;&gt;"en attente")*(YEAR(DatePmt_ETG_SALE)=$O$1)*(ISNUMBER(MtntPaye_ETG_SALE)),MtntPaye_ETG_SALE)</f>
        <v>0</v>
      </c>
      <c r="Y67" s="1014">
        <f t="shared" ref="Y67:Y69" si="197">SUMPRODUCT((OP_ST_JO=A67)*(DatePmt_ST_JOSEPH&lt;&gt;"")*(DatePmt_ST_JOSEPH&lt;&gt;"en attente")*(YEAR(DatePmt_ST_JOSEPH)=$O$1)*(ISNUMBER(MtntPaye_ST_JOSEPH)),MtntPaye_ST_JOSEPH)</f>
        <v>0</v>
      </c>
      <c r="Z67" s="1023">
        <f t="shared" si="22"/>
        <v>156901.4</v>
      </c>
    </row>
    <row r="68" spans="1:26">
      <c r="A68" s="914" t="s">
        <v>102</v>
      </c>
      <c r="B68" s="918">
        <f t="shared" si="181"/>
        <v>0</v>
      </c>
      <c r="C68" s="918">
        <f t="shared" si="182"/>
        <v>0</v>
      </c>
      <c r="D68" s="918">
        <f t="shared" si="183"/>
        <v>925000</v>
      </c>
      <c r="E68" s="918">
        <f t="shared" si="92"/>
        <v>0</v>
      </c>
      <c r="F68" s="918">
        <f t="shared" si="184"/>
        <v>0</v>
      </c>
      <c r="G68" s="918">
        <f t="shared" si="185"/>
        <v>0</v>
      </c>
      <c r="H68" s="918">
        <f t="shared" si="186"/>
        <v>0</v>
      </c>
      <c r="I68" s="918">
        <f t="shared" si="187"/>
        <v>0</v>
      </c>
      <c r="J68" s="1065">
        <f t="shared" si="188"/>
        <v>0</v>
      </c>
      <c r="K68" s="918">
        <f t="shared" si="189"/>
        <v>0</v>
      </c>
      <c r="L68" s="918">
        <f t="shared" si="190"/>
        <v>0</v>
      </c>
      <c r="M68" s="918">
        <f t="shared" si="191"/>
        <v>925000</v>
      </c>
      <c r="N68" s="1013">
        <v>660002</v>
      </c>
      <c r="O68" s="1014">
        <f t="shared" si="93"/>
        <v>0</v>
      </c>
      <c r="P68" s="1014">
        <f>SUMPRODUCT((OP_Rehab=A68)*(DatePmtRehab&lt;&gt;"")*(DatePmtRehab&lt;&gt;"en attente")*(YEAR(DatePmtRehab)=$O$1)*(ISNUMBER(MontantPayeRehab)),MontantPayeRehab)</f>
        <v>0</v>
      </c>
      <c r="Q68" s="1016">
        <f t="shared" si="94"/>
        <v>227272.5</v>
      </c>
      <c r="R68" s="1014">
        <f t="shared" si="95"/>
        <v>0</v>
      </c>
      <c r="S68" s="1014">
        <f t="shared" si="96"/>
        <v>0</v>
      </c>
      <c r="T68" s="1014">
        <f t="shared" si="192"/>
        <v>0</v>
      </c>
      <c r="U68" s="1014">
        <f t="shared" si="193"/>
        <v>0</v>
      </c>
      <c r="V68" s="1014">
        <f t="shared" si="194"/>
        <v>0</v>
      </c>
      <c r="W68" s="1015">
        <f t="shared" si="195"/>
        <v>0</v>
      </c>
      <c r="X68" s="1014">
        <f t="shared" si="196"/>
        <v>0</v>
      </c>
      <c r="Y68" s="1014">
        <f t="shared" si="197"/>
        <v>0</v>
      </c>
      <c r="Z68" s="1023">
        <f t="shared" ref="Z68:Z69" si="198">SUM(O68:Y68)</f>
        <v>227272.5</v>
      </c>
    </row>
    <row r="69" spans="1:26">
      <c r="A69" s="914" t="s">
        <v>338</v>
      </c>
      <c r="B69" s="918">
        <f t="shared" si="181"/>
        <v>0</v>
      </c>
      <c r="C69" s="918">
        <f t="shared" si="182"/>
        <v>0</v>
      </c>
      <c r="D69" s="918">
        <f t="shared" si="183"/>
        <v>0</v>
      </c>
      <c r="E69" s="918">
        <f t="shared" si="92"/>
        <v>0</v>
      </c>
      <c r="F69" s="918">
        <f t="shared" si="184"/>
        <v>0</v>
      </c>
      <c r="G69" s="918">
        <f t="shared" si="185"/>
        <v>0</v>
      </c>
      <c r="H69" s="918">
        <f t="shared" si="186"/>
        <v>0</v>
      </c>
      <c r="I69" s="918">
        <f t="shared" si="187"/>
        <v>0</v>
      </c>
      <c r="J69" s="1065">
        <f t="shared" si="188"/>
        <v>27159.557249999998</v>
      </c>
      <c r="K69" s="918">
        <f t="shared" si="189"/>
        <v>0</v>
      </c>
      <c r="L69" s="918">
        <f t="shared" si="190"/>
        <v>0</v>
      </c>
      <c r="M69" s="918">
        <f t="shared" si="191"/>
        <v>27159.557249999998</v>
      </c>
      <c r="N69" s="1017">
        <v>660003</v>
      </c>
      <c r="O69" s="1018">
        <f t="shared" si="93"/>
        <v>0</v>
      </c>
      <c r="P69" s="1014">
        <f>SUMPRODUCT((OP_Rehab=A69)*(DatePmtRehab&lt;&gt;"")*(DatePmtRehab&lt;&gt;"en attente")*(YEAR(DatePmtRehab)=$O$1)*(ISNUMBER(MontantPayeRehab)),MontantPayeRehab)</f>
        <v>0</v>
      </c>
      <c r="Q69" s="1019">
        <f t="shared" si="94"/>
        <v>0</v>
      </c>
      <c r="R69" s="1018">
        <f t="shared" si="95"/>
        <v>0</v>
      </c>
      <c r="S69" s="1018">
        <f t="shared" si="96"/>
        <v>0</v>
      </c>
      <c r="T69" s="1018">
        <f t="shared" si="192"/>
        <v>0</v>
      </c>
      <c r="U69" s="1018">
        <f t="shared" si="193"/>
        <v>0</v>
      </c>
      <c r="V69" s="1018">
        <f t="shared" si="194"/>
        <v>0</v>
      </c>
      <c r="W69" s="1020">
        <f t="shared" si="195"/>
        <v>27159.56</v>
      </c>
      <c r="X69" s="1018">
        <f t="shared" si="196"/>
        <v>0</v>
      </c>
      <c r="Y69" s="1018">
        <f t="shared" si="197"/>
        <v>0</v>
      </c>
      <c r="Z69" s="1023">
        <f t="shared" si="198"/>
        <v>27159.56</v>
      </c>
    </row>
    <row r="70" spans="1:26" s="499" customFormat="1">
      <c r="N70" s="980"/>
      <c r="O70" s="981">
        <f>SUM(O3:O69)</f>
        <v>1554322.41</v>
      </c>
      <c r="P70" s="1064">
        <f t="shared" ref="P70:Y70" si="199">SUM(P3:P69)</f>
        <v>244390</v>
      </c>
      <c r="Q70" s="981">
        <f t="shared" si="199"/>
        <v>4229192.16</v>
      </c>
      <c r="R70" s="981">
        <f t="shared" si="199"/>
        <v>124500</v>
      </c>
      <c r="S70" s="981">
        <f t="shared" si="199"/>
        <v>941484.5</v>
      </c>
      <c r="T70" s="981">
        <f t="shared" si="199"/>
        <v>941484.5</v>
      </c>
      <c r="U70" s="981">
        <f t="shared" si="199"/>
        <v>38080</v>
      </c>
      <c r="V70" s="981">
        <f t="shared" si="199"/>
        <v>46021.32</v>
      </c>
      <c r="W70" s="981">
        <f t="shared" si="199"/>
        <v>310341.91000000003</v>
      </c>
      <c r="X70" s="981">
        <f t="shared" si="199"/>
        <v>542500</v>
      </c>
      <c r="Y70" s="981">
        <f t="shared" si="199"/>
        <v>255357.69</v>
      </c>
      <c r="Z70" s="981">
        <f>SUM(Z3:Z69)</f>
        <v>9227674.4900000002</v>
      </c>
    </row>
    <row r="71" spans="1:26">
      <c r="N71" s="979" t="s">
        <v>411</v>
      </c>
      <c r="O71" s="978">
        <f>O70-'FRAFU DEAL'!M167</f>
        <v>0</v>
      </c>
      <c r="P71" s="978">
        <f>P70-'LBU REHAB'!N54</f>
        <v>0</v>
      </c>
      <c r="Q71" s="978">
        <f>Q70-'LBU DEAL'!N411</f>
        <v>0</v>
      </c>
      <c r="R71" s="978">
        <f>R70-CAF!N54</f>
        <v>0</v>
      </c>
      <c r="S71" s="978">
        <f>S70-REGION!L41</f>
        <v>0</v>
      </c>
      <c r="T71" s="978">
        <f>T70-RECTORAT!L17</f>
        <v>0</v>
      </c>
      <c r="U71" s="978">
        <f>U70-ADEME!I36</f>
        <v>0</v>
      </c>
      <c r="V71" s="978">
        <f>V70-'PETITE ILE'!K26</f>
        <v>0</v>
      </c>
      <c r="W71" s="981">
        <f>W70-EDF!M90</f>
        <v>0</v>
      </c>
      <c r="X71" s="978">
        <f>X70-'ETANG-SALE'!H16</f>
        <v>0</v>
      </c>
      <c r="Y71" s="978">
        <f>Y70-'ST JOSEPH'!L23</f>
        <v>0</v>
      </c>
      <c r="Z71" s="981">
        <f>Z70-SYNTHESE!C51</f>
        <v>0</v>
      </c>
    </row>
  </sheetData>
  <autoFilter ref="A2:Y69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D18"/>
  <sheetViews>
    <sheetView workbookViewId="0">
      <selection sqref="A1:D18"/>
    </sheetView>
  </sheetViews>
  <sheetFormatPr defaultColWidth="11.42578125" defaultRowHeight="12.75"/>
  <cols>
    <col min="1" max="1" width="17.28515625" style="928" bestFit="1" customWidth="1"/>
    <col min="2" max="2" width="22.5703125" style="928" bestFit="1" customWidth="1"/>
    <col min="3" max="3" width="10.28515625" style="928" customWidth="1"/>
    <col min="4" max="4" width="11.28515625" style="928" bestFit="1" customWidth="1"/>
  </cols>
  <sheetData>
    <row r="1" spans="1:4">
      <c r="A1" s="929" t="s">
        <v>361</v>
      </c>
      <c r="B1" s="932" t="s">
        <v>362</v>
      </c>
      <c r="C1" s="933">
        <v>43334</v>
      </c>
      <c r="D1" s="934">
        <f>524564.45+131141.11</f>
        <v>655705.55999999994</v>
      </c>
    </row>
    <row r="2" spans="1:4">
      <c r="A2" s="929" t="s">
        <v>376</v>
      </c>
      <c r="B2" s="932" t="s">
        <v>377</v>
      </c>
      <c r="C2" s="933">
        <v>43335</v>
      </c>
      <c r="D2" s="934">
        <v>136000</v>
      </c>
    </row>
    <row r="3" spans="1:4">
      <c r="A3" s="929" t="s">
        <v>395</v>
      </c>
      <c r="B3" s="932" t="s">
        <v>378</v>
      </c>
      <c r="C3" s="933">
        <v>43335</v>
      </c>
      <c r="D3" s="934">
        <v>150000</v>
      </c>
    </row>
    <row r="4" spans="1:4">
      <c r="A4" s="929" t="s">
        <v>379</v>
      </c>
      <c r="B4" s="932" t="s">
        <v>380</v>
      </c>
      <c r="C4" s="933">
        <v>43335</v>
      </c>
      <c r="D4" s="934">
        <v>115000</v>
      </c>
    </row>
    <row r="5" spans="1:4">
      <c r="A5" s="929" t="s">
        <v>347</v>
      </c>
      <c r="B5" s="935" t="s">
        <v>346</v>
      </c>
      <c r="C5" s="927">
        <v>43287</v>
      </c>
      <c r="D5" s="936">
        <v>780000</v>
      </c>
    </row>
    <row r="6" spans="1:4">
      <c r="A6" s="929" t="s">
        <v>353</v>
      </c>
      <c r="B6" s="935" t="s">
        <v>357</v>
      </c>
      <c r="C6" s="927">
        <v>43334</v>
      </c>
      <c r="D6" s="936">
        <v>418000</v>
      </c>
    </row>
    <row r="7" spans="1:4">
      <c r="A7" s="929" t="s">
        <v>354</v>
      </c>
      <c r="B7" s="935" t="s">
        <v>358</v>
      </c>
      <c r="C7" s="927">
        <v>43334</v>
      </c>
      <c r="D7" s="936">
        <v>714000</v>
      </c>
    </row>
    <row r="8" spans="1:4">
      <c r="A8" s="929" t="s">
        <v>355</v>
      </c>
      <c r="B8" s="935" t="s">
        <v>359</v>
      </c>
      <c r="C8" s="927">
        <v>43334</v>
      </c>
      <c r="D8" s="936">
        <v>323000</v>
      </c>
    </row>
    <row r="9" spans="1:4">
      <c r="A9" s="929" t="s">
        <v>356</v>
      </c>
      <c r="B9" s="935" t="s">
        <v>360</v>
      </c>
      <c r="C9" s="927">
        <v>43334</v>
      </c>
      <c r="D9" s="936">
        <v>643500</v>
      </c>
    </row>
    <row r="10" spans="1:4">
      <c r="A10" s="929" t="s">
        <v>371</v>
      </c>
      <c r="B10" s="935" t="s">
        <v>372</v>
      </c>
      <c r="C10" s="927">
        <v>43374</v>
      </c>
      <c r="D10" s="936">
        <v>741000</v>
      </c>
    </row>
    <row r="11" spans="1:4">
      <c r="A11" s="929" t="s">
        <v>348</v>
      </c>
      <c r="B11" s="937" t="s">
        <v>349</v>
      </c>
      <c r="C11" s="927">
        <v>43255</v>
      </c>
      <c r="D11" s="936">
        <v>1227844</v>
      </c>
    </row>
    <row r="12" spans="1:4">
      <c r="A12" s="929" t="s">
        <v>368</v>
      </c>
      <c r="B12" s="937" t="s">
        <v>369</v>
      </c>
      <c r="C12" s="927">
        <v>43285</v>
      </c>
      <c r="D12" s="936">
        <v>655125</v>
      </c>
    </row>
    <row r="13" spans="1:4" ht="24">
      <c r="A13" s="929" t="s">
        <v>348</v>
      </c>
      <c r="B13" s="937" t="s">
        <v>352</v>
      </c>
      <c r="C13" s="927">
        <v>43283</v>
      </c>
      <c r="D13" s="936">
        <v>1227844</v>
      </c>
    </row>
    <row r="14" spans="1:4" ht="24">
      <c r="A14" s="929" t="s">
        <v>368</v>
      </c>
      <c r="B14" s="937" t="s">
        <v>352</v>
      </c>
      <c r="C14" s="927">
        <v>43283</v>
      </c>
      <c r="D14" s="936">
        <v>655125</v>
      </c>
    </row>
    <row r="15" spans="1:4">
      <c r="A15" s="930" t="s">
        <v>371</v>
      </c>
      <c r="B15" s="938" t="s">
        <v>345</v>
      </c>
      <c r="C15" s="939">
        <v>43206</v>
      </c>
      <c r="D15" s="940">
        <v>5600</v>
      </c>
    </row>
    <row r="16" spans="1:4">
      <c r="A16" s="930" t="s">
        <v>388</v>
      </c>
      <c r="B16" s="938" t="s">
        <v>389</v>
      </c>
      <c r="C16" s="939">
        <v>43272</v>
      </c>
      <c r="D16" s="940">
        <v>1575</v>
      </c>
    </row>
    <row r="17" spans="1:4">
      <c r="A17" s="929" t="s">
        <v>280</v>
      </c>
      <c r="B17" s="926" t="s">
        <v>391</v>
      </c>
      <c r="C17" s="927">
        <v>43136</v>
      </c>
      <c r="D17" s="936">
        <f>98780*1.085</f>
        <v>107176.3</v>
      </c>
    </row>
    <row r="18" spans="1:4">
      <c r="D18" s="931">
        <f>SUM(D1:D17)</f>
        <v>8556494.8600000013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B050"/>
  </sheetPr>
  <dimension ref="A1:T288"/>
  <sheetViews>
    <sheetView view="pageBreakPreview" zoomScaleNormal="70" zoomScaleSheetLayoutView="100" workbookViewId="0">
      <pane xSplit="1" ySplit="5" topLeftCell="G84" activePane="bottomRight" state="frozen"/>
      <selection pane="topRight" activeCell="B1" sqref="B1"/>
      <selection pane="bottomLeft" activeCell="A6" sqref="A6"/>
      <selection pane="bottomRight" activeCell="N44" sqref="N44"/>
    </sheetView>
  </sheetViews>
  <sheetFormatPr defaultColWidth="11.42578125" defaultRowHeight="12.75" outlineLevelRow="1"/>
  <cols>
    <col min="1" max="1" width="36.7109375" style="6" customWidth="1"/>
    <col min="2" max="2" width="24.28515625" style="6" customWidth="1"/>
    <col min="3" max="3" width="14" style="1" customWidth="1"/>
    <col min="4" max="4" width="14.5703125" style="1" customWidth="1"/>
    <col min="5" max="5" width="14.28515625" style="1" customWidth="1"/>
    <col min="6" max="6" width="18.140625" style="1" customWidth="1"/>
    <col min="7" max="7" width="16" style="1" customWidth="1"/>
    <col min="8" max="9" width="16.42578125" style="1" customWidth="1"/>
    <col min="10" max="10" width="15.5703125" style="1" customWidth="1"/>
    <col min="11" max="11" width="4.140625" style="6" bestFit="1" customWidth="1"/>
    <col min="12" max="12" width="12.7109375" style="1" customWidth="1"/>
    <col min="13" max="13" width="17.42578125" style="1" customWidth="1"/>
    <col min="14" max="14" width="10.42578125" style="83" bestFit="1" customWidth="1"/>
    <col min="15" max="15" width="18.5703125" style="77" bestFit="1" customWidth="1"/>
    <col min="16" max="16" width="17.5703125" style="1" customWidth="1"/>
    <col min="17" max="18" width="18.7109375" style="1" customWidth="1"/>
    <col min="19" max="19" width="23.85546875" style="161" customWidth="1"/>
    <col min="20" max="16384" width="11.42578125" style="1"/>
  </cols>
  <sheetData>
    <row r="1" spans="1:20">
      <c r="O1" s="91"/>
    </row>
    <row r="2" spans="1:20">
      <c r="A2" s="1027" t="s">
        <v>97</v>
      </c>
      <c r="B2" s="1027"/>
      <c r="C2" s="1027"/>
      <c r="D2" s="1027"/>
      <c r="E2" s="1027"/>
      <c r="F2" s="1027"/>
      <c r="G2" s="1027"/>
      <c r="H2" s="1027"/>
      <c r="I2" s="1027"/>
      <c r="J2" s="1027"/>
      <c r="K2" s="1027"/>
      <c r="L2" s="1027"/>
      <c r="M2" s="1027"/>
      <c r="N2" s="1027"/>
      <c r="O2" s="1027"/>
      <c r="P2" s="1027"/>
      <c r="Q2" s="9">
        <f ca="1">TODAY()</f>
        <v>43599</v>
      </c>
      <c r="R2" s="9"/>
      <c r="S2" s="162"/>
    </row>
    <row r="3" spans="1:20">
      <c r="S3" s="162"/>
    </row>
    <row r="4" spans="1:20" s="2" customFormat="1">
      <c r="A4" s="235"/>
      <c r="B4" s="305"/>
      <c r="C4" s="234"/>
      <c r="D4" s="116"/>
      <c r="E4" s="116"/>
      <c r="F4" s="116"/>
      <c r="G4" s="116"/>
      <c r="H4" s="234"/>
      <c r="I4" s="966"/>
      <c r="J4" s="1028" t="s">
        <v>4</v>
      </c>
      <c r="K4" s="1029"/>
      <c r="L4" s="1029"/>
      <c r="M4" s="1029"/>
      <c r="N4" s="1029"/>
      <c r="O4" s="1030"/>
      <c r="P4" s="1031" t="s">
        <v>13</v>
      </c>
      <c r="Q4" s="1032"/>
      <c r="R4" s="3" t="s">
        <v>96</v>
      </c>
      <c r="S4" s="162"/>
      <c r="T4" s="63"/>
    </row>
    <row r="5" spans="1:20" s="229" customFormat="1" ht="25.5">
      <c r="A5" s="236" t="s">
        <v>2</v>
      </c>
      <c r="B5" s="306"/>
      <c r="C5" s="172" t="s">
        <v>21</v>
      </c>
      <c r="D5" s="172" t="s">
        <v>110</v>
      </c>
      <c r="E5" s="172" t="s">
        <v>216</v>
      </c>
      <c r="F5" s="172" t="s">
        <v>109</v>
      </c>
      <c r="G5" s="172" t="s">
        <v>100</v>
      </c>
      <c r="H5" s="171" t="s">
        <v>12</v>
      </c>
      <c r="I5" s="171" t="s">
        <v>408</v>
      </c>
      <c r="J5" s="237" t="s">
        <v>1</v>
      </c>
      <c r="K5" s="238" t="s">
        <v>3</v>
      </c>
      <c r="L5" s="238" t="s">
        <v>15</v>
      </c>
      <c r="M5" s="239" t="s">
        <v>14</v>
      </c>
      <c r="N5" s="240" t="s">
        <v>15</v>
      </c>
      <c r="O5" s="241" t="s">
        <v>18</v>
      </c>
      <c r="P5" s="242" t="s">
        <v>20</v>
      </c>
      <c r="Q5" s="242" t="s">
        <v>19</v>
      </c>
      <c r="R5" s="242"/>
      <c r="S5" s="243"/>
    </row>
    <row r="6" spans="1:20" s="107" customFormat="1" ht="12.2" customHeight="1">
      <c r="A6" s="323" t="s">
        <v>44</v>
      </c>
      <c r="B6" s="437"/>
      <c r="C6" s="324">
        <v>40506</v>
      </c>
      <c r="D6" s="324">
        <f>DATE(YEAR(C6)+2,MONTH(C6),DAY(C6))</f>
        <v>41237</v>
      </c>
      <c r="E6" s="324">
        <v>40945</v>
      </c>
      <c r="F6" s="324">
        <f>DATE(YEAR(E6)+4,MONTH(E6),DAY(E6))</f>
        <v>42406</v>
      </c>
      <c r="G6" s="324">
        <v>41669</v>
      </c>
      <c r="H6" s="328">
        <v>555000</v>
      </c>
      <c r="I6" s="326"/>
      <c r="J6" s="326"/>
      <c r="K6" s="327"/>
      <c r="L6" s="324"/>
      <c r="M6" s="328">
        <f>SUM(M7:M12)</f>
        <v>555000</v>
      </c>
      <c r="N6" s="329"/>
      <c r="O6" s="423"/>
      <c r="P6" s="331">
        <f>SUM(P7:P12)</f>
        <v>0</v>
      </c>
      <c r="Q6" s="331">
        <f>SUM(Q7:Q12)</f>
        <v>0</v>
      </c>
      <c r="R6" s="331"/>
      <c r="S6" s="163">
        <f>H6-(M6+P6+Q6)</f>
        <v>0</v>
      </c>
    </row>
    <row r="7" spans="1:20" s="26" customFormat="1" ht="12.2" customHeight="1" outlineLevel="1">
      <c r="A7" s="332" t="s">
        <v>44</v>
      </c>
      <c r="B7" s="432"/>
      <c r="C7" s="345"/>
      <c r="D7" s="345"/>
      <c r="E7" s="345"/>
      <c r="F7" s="345"/>
      <c r="G7" s="345"/>
      <c r="H7" s="349"/>
      <c r="I7" s="347"/>
      <c r="J7" s="347">
        <v>242850</v>
      </c>
      <c r="K7" s="348">
        <v>1</v>
      </c>
      <c r="L7" s="345">
        <v>40648</v>
      </c>
      <c r="M7" s="349">
        <v>242850</v>
      </c>
      <c r="N7" s="350">
        <v>40787</v>
      </c>
      <c r="O7" s="408">
        <f t="shared" ref="O7:O12" si="0">IF(N7="",$Q$2-L7,N7-L7)</f>
        <v>139</v>
      </c>
      <c r="P7" s="352" t="str">
        <f t="shared" ref="P7:P12" si="1">IF(M7="en attente",J7,"")</f>
        <v/>
      </c>
      <c r="Q7" s="352">
        <f t="shared" ref="Q7:Q12" si="2">IF(L7="",J7-M7,0)</f>
        <v>0</v>
      </c>
      <c r="R7" s="352"/>
      <c r="S7" s="163"/>
    </row>
    <row r="8" spans="1:20" s="26" customFormat="1" ht="12.2" customHeight="1" outlineLevel="1">
      <c r="A8" s="332" t="s">
        <v>44</v>
      </c>
      <c r="B8" s="432"/>
      <c r="C8" s="345"/>
      <c r="D8" s="345"/>
      <c r="E8" s="345"/>
      <c r="F8" s="345"/>
      <c r="G8" s="345"/>
      <c r="H8" s="438"/>
      <c r="I8" s="411"/>
      <c r="J8" s="347">
        <v>45966.39</v>
      </c>
      <c r="K8" s="348">
        <v>2</v>
      </c>
      <c r="L8" s="345">
        <v>41073</v>
      </c>
      <c r="M8" s="349">
        <v>45966.39</v>
      </c>
      <c r="N8" s="350">
        <v>41170</v>
      </c>
      <c r="O8" s="408">
        <f t="shared" si="0"/>
        <v>97</v>
      </c>
      <c r="P8" s="352" t="str">
        <f t="shared" si="1"/>
        <v/>
      </c>
      <c r="Q8" s="352">
        <f t="shared" si="2"/>
        <v>0</v>
      </c>
      <c r="R8" s="352"/>
      <c r="S8" s="163"/>
    </row>
    <row r="9" spans="1:20" s="26" customFormat="1" ht="12.2" customHeight="1" outlineLevel="1">
      <c r="A9" s="332" t="s">
        <v>44</v>
      </c>
      <c r="B9" s="432"/>
      <c r="C9" s="345"/>
      <c r="D9" s="345"/>
      <c r="E9" s="345"/>
      <c r="F9" s="345"/>
      <c r="G9" s="345"/>
      <c r="H9" s="438"/>
      <c r="I9" s="411"/>
      <c r="J9" s="347">
        <v>45329.07</v>
      </c>
      <c r="K9" s="348">
        <v>3</v>
      </c>
      <c r="L9" s="345">
        <v>41143</v>
      </c>
      <c r="M9" s="349">
        <v>45329.07</v>
      </c>
      <c r="N9" s="350">
        <v>41187</v>
      </c>
      <c r="O9" s="408">
        <f t="shared" si="0"/>
        <v>44</v>
      </c>
      <c r="P9" s="352" t="str">
        <f t="shared" si="1"/>
        <v/>
      </c>
      <c r="Q9" s="352">
        <f t="shared" si="2"/>
        <v>0</v>
      </c>
      <c r="R9" s="352"/>
      <c r="S9" s="163"/>
    </row>
    <row r="10" spans="1:20" s="26" customFormat="1" ht="12.2" customHeight="1" outlineLevel="1">
      <c r="A10" s="332" t="s">
        <v>44</v>
      </c>
      <c r="B10" s="432"/>
      <c r="C10" s="345"/>
      <c r="D10" s="345"/>
      <c r="E10" s="345"/>
      <c r="F10" s="345"/>
      <c r="G10" s="345"/>
      <c r="H10" s="438"/>
      <c r="I10" s="411"/>
      <c r="J10" s="347">
        <v>70348.05</v>
      </c>
      <c r="K10" s="348">
        <v>4</v>
      </c>
      <c r="L10" s="345">
        <v>41192</v>
      </c>
      <c r="M10" s="349">
        <v>70348.05</v>
      </c>
      <c r="N10" s="350">
        <v>41243</v>
      </c>
      <c r="O10" s="408">
        <f t="shared" si="0"/>
        <v>51</v>
      </c>
      <c r="P10" s="352" t="str">
        <f t="shared" si="1"/>
        <v/>
      </c>
      <c r="Q10" s="352">
        <f t="shared" si="2"/>
        <v>0</v>
      </c>
      <c r="R10" s="352"/>
      <c r="S10" s="163"/>
    </row>
    <row r="11" spans="1:20" s="26" customFormat="1" ht="12.2" customHeight="1" outlineLevel="1">
      <c r="A11" s="332" t="s">
        <v>44</v>
      </c>
      <c r="B11" s="432"/>
      <c r="C11" s="345"/>
      <c r="D11" s="345"/>
      <c r="E11" s="345"/>
      <c r="F11" s="345"/>
      <c r="G11" s="345"/>
      <c r="H11" s="349"/>
      <c r="I11" s="347"/>
      <c r="J11" s="347">
        <v>40785.4</v>
      </c>
      <c r="K11" s="348">
        <v>5</v>
      </c>
      <c r="L11" s="345">
        <v>41387</v>
      </c>
      <c r="M11" s="349">
        <v>40785.4</v>
      </c>
      <c r="N11" s="350">
        <v>41551</v>
      </c>
      <c r="O11" s="408">
        <f t="shared" si="0"/>
        <v>164</v>
      </c>
      <c r="P11" s="352" t="str">
        <f t="shared" si="1"/>
        <v/>
      </c>
      <c r="Q11" s="352">
        <f t="shared" si="2"/>
        <v>0</v>
      </c>
      <c r="R11" s="352"/>
      <c r="S11" s="163"/>
    </row>
    <row r="12" spans="1:20" s="26" customFormat="1" ht="12.2" customHeight="1" outlineLevel="1">
      <c r="A12" s="332" t="s">
        <v>44</v>
      </c>
      <c r="B12" s="432"/>
      <c r="C12" s="345"/>
      <c r="D12" s="345"/>
      <c r="E12" s="345"/>
      <c r="F12" s="345"/>
      <c r="G12" s="345"/>
      <c r="H12" s="349"/>
      <c r="I12" s="347"/>
      <c r="J12" s="353">
        <v>109721.09</v>
      </c>
      <c r="K12" s="348">
        <v>6</v>
      </c>
      <c r="L12" s="345">
        <v>41957</v>
      </c>
      <c r="M12" s="349">
        <v>109721.09</v>
      </c>
      <c r="N12" s="350">
        <v>42104</v>
      </c>
      <c r="O12" s="408">
        <f t="shared" si="0"/>
        <v>147</v>
      </c>
      <c r="P12" s="352" t="str">
        <f t="shared" si="1"/>
        <v/>
      </c>
      <c r="Q12" s="352">
        <f t="shared" si="2"/>
        <v>0</v>
      </c>
      <c r="R12" s="352"/>
      <c r="S12" s="163"/>
    </row>
    <row r="13" spans="1:20" s="107" customFormat="1" ht="12.2" customHeight="1">
      <c r="A13" s="323" t="s">
        <v>43</v>
      </c>
      <c r="B13" s="437"/>
      <c r="C13" s="324">
        <v>40491</v>
      </c>
      <c r="D13" s="324">
        <f>DATE(YEAR(C13)+2,MONTH(C13),DAY(C13))</f>
        <v>41222</v>
      </c>
      <c r="E13" s="324">
        <v>40939</v>
      </c>
      <c r="F13" s="324">
        <f>DATE(YEAR(E13)+4,MONTH(E13),DAY(E13))</f>
        <v>42400</v>
      </c>
      <c r="G13" s="324">
        <v>41709</v>
      </c>
      <c r="H13" s="328">
        <v>400000</v>
      </c>
      <c r="I13" s="326"/>
      <c r="J13" s="326"/>
      <c r="K13" s="327"/>
      <c r="L13" s="324"/>
      <c r="M13" s="328">
        <f>SUM(M14:M19)</f>
        <v>400000</v>
      </c>
      <c r="N13" s="329"/>
      <c r="O13" s="423"/>
      <c r="P13" s="331">
        <f>SUM(P14:P19)</f>
        <v>0</v>
      </c>
      <c r="Q13" s="331">
        <f>SUM(Q14:Q19)</f>
        <v>0</v>
      </c>
      <c r="R13" s="331"/>
      <c r="S13" s="163">
        <f>H13-(M13+P13+Q13)</f>
        <v>0</v>
      </c>
    </row>
    <row r="14" spans="1:20" s="26" customFormat="1" ht="12.2" customHeight="1" outlineLevel="1">
      <c r="A14" s="332" t="s">
        <v>43</v>
      </c>
      <c r="B14" s="431"/>
      <c r="C14" s="345"/>
      <c r="D14" s="345"/>
      <c r="E14" s="345"/>
      <c r="F14" s="345"/>
      <c r="G14" s="345"/>
      <c r="H14" s="438"/>
      <c r="I14" s="970">
        <f>J14/$H$13</f>
        <v>0.23730000000000001</v>
      </c>
      <c r="J14" s="347">
        <v>94920</v>
      </c>
      <c r="K14" s="348">
        <v>1</v>
      </c>
      <c r="L14" s="345">
        <v>40561</v>
      </c>
      <c r="M14" s="349">
        <v>94920</v>
      </c>
      <c r="N14" s="350">
        <v>40877</v>
      </c>
      <c r="O14" s="408">
        <f t="shared" ref="O14:O56" si="3">IF(N14="",$Q$2-L14,N14-L14)</f>
        <v>316</v>
      </c>
      <c r="P14" s="352" t="str">
        <f t="shared" ref="P14:P31" si="4">IF(M14="en attente",J14,"")</f>
        <v/>
      </c>
      <c r="Q14" s="352">
        <f t="shared" ref="Q14:Q21" si="5">IF(L14="",J14-M14,0)</f>
        <v>0</v>
      </c>
      <c r="R14" s="352"/>
      <c r="S14" s="163"/>
    </row>
    <row r="15" spans="1:20" s="26" customFormat="1" ht="11.25" customHeight="1" outlineLevel="1">
      <c r="A15" s="332" t="s">
        <v>43</v>
      </c>
      <c r="B15" s="432"/>
      <c r="C15" s="345"/>
      <c r="D15" s="345"/>
      <c r="E15" s="345"/>
      <c r="F15" s="345"/>
      <c r="G15" s="345"/>
      <c r="H15" s="438"/>
      <c r="I15" s="970">
        <f>J15/$H$13+I14</f>
        <v>0.41492249999999997</v>
      </c>
      <c r="J15" s="347">
        <v>71049</v>
      </c>
      <c r="K15" s="348">
        <v>2</v>
      </c>
      <c r="L15" s="345">
        <v>41143</v>
      </c>
      <c r="M15" s="349">
        <v>71049</v>
      </c>
      <c r="N15" s="350">
        <v>41257</v>
      </c>
      <c r="O15" s="408">
        <f t="shared" si="3"/>
        <v>114</v>
      </c>
      <c r="P15" s="352" t="str">
        <f t="shared" si="4"/>
        <v/>
      </c>
      <c r="Q15" s="352">
        <f t="shared" si="5"/>
        <v>0</v>
      </c>
      <c r="R15" s="352"/>
      <c r="S15" s="163"/>
    </row>
    <row r="16" spans="1:20" s="26" customFormat="1" ht="12.2" customHeight="1" outlineLevel="1">
      <c r="A16" s="332" t="s">
        <v>43</v>
      </c>
      <c r="B16" s="432"/>
      <c r="C16" s="345"/>
      <c r="D16" s="345"/>
      <c r="E16" s="345"/>
      <c r="F16" s="345"/>
      <c r="G16" s="345"/>
      <c r="H16" s="438"/>
      <c r="I16" s="970">
        <f>J16/$H$13+I15</f>
        <v>0.54004782499999993</v>
      </c>
      <c r="J16" s="347">
        <v>50050.13</v>
      </c>
      <c r="K16" s="348">
        <v>3</v>
      </c>
      <c r="L16" s="345">
        <v>41191</v>
      </c>
      <c r="M16" s="349">
        <v>50050.13</v>
      </c>
      <c r="N16" s="350">
        <v>41987</v>
      </c>
      <c r="O16" s="408">
        <f t="shared" si="3"/>
        <v>796</v>
      </c>
      <c r="P16" s="352" t="str">
        <f t="shared" si="4"/>
        <v/>
      </c>
      <c r="Q16" s="352">
        <f t="shared" si="5"/>
        <v>0</v>
      </c>
      <c r="R16" s="352"/>
      <c r="S16" s="163"/>
    </row>
    <row r="17" spans="1:19" s="26" customFormat="1" ht="12.2" customHeight="1" outlineLevel="1">
      <c r="A17" s="332" t="s">
        <v>43</v>
      </c>
      <c r="B17" s="432"/>
      <c r="C17" s="345"/>
      <c r="D17" s="345"/>
      <c r="E17" s="345"/>
      <c r="F17" s="345"/>
      <c r="G17" s="345"/>
      <c r="H17" s="438"/>
      <c r="I17" s="970">
        <f>J17/$H$13+I16</f>
        <v>0.65286377499999992</v>
      </c>
      <c r="J17" s="347">
        <v>45126.38</v>
      </c>
      <c r="K17" s="348">
        <v>4</v>
      </c>
      <c r="L17" s="345">
        <v>41361</v>
      </c>
      <c r="M17" s="349">
        <v>45126.38</v>
      </c>
      <c r="N17" s="350">
        <v>41508</v>
      </c>
      <c r="O17" s="408">
        <f t="shared" si="3"/>
        <v>147</v>
      </c>
      <c r="P17" s="352" t="str">
        <f t="shared" si="4"/>
        <v/>
      </c>
      <c r="Q17" s="352">
        <f t="shared" si="5"/>
        <v>0</v>
      </c>
      <c r="R17" s="352"/>
      <c r="S17" s="163"/>
    </row>
    <row r="18" spans="1:19" s="26" customFormat="1" ht="12" customHeight="1" outlineLevel="1">
      <c r="A18" s="332" t="s">
        <v>43</v>
      </c>
      <c r="B18" s="432"/>
      <c r="C18" s="345"/>
      <c r="D18" s="345"/>
      <c r="E18" s="345"/>
      <c r="F18" s="345"/>
      <c r="G18" s="345"/>
      <c r="H18" s="438"/>
      <c r="I18" s="970">
        <f>J18/$H$13+I17</f>
        <v>0.7868040999999999</v>
      </c>
      <c r="J18" s="347">
        <v>53576.13</v>
      </c>
      <c r="K18" s="348">
        <v>5</v>
      </c>
      <c r="L18" s="345">
        <v>41549</v>
      </c>
      <c r="M18" s="349">
        <v>53576.13</v>
      </c>
      <c r="N18" s="350">
        <v>41680</v>
      </c>
      <c r="O18" s="408">
        <f t="shared" si="3"/>
        <v>131</v>
      </c>
      <c r="P18" s="352" t="str">
        <f t="shared" si="4"/>
        <v/>
      </c>
      <c r="Q18" s="352">
        <f t="shared" si="5"/>
        <v>0</v>
      </c>
      <c r="R18" s="352"/>
      <c r="S18" s="163"/>
    </row>
    <row r="19" spans="1:19" s="26" customFormat="1" ht="12.2" customHeight="1" outlineLevel="1">
      <c r="A19" s="354" t="s">
        <v>43</v>
      </c>
      <c r="B19" s="439"/>
      <c r="C19" s="356"/>
      <c r="D19" s="356"/>
      <c r="E19" s="356"/>
      <c r="F19" s="356"/>
      <c r="G19" s="356"/>
      <c r="H19" s="438"/>
      <c r="I19" s="971">
        <f>J19/$H$13+I18</f>
        <v>0.99999999999999989</v>
      </c>
      <c r="J19" s="357">
        <v>85278.36</v>
      </c>
      <c r="K19" s="358">
        <v>6</v>
      </c>
      <c r="L19" s="356">
        <v>42037</v>
      </c>
      <c r="M19" s="359">
        <v>85278.36</v>
      </c>
      <c r="N19" s="360">
        <v>42314</v>
      </c>
      <c r="O19" s="427">
        <f t="shared" si="3"/>
        <v>277</v>
      </c>
      <c r="P19" s="362" t="str">
        <f t="shared" si="4"/>
        <v/>
      </c>
      <c r="Q19" s="362">
        <f t="shared" si="5"/>
        <v>0</v>
      </c>
      <c r="R19" s="362"/>
      <c r="S19" s="163"/>
    </row>
    <row r="20" spans="1:19" s="107" customFormat="1" ht="12.2" customHeight="1">
      <c r="A20" s="400" t="s">
        <v>45</v>
      </c>
      <c r="B20" s="431"/>
      <c r="C20" s="412">
        <v>40506</v>
      </c>
      <c r="D20" s="324">
        <f>DATE(YEAR(C20)+2,MONTH(C20),DAY(C20))</f>
        <v>41237</v>
      </c>
      <c r="E20" s="412">
        <v>40721</v>
      </c>
      <c r="F20" s="412">
        <f>DATE(YEAR(E20)+4,MONTH(E20),DAY(E20))</f>
        <v>42182</v>
      </c>
      <c r="G20" s="412">
        <v>41605</v>
      </c>
      <c r="H20" s="405">
        <v>660000</v>
      </c>
      <c r="I20" s="402"/>
      <c r="J20" s="402"/>
      <c r="K20" s="413"/>
      <c r="L20" s="412"/>
      <c r="M20" s="405">
        <f>SUM(M21:M27)</f>
        <v>656094.66</v>
      </c>
      <c r="N20" s="418"/>
      <c r="O20" s="428"/>
      <c r="P20" s="414">
        <f>SUM(P21:P27)</f>
        <v>0</v>
      </c>
      <c r="Q20" s="414">
        <f>SUM(Q21:Q27)</f>
        <v>0</v>
      </c>
      <c r="R20" s="414"/>
      <c r="S20" s="163">
        <f>H20-(M20+P20+Q20)</f>
        <v>3905.3399999999674</v>
      </c>
    </row>
    <row r="21" spans="1:19" s="26" customFormat="1" ht="12.2" customHeight="1" outlineLevel="1">
      <c r="A21" s="332" t="s">
        <v>45</v>
      </c>
      <c r="B21" s="432"/>
      <c r="C21" s="345"/>
      <c r="D21" s="345"/>
      <c r="E21" s="345"/>
      <c r="F21" s="345"/>
      <c r="G21" s="345"/>
      <c r="H21" s="438"/>
      <c r="I21" s="970">
        <f>J21/$H$20</f>
        <v>0.23835909090909091</v>
      </c>
      <c r="J21" s="347">
        <v>157317</v>
      </c>
      <c r="K21" s="348">
        <v>1</v>
      </c>
      <c r="L21" s="345">
        <v>40648</v>
      </c>
      <c r="M21" s="347">
        <v>157317</v>
      </c>
      <c r="N21" s="350">
        <v>40787</v>
      </c>
      <c r="O21" s="408">
        <f t="shared" si="3"/>
        <v>139</v>
      </c>
      <c r="P21" s="352" t="str">
        <f t="shared" si="4"/>
        <v/>
      </c>
      <c r="Q21" s="352">
        <f t="shared" si="5"/>
        <v>0</v>
      </c>
      <c r="R21" s="352"/>
      <c r="S21" s="169" t="s">
        <v>210</v>
      </c>
    </row>
    <row r="22" spans="1:19" s="26" customFormat="1" ht="12.2" customHeight="1" outlineLevel="1">
      <c r="A22" s="332" t="s">
        <v>45</v>
      </c>
      <c r="B22" s="432"/>
      <c r="C22" s="345"/>
      <c r="D22" s="345"/>
      <c r="E22" s="345"/>
      <c r="F22" s="345"/>
      <c r="G22" s="345"/>
      <c r="H22" s="438"/>
      <c r="I22" s="970">
        <f t="shared" ref="I22:I27" si="6">J22/$H$20+I21</f>
        <v>0.40604545454545454</v>
      </c>
      <c r="J22" s="347">
        <v>110673</v>
      </c>
      <c r="K22" s="348">
        <v>2</v>
      </c>
      <c r="L22" s="345">
        <v>40830</v>
      </c>
      <c r="M22" s="347">
        <v>110673</v>
      </c>
      <c r="N22" s="350">
        <v>40876</v>
      </c>
      <c r="O22" s="408">
        <f t="shared" si="3"/>
        <v>46</v>
      </c>
      <c r="P22" s="352" t="str">
        <f t="shared" si="4"/>
        <v/>
      </c>
      <c r="Q22" s="352">
        <f t="shared" ref="Q22:Q134" si="7">IF(L22="",J22-M22,0)</f>
        <v>0</v>
      </c>
      <c r="R22" s="352"/>
      <c r="S22" s="163"/>
    </row>
    <row r="23" spans="1:19" s="26" customFormat="1" ht="12.2" customHeight="1" outlineLevel="1">
      <c r="A23" s="332" t="s">
        <v>45</v>
      </c>
      <c r="B23" s="432"/>
      <c r="C23" s="345"/>
      <c r="D23" s="345"/>
      <c r="E23" s="345"/>
      <c r="F23" s="345"/>
      <c r="G23" s="345"/>
      <c r="H23" s="438"/>
      <c r="I23" s="970">
        <f t="shared" si="6"/>
        <v>0.47223130303030303</v>
      </c>
      <c r="J23" s="347">
        <v>43682.66</v>
      </c>
      <c r="K23" s="348">
        <v>3</v>
      </c>
      <c r="L23" s="345">
        <v>41143</v>
      </c>
      <c r="M23" s="347">
        <v>43682.66</v>
      </c>
      <c r="N23" s="350">
        <v>41187</v>
      </c>
      <c r="O23" s="408">
        <f t="shared" si="3"/>
        <v>44</v>
      </c>
      <c r="P23" s="352" t="str">
        <f t="shared" si="4"/>
        <v/>
      </c>
      <c r="Q23" s="352">
        <f t="shared" si="7"/>
        <v>0</v>
      </c>
      <c r="R23" s="352"/>
      <c r="S23" s="163"/>
    </row>
    <row r="24" spans="1:19" s="26" customFormat="1" ht="12.2" customHeight="1" outlineLevel="1">
      <c r="A24" s="332" t="s">
        <v>45</v>
      </c>
      <c r="B24" s="432"/>
      <c r="C24" s="345"/>
      <c r="D24" s="345"/>
      <c r="E24" s="345"/>
      <c r="F24" s="345"/>
      <c r="G24" s="345"/>
      <c r="H24" s="438"/>
      <c r="I24" s="970">
        <f t="shared" si="6"/>
        <v>0.68728846969696966</v>
      </c>
      <c r="J24" s="347">
        <v>141937.73000000001</v>
      </c>
      <c r="K24" s="348">
        <v>4</v>
      </c>
      <c r="L24" s="345">
        <v>41362</v>
      </c>
      <c r="M24" s="347">
        <v>141937.73000000001</v>
      </c>
      <c r="N24" s="350">
        <v>41428</v>
      </c>
      <c r="O24" s="408">
        <f t="shared" si="3"/>
        <v>66</v>
      </c>
      <c r="P24" s="352" t="str">
        <f t="shared" si="4"/>
        <v/>
      </c>
      <c r="Q24" s="352">
        <f t="shared" si="7"/>
        <v>0</v>
      </c>
      <c r="R24" s="352"/>
      <c r="S24" s="163"/>
    </row>
    <row r="25" spans="1:19" s="26" customFormat="1" ht="12.2" customHeight="1" outlineLevel="1">
      <c r="A25" s="332" t="s">
        <v>45</v>
      </c>
      <c r="B25" s="432"/>
      <c r="C25" s="345"/>
      <c r="D25" s="345"/>
      <c r="E25" s="345"/>
      <c r="F25" s="345"/>
      <c r="G25" s="345"/>
      <c r="H25" s="438"/>
      <c r="I25" s="970">
        <f t="shared" si="6"/>
        <v>0.76837296969696967</v>
      </c>
      <c r="J25" s="347">
        <v>53515.77</v>
      </c>
      <c r="K25" s="348">
        <v>5</v>
      </c>
      <c r="L25" s="345">
        <v>41549</v>
      </c>
      <c r="M25" s="347">
        <v>53515.77</v>
      </c>
      <c r="N25" s="350">
        <v>41638</v>
      </c>
      <c r="O25" s="408">
        <f t="shared" si="3"/>
        <v>89</v>
      </c>
      <c r="P25" s="352" t="str">
        <f t="shared" si="4"/>
        <v/>
      </c>
      <c r="Q25" s="352">
        <f t="shared" si="7"/>
        <v>0</v>
      </c>
      <c r="R25" s="352"/>
      <c r="S25" s="163"/>
    </row>
    <row r="26" spans="1:19" s="26" customFormat="1" ht="12.2" customHeight="1" outlineLevel="1">
      <c r="A26" s="332" t="s">
        <v>45</v>
      </c>
      <c r="B26" s="432"/>
      <c r="C26" s="345"/>
      <c r="D26" s="345"/>
      <c r="E26" s="345"/>
      <c r="F26" s="345"/>
      <c r="G26" s="345"/>
      <c r="H26" s="438"/>
      <c r="I26" s="970">
        <f t="shared" si="6"/>
        <v>0.79999999999999993</v>
      </c>
      <c r="J26" s="347">
        <v>20873.84</v>
      </c>
      <c r="K26" s="348">
        <v>6</v>
      </c>
      <c r="L26" s="345">
        <v>41673</v>
      </c>
      <c r="M26" s="347">
        <v>20873.84</v>
      </c>
      <c r="N26" s="350">
        <v>41743</v>
      </c>
      <c r="O26" s="408">
        <f t="shared" si="3"/>
        <v>70</v>
      </c>
      <c r="P26" s="352" t="str">
        <f t="shared" si="4"/>
        <v/>
      </c>
      <c r="Q26" s="352">
        <f t="shared" si="7"/>
        <v>0</v>
      </c>
      <c r="R26" s="352"/>
      <c r="S26" s="163"/>
    </row>
    <row r="27" spans="1:19" s="26" customFormat="1" ht="12.2" customHeight="1" outlineLevel="1">
      <c r="A27" s="332" t="s">
        <v>45</v>
      </c>
      <c r="B27" s="432"/>
      <c r="C27" s="345"/>
      <c r="D27" s="345"/>
      <c r="E27" s="345"/>
      <c r="F27" s="345"/>
      <c r="G27" s="345"/>
      <c r="H27" s="438"/>
      <c r="I27" s="970">
        <f t="shared" si="6"/>
        <v>1</v>
      </c>
      <c r="J27" s="347">
        <v>132000</v>
      </c>
      <c r="K27" s="348">
        <v>7</v>
      </c>
      <c r="L27" s="345">
        <v>42214</v>
      </c>
      <c r="M27" s="349">
        <v>128094.66</v>
      </c>
      <c r="N27" s="350">
        <v>42307</v>
      </c>
      <c r="O27" s="408">
        <f t="shared" si="3"/>
        <v>93</v>
      </c>
      <c r="P27" s="352" t="str">
        <f t="shared" si="4"/>
        <v/>
      </c>
      <c r="Q27" s="352">
        <f t="shared" si="7"/>
        <v>0</v>
      </c>
      <c r="R27" s="352"/>
      <c r="S27" s="163"/>
    </row>
    <row r="28" spans="1:19" s="107" customFormat="1" ht="12.2" customHeight="1">
      <c r="A28" s="323" t="s">
        <v>11</v>
      </c>
      <c r="B28" s="437"/>
      <c r="C28" s="324">
        <v>40795</v>
      </c>
      <c r="D28" s="324"/>
      <c r="E28" s="324"/>
      <c r="F28" s="324"/>
      <c r="G28" s="324"/>
      <c r="H28" s="328">
        <v>280000</v>
      </c>
      <c r="I28" s="326"/>
      <c r="J28" s="326"/>
      <c r="K28" s="327"/>
      <c r="L28" s="324"/>
      <c r="M28" s="331">
        <f>SUM(M29:M32)</f>
        <v>280000</v>
      </c>
      <c r="N28" s="329"/>
      <c r="O28" s="423"/>
      <c r="P28" s="331">
        <f>SUM(P29:P32)</f>
        <v>0</v>
      </c>
      <c r="Q28" s="331">
        <f>SUM(Q29:Q32)</f>
        <v>0</v>
      </c>
      <c r="R28" s="331"/>
      <c r="S28" s="163">
        <f>H28-(M28+P28+Q28)</f>
        <v>0</v>
      </c>
    </row>
    <row r="29" spans="1:19" s="26" customFormat="1" ht="12.2" customHeight="1" outlineLevel="1">
      <c r="A29" s="332" t="s">
        <v>11</v>
      </c>
      <c r="B29" s="432"/>
      <c r="C29" s="345"/>
      <c r="D29" s="345"/>
      <c r="E29" s="345"/>
      <c r="F29" s="345"/>
      <c r="G29" s="345"/>
      <c r="H29" s="349"/>
      <c r="I29" s="347"/>
      <c r="J29" s="347">
        <v>129444</v>
      </c>
      <c r="K29" s="348">
        <v>1</v>
      </c>
      <c r="L29" s="345">
        <v>41143</v>
      </c>
      <c r="M29" s="347">
        <v>129444</v>
      </c>
      <c r="N29" s="350">
        <v>41199</v>
      </c>
      <c r="O29" s="408">
        <f t="shared" si="3"/>
        <v>56</v>
      </c>
      <c r="P29" s="352" t="str">
        <f t="shared" si="4"/>
        <v/>
      </c>
      <c r="Q29" s="352">
        <f t="shared" si="7"/>
        <v>0</v>
      </c>
      <c r="R29" s="352"/>
      <c r="S29" s="163"/>
    </row>
    <row r="30" spans="1:19" s="26" customFormat="1" ht="12.2" customHeight="1" outlineLevel="1">
      <c r="A30" s="332" t="s">
        <v>11</v>
      </c>
      <c r="B30" s="432"/>
      <c r="C30" s="345"/>
      <c r="D30" s="345"/>
      <c r="E30" s="345"/>
      <c r="F30" s="345"/>
      <c r="G30" s="345"/>
      <c r="H30" s="349"/>
      <c r="I30" s="347"/>
      <c r="J30" s="347">
        <v>41989.59</v>
      </c>
      <c r="K30" s="348">
        <v>2</v>
      </c>
      <c r="L30" s="345">
        <v>41423</v>
      </c>
      <c r="M30" s="347">
        <v>41989.59</v>
      </c>
      <c r="N30" s="350">
        <v>41551</v>
      </c>
      <c r="O30" s="408">
        <f t="shared" si="3"/>
        <v>128</v>
      </c>
      <c r="P30" s="352" t="str">
        <f t="shared" si="4"/>
        <v/>
      </c>
      <c r="Q30" s="352">
        <f t="shared" si="7"/>
        <v>0</v>
      </c>
      <c r="R30" s="352"/>
      <c r="S30" s="163"/>
    </row>
    <row r="31" spans="1:19" s="26" customFormat="1" ht="12.2" customHeight="1" outlineLevel="1">
      <c r="A31" s="332" t="s">
        <v>11</v>
      </c>
      <c r="B31" s="432"/>
      <c r="C31" s="345"/>
      <c r="D31" s="345"/>
      <c r="E31" s="345"/>
      <c r="F31" s="345"/>
      <c r="G31" s="345"/>
      <c r="H31" s="349"/>
      <c r="I31" s="347"/>
      <c r="J31" s="347">
        <v>52566.41</v>
      </c>
      <c r="K31" s="348">
        <v>3</v>
      </c>
      <c r="L31" s="345">
        <v>41673</v>
      </c>
      <c r="M31" s="347">
        <v>52566.41</v>
      </c>
      <c r="N31" s="350">
        <v>41743</v>
      </c>
      <c r="O31" s="408">
        <f t="shared" si="3"/>
        <v>70</v>
      </c>
      <c r="P31" s="352" t="str">
        <f t="shared" si="4"/>
        <v/>
      </c>
      <c r="Q31" s="352">
        <f t="shared" si="7"/>
        <v>0</v>
      </c>
      <c r="R31" s="352"/>
      <c r="S31" s="163"/>
    </row>
    <row r="32" spans="1:19" s="26" customFormat="1" ht="12.2" customHeight="1" outlineLevel="1">
      <c r="A32" s="332" t="s">
        <v>11</v>
      </c>
      <c r="B32" s="432"/>
      <c r="C32" s="345"/>
      <c r="D32" s="345"/>
      <c r="E32" s="345"/>
      <c r="F32" s="345"/>
      <c r="G32" s="345"/>
      <c r="H32" s="349"/>
      <c r="I32" s="347"/>
      <c r="J32" s="347">
        <v>56000</v>
      </c>
      <c r="K32" s="348">
        <v>4</v>
      </c>
      <c r="L32" s="345">
        <v>42034</v>
      </c>
      <c r="M32" s="347">
        <v>56000</v>
      </c>
      <c r="N32" s="350">
        <v>42069</v>
      </c>
      <c r="O32" s="408">
        <f t="shared" si="3"/>
        <v>35</v>
      </c>
      <c r="P32" s="352" t="str">
        <f>IF(M32="en attente",J32,"")</f>
        <v/>
      </c>
      <c r="Q32" s="352">
        <f t="shared" si="7"/>
        <v>0</v>
      </c>
      <c r="R32" s="352" t="s">
        <v>80</v>
      </c>
      <c r="S32" s="163"/>
    </row>
    <row r="33" spans="1:19" s="107" customFormat="1" ht="12.2" customHeight="1">
      <c r="A33" s="323" t="s">
        <v>47</v>
      </c>
      <c r="B33" s="437" t="s">
        <v>199</v>
      </c>
      <c r="C33" s="324">
        <v>40864</v>
      </c>
      <c r="D33" s="324">
        <f>DATE(YEAR(C33)+2,MONTH(C33),DAY(C33))</f>
        <v>41595</v>
      </c>
      <c r="E33" s="324">
        <v>41309</v>
      </c>
      <c r="F33" s="324">
        <f>DATE(YEAR(E33)+4,MONTH(E33),DAY(E33))</f>
        <v>42770</v>
      </c>
      <c r="G33" s="324">
        <v>42788</v>
      </c>
      <c r="H33" s="328">
        <v>340000</v>
      </c>
      <c r="I33" s="326"/>
      <c r="J33" s="326"/>
      <c r="K33" s="327"/>
      <c r="L33" s="324"/>
      <c r="M33" s="328">
        <f>SUM(M34:M37)</f>
        <v>335175.78000000003</v>
      </c>
      <c r="N33" s="329"/>
      <c r="O33" s="423"/>
      <c r="P33" s="331">
        <f>SUM(P34:P37)</f>
        <v>0</v>
      </c>
      <c r="Q33" s="331">
        <f>SUM(Q34:Q37)</f>
        <v>0</v>
      </c>
      <c r="R33" s="331"/>
      <c r="S33" s="163">
        <f>H33-(M33+P33+Q33)</f>
        <v>4824.2199999999721</v>
      </c>
    </row>
    <row r="34" spans="1:19" s="26" customFormat="1" ht="12.2" customHeight="1" outlineLevel="1">
      <c r="A34" s="332" t="s">
        <v>47</v>
      </c>
      <c r="B34" s="432"/>
      <c r="C34" s="410" t="s">
        <v>212</v>
      </c>
      <c r="D34" s="345"/>
      <c r="E34" s="410" t="s">
        <v>212</v>
      </c>
      <c r="F34" s="410" t="s">
        <v>276</v>
      </c>
      <c r="G34" s="345"/>
      <c r="H34" s="438"/>
      <c r="I34" s="970">
        <f>J34/$H$33</f>
        <v>0.43809999999999999</v>
      </c>
      <c r="J34" s="347">
        <v>148954</v>
      </c>
      <c r="K34" s="348">
        <v>1</v>
      </c>
      <c r="L34" s="345">
        <v>40892</v>
      </c>
      <c r="M34" s="349">
        <v>148954</v>
      </c>
      <c r="N34" s="350">
        <v>40994</v>
      </c>
      <c r="O34" s="408">
        <f t="shared" si="3"/>
        <v>102</v>
      </c>
      <c r="P34" s="352" t="str">
        <f>IF(M34="en attente",J34,"")</f>
        <v/>
      </c>
      <c r="Q34" s="352">
        <f t="shared" si="7"/>
        <v>0</v>
      </c>
      <c r="R34" s="352"/>
      <c r="S34" s="163"/>
    </row>
    <row r="35" spans="1:19" s="26" customFormat="1" ht="12.2" customHeight="1" outlineLevel="1">
      <c r="A35" s="332" t="s">
        <v>47</v>
      </c>
      <c r="B35" s="432"/>
      <c r="C35" s="345"/>
      <c r="D35" s="345"/>
      <c r="E35" s="345"/>
      <c r="F35" s="345"/>
      <c r="G35" s="345"/>
      <c r="H35" s="438"/>
      <c r="I35" s="970">
        <f>J35/$H$33+I34</f>
        <v>0.56899999999999995</v>
      </c>
      <c r="J35" s="347">
        <v>44506</v>
      </c>
      <c r="K35" s="348">
        <v>2</v>
      </c>
      <c r="L35" s="345">
        <v>41549</v>
      </c>
      <c r="M35" s="349">
        <v>44506</v>
      </c>
      <c r="N35" s="350">
        <v>41680</v>
      </c>
      <c r="O35" s="408">
        <f t="shared" si="3"/>
        <v>131</v>
      </c>
      <c r="P35" s="352" t="str">
        <f>IF(M35="en attente",J35,"")</f>
        <v/>
      </c>
      <c r="Q35" s="352">
        <f t="shared" si="7"/>
        <v>0</v>
      </c>
      <c r="R35" s="352"/>
      <c r="S35" s="163"/>
    </row>
    <row r="36" spans="1:19" s="26" customFormat="1" outlineLevel="1">
      <c r="A36" s="332" t="s">
        <v>47</v>
      </c>
      <c r="B36" s="432"/>
      <c r="C36" s="345"/>
      <c r="D36" s="345"/>
      <c r="E36" s="345"/>
      <c r="F36" s="345"/>
      <c r="G36" s="345"/>
      <c r="H36" s="438"/>
      <c r="I36" s="972">
        <v>0.76029999999999998</v>
      </c>
      <c r="J36" s="347">
        <v>65042</v>
      </c>
      <c r="K36" s="348">
        <v>3</v>
      </c>
      <c r="L36" s="345">
        <v>42325</v>
      </c>
      <c r="M36" s="349">
        <v>65042</v>
      </c>
      <c r="N36" s="350">
        <v>42422</v>
      </c>
      <c r="O36" s="408"/>
      <c r="P36" s="352" t="str">
        <f>IF(M36="en attente",J36,"")</f>
        <v/>
      </c>
      <c r="Q36" s="352">
        <f t="shared" si="7"/>
        <v>0</v>
      </c>
      <c r="R36" s="352"/>
      <c r="S36" s="163"/>
    </row>
    <row r="37" spans="1:19" s="26" customFormat="1" ht="12.2" customHeight="1" outlineLevel="1">
      <c r="A37" s="354" t="s">
        <v>47</v>
      </c>
      <c r="B37" s="439"/>
      <c r="C37" s="356"/>
      <c r="D37" s="356"/>
      <c r="E37" s="356"/>
      <c r="F37" s="356"/>
      <c r="G37" s="356"/>
      <c r="H37" s="438"/>
      <c r="I37" s="972">
        <v>0.98580000000000001</v>
      </c>
      <c r="J37" s="357">
        <v>76673.78</v>
      </c>
      <c r="K37" s="358">
        <v>4</v>
      </c>
      <c r="L37" s="356">
        <v>42997</v>
      </c>
      <c r="M37" s="359">
        <v>76673.78</v>
      </c>
      <c r="N37" s="360">
        <v>43448</v>
      </c>
      <c r="O37" s="427"/>
      <c r="P37" s="362" t="str">
        <f>IF(M37="en attente",J37,"")</f>
        <v/>
      </c>
      <c r="Q37" s="352">
        <f t="shared" si="7"/>
        <v>0</v>
      </c>
      <c r="R37" s="352" t="s">
        <v>309</v>
      </c>
      <c r="S37" s="163"/>
    </row>
    <row r="38" spans="1:19" s="107" customFormat="1" ht="12.2" customHeight="1">
      <c r="A38" s="400" t="s">
        <v>54</v>
      </c>
      <c r="B38" s="431" t="s">
        <v>198</v>
      </c>
      <c r="C38" s="412">
        <v>40864</v>
      </c>
      <c r="D38" s="324">
        <f>DATE(YEAR(C38)+2,MONTH(C38),DAY(C38))</f>
        <v>41595</v>
      </c>
      <c r="E38" s="412">
        <v>41303</v>
      </c>
      <c r="F38" s="412">
        <v>44175</v>
      </c>
      <c r="G38" s="412">
        <v>42954</v>
      </c>
      <c r="H38" s="967">
        <v>1300000</v>
      </c>
      <c r="I38" s="402"/>
      <c r="J38" s="402"/>
      <c r="K38" s="413"/>
      <c r="L38" s="412"/>
      <c r="M38" s="405">
        <f>SUM(M39:M44)</f>
        <v>1286871.5899999999</v>
      </c>
      <c r="N38" s="418"/>
      <c r="O38" s="428"/>
      <c r="P38" s="414">
        <f>SUM(P39:P44)</f>
        <v>0</v>
      </c>
      <c r="Q38" s="331">
        <f>SUM(Q39:Q44)</f>
        <v>0</v>
      </c>
      <c r="R38" s="415"/>
      <c r="S38" s="163">
        <f>H38-(M38+P38+Q38)</f>
        <v>13128.410000000149</v>
      </c>
    </row>
    <row r="39" spans="1:19" s="26" customFormat="1" ht="12.2" customHeight="1" outlineLevel="1">
      <c r="A39" s="332" t="s">
        <v>54</v>
      </c>
      <c r="B39" s="432"/>
      <c r="C39" s="410" t="s">
        <v>212</v>
      </c>
      <c r="D39" s="345"/>
      <c r="E39" s="410" t="s">
        <v>212</v>
      </c>
      <c r="F39" s="410" t="s">
        <v>279</v>
      </c>
      <c r="G39" s="345"/>
      <c r="H39" s="438"/>
      <c r="I39" s="970">
        <f>J39/$H$38</f>
        <v>0.48630000000000001</v>
      </c>
      <c r="J39" s="347">
        <v>632190</v>
      </c>
      <c r="K39" s="348">
        <v>1</v>
      </c>
      <c r="L39" s="345">
        <v>40962</v>
      </c>
      <c r="M39" s="349">
        <v>632190</v>
      </c>
      <c r="N39" s="350">
        <v>41067</v>
      </c>
      <c r="O39" s="408">
        <f t="shared" si="3"/>
        <v>105</v>
      </c>
      <c r="P39" s="352" t="str">
        <f t="shared" ref="P39:P44" si="8">IF(M39="en attente",J39,"")</f>
        <v/>
      </c>
      <c r="Q39" s="352">
        <f t="shared" si="7"/>
        <v>0</v>
      </c>
      <c r="R39" s="512"/>
      <c r="S39" s="163"/>
    </row>
    <row r="40" spans="1:19" s="26" customFormat="1" ht="12.2" customHeight="1" outlineLevel="1">
      <c r="A40" s="332" t="s">
        <v>54</v>
      </c>
      <c r="B40" s="432"/>
      <c r="C40" s="345"/>
      <c r="D40" s="345"/>
      <c r="E40" s="345"/>
      <c r="F40" s="345"/>
      <c r="G40" s="345"/>
      <c r="H40" s="438"/>
      <c r="I40" s="970">
        <f>J40/$H$38+I39</f>
        <v>0.56350456923076919</v>
      </c>
      <c r="J40" s="347">
        <v>100365.94</v>
      </c>
      <c r="K40" s="348">
        <v>2</v>
      </c>
      <c r="L40" s="345">
        <v>41549</v>
      </c>
      <c r="M40" s="349">
        <v>100365.94</v>
      </c>
      <c r="N40" s="350">
        <v>41653</v>
      </c>
      <c r="O40" s="408">
        <f t="shared" si="3"/>
        <v>104</v>
      </c>
      <c r="P40" s="352" t="str">
        <f t="shared" si="8"/>
        <v/>
      </c>
      <c r="Q40" s="352">
        <f t="shared" si="7"/>
        <v>0</v>
      </c>
      <c r="R40" s="512"/>
      <c r="S40" s="163"/>
    </row>
    <row r="41" spans="1:19" s="26" customFormat="1" ht="12.2" customHeight="1" outlineLevel="1">
      <c r="A41" s="332" t="s">
        <v>54</v>
      </c>
      <c r="B41" s="432"/>
      <c r="C41" s="345"/>
      <c r="D41" s="345"/>
      <c r="E41" s="345"/>
      <c r="F41" s="345"/>
      <c r="G41" s="345"/>
      <c r="H41" s="438"/>
      <c r="I41" s="970">
        <f>J41/$H$38+I40</f>
        <v>0.68899496153846151</v>
      </c>
      <c r="J41" s="347">
        <v>163137.51</v>
      </c>
      <c r="K41" s="348">
        <v>3</v>
      </c>
      <c r="L41" s="345">
        <v>41673</v>
      </c>
      <c r="M41" s="349">
        <v>163137.51</v>
      </c>
      <c r="N41" s="350">
        <v>41731</v>
      </c>
      <c r="O41" s="408">
        <f t="shared" si="3"/>
        <v>58</v>
      </c>
      <c r="P41" s="352" t="str">
        <f t="shared" si="8"/>
        <v/>
      </c>
      <c r="Q41" s="352">
        <f t="shared" si="7"/>
        <v>0</v>
      </c>
      <c r="R41" s="512"/>
      <c r="S41" s="163"/>
    </row>
    <row r="42" spans="1:19" s="26" customFormat="1" ht="12.2" customHeight="1" outlineLevel="1">
      <c r="A42" s="332" t="s">
        <v>54</v>
      </c>
      <c r="B42" s="432"/>
      <c r="C42" s="345"/>
      <c r="D42" s="345"/>
      <c r="E42" s="345"/>
      <c r="F42" s="345"/>
      <c r="G42" s="345"/>
      <c r="H42" s="438"/>
      <c r="I42" s="970">
        <f>J42/$H$38+I41</f>
        <v>0.71552039999999995</v>
      </c>
      <c r="J42" s="347">
        <v>34483.07</v>
      </c>
      <c r="K42" s="348">
        <v>4</v>
      </c>
      <c r="L42" s="345">
        <v>41941</v>
      </c>
      <c r="M42" s="349">
        <v>34483.07</v>
      </c>
      <c r="N42" s="350">
        <v>42030</v>
      </c>
      <c r="O42" s="408">
        <f t="shared" si="3"/>
        <v>89</v>
      </c>
      <c r="P42" s="352" t="str">
        <f t="shared" si="8"/>
        <v/>
      </c>
      <c r="Q42" s="352">
        <f t="shared" si="7"/>
        <v>0</v>
      </c>
      <c r="R42" s="512"/>
      <c r="S42" s="163"/>
    </row>
    <row r="43" spans="1:19" s="26" customFormat="1" ht="12.2" customHeight="1" outlineLevel="1">
      <c r="A43" s="332" t="s">
        <v>54</v>
      </c>
      <c r="B43" s="432"/>
      <c r="C43" s="345"/>
      <c r="D43" s="345"/>
      <c r="E43" s="345"/>
      <c r="F43" s="345"/>
      <c r="G43" s="345"/>
      <c r="H43" s="438"/>
      <c r="I43" s="970">
        <f>J43/$H$38+I42</f>
        <v>0.79999999999999993</v>
      </c>
      <c r="J43" s="347">
        <v>109823.48</v>
      </c>
      <c r="K43" s="348">
        <v>5</v>
      </c>
      <c r="L43" s="345">
        <v>42264</v>
      </c>
      <c r="M43" s="349">
        <v>109823.48</v>
      </c>
      <c r="N43" s="350">
        <v>42325</v>
      </c>
      <c r="O43" s="408">
        <f t="shared" si="3"/>
        <v>61</v>
      </c>
      <c r="P43" s="352" t="str">
        <f t="shared" si="8"/>
        <v/>
      </c>
      <c r="Q43" s="352">
        <f t="shared" si="7"/>
        <v>0</v>
      </c>
      <c r="R43" s="512"/>
      <c r="S43" s="163"/>
    </row>
    <row r="44" spans="1:19" s="26" customFormat="1" ht="12.2" customHeight="1" outlineLevel="1">
      <c r="A44" s="332" t="s">
        <v>54</v>
      </c>
      <c r="B44" s="432"/>
      <c r="C44" s="345"/>
      <c r="D44" s="345"/>
      <c r="E44" s="345"/>
      <c r="F44" s="345"/>
      <c r="G44" s="345"/>
      <c r="H44" s="438"/>
      <c r="I44" s="972">
        <f>J44/$H$38+I43</f>
        <v>0.98990122307692308</v>
      </c>
      <c r="J44" s="347">
        <v>246871.59</v>
      </c>
      <c r="K44" s="348">
        <v>6</v>
      </c>
      <c r="L44" s="345">
        <v>39596</v>
      </c>
      <c r="M44" s="349">
        <v>246871.59</v>
      </c>
      <c r="N44" s="350">
        <v>43304</v>
      </c>
      <c r="O44" s="408">
        <f t="shared" si="3"/>
        <v>3708</v>
      </c>
      <c r="P44" s="352" t="str">
        <f t="shared" si="8"/>
        <v/>
      </c>
      <c r="Q44" s="352">
        <f t="shared" si="7"/>
        <v>0</v>
      </c>
      <c r="R44" s="395" t="s">
        <v>339</v>
      </c>
      <c r="S44" s="163"/>
    </row>
    <row r="45" spans="1:19" s="107" customFormat="1" ht="12.2" customHeight="1">
      <c r="A45" s="323" t="s">
        <v>52</v>
      </c>
      <c r="B45" s="323" t="s">
        <v>197</v>
      </c>
      <c r="C45" s="329">
        <v>40864</v>
      </c>
      <c r="D45" s="324">
        <f>DATE(YEAR(C45)+2,MONTH(C45),DAY(C45))</f>
        <v>41595</v>
      </c>
      <c r="E45" s="324">
        <v>41309</v>
      </c>
      <c r="F45" s="324">
        <f>DATE(YEAR(E45)+4,MONTH(E45),DAY(E45))</f>
        <v>42770</v>
      </c>
      <c r="G45" s="324">
        <v>42202</v>
      </c>
      <c r="H45" s="328">
        <v>800000</v>
      </c>
      <c r="I45" s="326"/>
      <c r="J45" s="326"/>
      <c r="K45" s="327"/>
      <c r="L45" s="324"/>
      <c r="M45" s="328">
        <f>SUM(M46:M48)</f>
        <v>800000</v>
      </c>
      <c r="N45" s="329"/>
      <c r="O45" s="423"/>
      <c r="P45" s="331">
        <f>SUM(P46:P48)</f>
        <v>0</v>
      </c>
      <c r="Q45" s="331">
        <f>SUM(Q46:Q48)</f>
        <v>0</v>
      </c>
      <c r="R45" s="331"/>
      <c r="S45" s="163">
        <f>H45-(M45+P45+Q45)</f>
        <v>0</v>
      </c>
    </row>
    <row r="46" spans="1:19" s="26" customFormat="1" ht="12.2" customHeight="1" outlineLevel="1">
      <c r="A46" s="332" t="s">
        <v>52</v>
      </c>
      <c r="B46" s="432"/>
      <c r="C46" s="410" t="s">
        <v>212</v>
      </c>
      <c r="D46" s="345"/>
      <c r="E46" s="410" t="s">
        <v>212</v>
      </c>
      <c r="F46" s="345"/>
      <c r="G46" s="345"/>
      <c r="H46" s="438"/>
      <c r="I46" s="970">
        <f>J46/$H$45</f>
        <v>0.1996968875</v>
      </c>
      <c r="J46" s="347">
        <v>159757.51</v>
      </c>
      <c r="K46" s="348">
        <v>1</v>
      </c>
      <c r="L46" s="345">
        <v>41701</v>
      </c>
      <c r="M46" s="349">
        <v>159757.51</v>
      </c>
      <c r="N46" s="350">
        <v>41758</v>
      </c>
      <c r="O46" s="408">
        <f t="shared" si="3"/>
        <v>57</v>
      </c>
      <c r="P46" s="352" t="str">
        <f>IF(M46="en attente",J46,"")</f>
        <v/>
      </c>
      <c r="Q46" s="352">
        <f t="shared" si="7"/>
        <v>0</v>
      </c>
      <c r="R46" s="455"/>
      <c r="S46" s="163"/>
    </row>
    <row r="47" spans="1:19" s="26" customFormat="1" ht="12.2" customHeight="1" outlineLevel="1">
      <c r="A47" s="332" t="s">
        <v>52</v>
      </c>
      <c r="B47" s="432"/>
      <c r="C47" s="345"/>
      <c r="D47" s="345"/>
      <c r="E47" s="345"/>
      <c r="F47" s="345"/>
      <c r="G47" s="345"/>
      <c r="H47" s="438"/>
      <c r="I47" s="970">
        <f>J47/$H$45+I46</f>
        <v>0.40336767500000004</v>
      </c>
      <c r="J47" s="347">
        <v>162936.63</v>
      </c>
      <c r="K47" s="348">
        <v>2</v>
      </c>
      <c r="L47" s="345">
        <v>42032</v>
      </c>
      <c r="M47" s="349">
        <v>162936.63</v>
      </c>
      <c r="N47" s="350">
        <v>42075</v>
      </c>
      <c r="O47" s="408">
        <f t="shared" si="3"/>
        <v>43</v>
      </c>
      <c r="P47" s="352" t="str">
        <f>IF(M47="en attente",J47,"")</f>
        <v/>
      </c>
      <c r="Q47" s="352">
        <f t="shared" si="7"/>
        <v>0</v>
      </c>
      <c r="R47" s="352"/>
      <c r="S47" s="163"/>
    </row>
    <row r="48" spans="1:19" s="26" customFormat="1" outlineLevel="1">
      <c r="A48" s="354" t="s">
        <v>52</v>
      </c>
      <c r="B48" s="439"/>
      <c r="C48" s="356"/>
      <c r="D48" s="356"/>
      <c r="E48" s="356"/>
      <c r="F48" s="356"/>
      <c r="G48" s="356"/>
      <c r="H48" s="438"/>
      <c r="I48" s="971">
        <f>J48/$H$45+I47</f>
        <v>1</v>
      </c>
      <c r="J48" s="357">
        <f>H45-J46-J47</f>
        <v>477305.86</v>
      </c>
      <c r="K48" s="358">
        <v>3</v>
      </c>
      <c r="L48" s="356">
        <v>42697</v>
      </c>
      <c r="M48" s="359">
        <v>477305.86</v>
      </c>
      <c r="N48" s="360">
        <v>42758</v>
      </c>
      <c r="O48" s="427"/>
      <c r="P48" s="362" t="str">
        <f>IF(M48="en attente",J48,"")</f>
        <v/>
      </c>
      <c r="Q48" s="362">
        <f t="shared" si="7"/>
        <v>0</v>
      </c>
      <c r="R48" s="362"/>
      <c r="S48" s="163"/>
    </row>
    <row r="49" spans="1:19" s="107" customFormat="1" ht="12.2" customHeight="1">
      <c r="A49" s="400" t="s">
        <v>8</v>
      </c>
      <c r="B49" s="431" t="s">
        <v>196</v>
      </c>
      <c r="C49" s="412">
        <v>41207</v>
      </c>
      <c r="D49" s="324">
        <f>DATE(YEAR(C49)+2,MONTH(C49),DAY(C49))</f>
        <v>41937</v>
      </c>
      <c r="E49" s="412">
        <v>41295</v>
      </c>
      <c r="F49" s="412">
        <f>DATE(YEAR(E49)+4,MONTH(E49),DAY(E49))</f>
        <v>42756</v>
      </c>
      <c r="G49" s="412">
        <v>42326</v>
      </c>
      <c r="H49" s="405">
        <v>440000</v>
      </c>
      <c r="I49" s="402"/>
      <c r="J49" s="402"/>
      <c r="K49" s="413"/>
      <c r="L49" s="412"/>
      <c r="M49" s="405">
        <f>SUM(M50:M52)</f>
        <v>440000</v>
      </c>
      <c r="N49" s="418"/>
      <c r="O49" s="428"/>
      <c r="P49" s="414">
        <f>SUM(P50:P52)</f>
        <v>0</v>
      </c>
      <c r="Q49" s="414">
        <f>SUM(Q50:Q52)</f>
        <v>0</v>
      </c>
      <c r="R49" s="414"/>
      <c r="S49" s="163">
        <f>H49-(M49+P49+Q49)</f>
        <v>0</v>
      </c>
    </row>
    <row r="50" spans="1:19" s="26" customFormat="1" ht="12.2" customHeight="1" outlineLevel="1">
      <c r="A50" s="332" t="s">
        <v>8</v>
      </c>
      <c r="B50" s="432"/>
      <c r="C50" s="410" t="s">
        <v>212</v>
      </c>
      <c r="D50" s="345"/>
      <c r="E50" s="410" t="s">
        <v>212</v>
      </c>
      <c r="F50" s="345"/>
      <c r="G50" s="345"/>
      <c r="H50" s="438"/>
      <c r="I50" s="972">
        <f>J50/$H$49</f>
        <v>0.39935324999999999</v>
      </c>
      <c r="J50" s="347">
        <v>175715.43</v>
      </c>
      <c r="K50" s="348">
        <v>1</v>
      </c>
      <c r="L50" s="345">
        <v>41554</v>
      </c>
      <c r="M50" s="349">
        <v>175715.43</v>
      </c>
      <c r="N50" s="350">
        <v>41683</v>
      </c>
      <c r="O50" s="408">
        <f t="shared" si="3"/>
        <v>129</v>
      </c>
      <c r="P50" s="352" t="str">
        <f>IF(M50="en attente",J50,"")</f>
        <v/>
      </c>
      <c r="Q50" s="352">
        <f t="shared" si="7"/>
        <v>0</v>
      </c>
      <c r="R50" s="455"/>
      <c r="S50" s="163"/>
    </row>
    <row r="51" spans="1:19" s="26" customFormat="1" ht="12.2" customHeight="1" outlineLevel="1">
      <c r="A51" s="332" t="s">
        <v>8</v>
      </c>
      <c r="B51" s="432"/>
      <c r="C51" s="345"/>
      <c r="D51" s="345"/>
      <c r="E51" s="345"/>
      <c r="F51" s="345"/>
      <c r="G51" s="345"/>
      <c r="H51" s="438"/>
      <c r="I51" s="972">
        <f>J51/$H$49+I50</f>
        <v>0.8</v>
      </c>
      <c r="J51" s="347">
        <v>176284.57</v>
      </c>
      <c r="K51" s="348">
        <v>2</v>
      </c>
      <c r="L51" s="345">
        <v>42261</v>
      </c>
      <c r="M51" s="349">
        <v>176284.57</v>
      </c>
      <c r="N51" s="350">
        <v>42314</v>
      </c>
      <c r="O51" s="408"/>
      <c r="P51" s="352" t="str">
        <f>IF(M51="en attente",J51,"")</f>
        <v/>
      </c>
      <c r="Q51" s="352">
        <f t="shared" si="7"/>
        <v>0</v>
      </c>
      <c r="R51" s="455"/>
      <c r="S51" s="163"/>
    </row>
    <row r="52" spans="1:19" s="26" customFormat="1" ht="12.2" customHeight="1" outlineLevel="1">
      <c r="A52" s="332" t="s">
        <v>8</v>
      </c>
      <c r="B52" s="432"/>
      <c r="C52" s="345"/>
      <c r="D52" s="345"/>
      <c r="E52" s="345"/>
      <c r="F52" s="345"/>
      <c r="G52" s="345"/>
      <c r="H52" s="438"/>
      <c r="I52" s="970">
        <f>J52/$H$49+I51</f>
        <v>1</v>
      </c>
      <c r="J52" s="347">
        <v>88000</v>
      </c>
      <c r="K52" s="348">
        <v>3</v>
      </c>
      <c r="L52" s="345">
        <v>42740</v>
      </c>
      <c r="M52" s="349">
        <v>88000</v>
      </c>
      <c r="N52" s="350">
        <v>42794</v>
      </c>
      <c r="O52" s="408"/>
      <c r="P52" s="362" t="str">
        <f>IF(M52="en attente",J52,"")</f>
        <v/>
      </c>
      <c r="Q52" s="352">
        <f t="shared" si="7"/>
        <v>0</v>
      </c>
      <c r="R52" s="352"/>
      <c r="S52" s="163"/>
    </row>
    <row r="53" spans="1:19" s="107" customFormat="1" ht="12.2" customHeight="1">
      <c r="A53" s="323" t="s">
        <v>9</v>
      </c>
      <c r="B53" s="437" t="s">
        <v>195</v>
      </c>
      <c r="C53" s="324">
        <v>41185</v>
      </c>
      <c r="D53" s="324">
        <f>DATE(YEAR(C53)+2,MONTH(C53),DAY(C53))</f>
        <v>41915</v>
      </c>
      <c r="E53" s="324">
        <v>41491</v>
      </c>
      <c r="F53" s="324">
        <f>DATE(YEAR(E53)+4,MONTH(E53),DAY(E53))</f>
        <v>42952</v>
      </c>
      <c r="G53" s="324">
        <v>42633</v>
      </c>
      <c r="H53" s="328">
        <v>480000</v>
      </c>
      <c r="I53" s="326"/>
      <c r="J53" s="326"/>
      <c r="K53" s="327"/>
      <c r="L53" s="324"/>
      <c r="M53" s="328">
        <f>SUM(M54:M57)</f>
        <v>480000</v>
      </c>
      <c r="N53" s="329"/>
      <c r="O53" s="423"/>
      <c r="P53" s="331">
        <f>SUM(P54:P57)</f>
        <v>0</v>
      </c>
      <c r="Q53" s="331">
        <f>SUM(Q54:Q57)</f>
        <v>0</v>
      </c>
      <c r="R53" s="331"/>
      <c r="S53" s="163">
        <f>H53-(M53+P53+Q53)</f>
        <v>0</v>
      </c>
    </row>
    <row r="54" spans="1:19" s="26" customFormat="1" ht="12.2" customHeight="1" outlineLevel="1">
      <c r="A54" s="332" t="s">
        <v>9</v>
      </c>
      <c r="B54" s="432"/>
      <c r="C54" s="410" t="s">
        <v>212</v>
      </c>
      <c r="D54" s="345"/>
      <c r="E54" s="410"/>
      <c r="F54" s="345"/>
      <c r="G54" s="345"/>
      <c r="H54" s="438"/>
      <c r="I54" s="970">
        <f>J54/$H$53</f>
        <v>0.37244579166666669</v>
      </c>
      <c r="J54" s="347">
        <v>178773.98</v>
      </c>
      <c r="K54" s="348">
        <v>1</v>
      </c>
      <c r="L54" s="345">
        <v>41674</v>
      </c>
      <c r="M54" s="349">
        <v>178773.98</v>
      </c>
      <c r="N54" s="350">
        <v>41736</v>
      </c>
      <c r="O54" s="408">
        <f t="shared" si="3"/>
        <v>62</v>
      </c>
      <c r="P54" s="352" t="str">
        <f>IF(M54="en attente",J54,"")</f>
        <v/>
      </c>
      <c r="Q54" s="352">
        <f t="shared" si="7"/>
        <v>0</v>
      </c>
      <c r="R54" s="352"/>
      <c r="S54" s="163"/>
    </row>
    <row r="55" spans="1:19" s="26" customFormat="1" ht="12.2" customHeight="1" outlineLevel="1">
      <c r="A55" s="332" t="s">
        <v>9</v>
      </c>
      <c r="B55" s="432"/>
      <c r="C55" s="345"/>
      <c r="D55" s="345"/>
      <c r="E55" s="345"/>
      <c r="F55" s="345"/>
      <c r="G55" s="345"/>
      <c r="H55" s="438"/>
      <c r="I55" s="970">
        <f>J55/$H$53+I54</f>
        <v>0.55404970833333334</v>
      </c>
      <c r="J55" s="347">
        <v>87169.88</v>
      </c>
      <c r="K55" s="348">
        <v>2</v>
      </c>
      <c r="L55" s="345">
        <v>41869</v>
      </c>
      <c r="M55" s="349">
        <v>87169.88</v>
      </c>
      <c r="N55" s="350">
        <v>41915</v>
      </c>
      <c r="O55" s="408">
        <f t="shared" si="3"/>
        <v>46</v>
      </c>
      <c r="P55" s="352" t="str">
        <f>IF(M55="en attente",J55,"")</f>
        <v/>
      </c>
      <c r="Q55" s="352">
        <f t="shared" si="7"/>
        <v>0</v>
      </c>
      <c r="R55" s="352"/>
    </row>
    <row r="56" spans="1:19" s="26" customFormat="1" outlineLevel="1">
      <c r="A56" s="332" t="s">
        <v>9</v>
      </c>
      <c r="B56" s="432"/>
      <c r="C56" s="345"/>
      <c r="D56" s="345"/>
      <c r="E56" s="345"/>
      <c r="F56" s="345"/>
      <c r="G56" s="345"/>
      <c r="H56" s="438"/>
      <c r="I56" s="972">
        <v>0.73329999999999995</v>
      </c>
      <c r="J56" s="347">
        <v>86025.01</v>
      </c>
      <c r="K56" s="348">
        <v>3</v>
      </c>
      <c r="L56" s="345">
        <v>42327</v>
      </c>
      <c r="M56" s="349">
        <v>86025.01</v>
      </c>
      <c r="N56" s="350">
        <v>42422</v>
      </c>
      <c r="O56" s="408">
        <f t="shared" si="3"/>
        <v>95</v>
      </c>
      <c r="P56" s="352" t="str">
        <f>IF(M56="en attente",J56,"")</f>
        <v/>
      </c>
      <c r="Q56" s="352">
        <f t="shared" si="7"/>
        <v>0</v>
      </c>
      <c r="R56" s="352"/>
      <c r="S56" s="163"/>
    </row>
    <row r="57" spans="1:19" s="26" customFormat="1" ht="12.2" customHeight="1" outlineLevel="1">
      <c r="A57" s="354" t="s">
        <v>9</v>
      </c>
      <c r="B57" s="439"/>
      <c r="C57" s="356"/>
      <c r="D57" s="356"/>
      <c r="E57" s="356"/>
      <c r="F57" s="356"/>
      <c r="G57" s="356"/>
      <c r="H57" s="438"/>
      <c r="I57" s="971">
        <v>1</v>
      </c>
      <c r="J57" s="357">
        <f>H53-SUM(J54:J56)</f>
        <v>128031.13</v>
      </c>
      <c r="K57" s="358">
        <v>4</v>
      </c>
      <c r="L57" s="356">
        <v>42920</v>
      </c>
      <c r="M57" s="359">
        <v>128031.13</v>
      </c>
      <c r="N57" s="360">
        <v>43018</v>
      </c>
      <c r="O57" s="427"/>
      <c r="P57" s="362" t="str">
        <f>IF(M57="en attente",J57,"")</f>
        <v/>
      </c>
      <c r="Q57" s="362">
        <f>IF(L57="",J57-M57,0)</f>
        <v>0</v>
      </c>
      <c r="R57" s="362"/>
      <c r="S57" s="163"/>
    </row>
    <row r="58" spans="1:19" s="107" customFormat="1" ht="12.2" customHeight="1">
      <c r="A58" s="400" t="s">
        <v>57</v>
      </c>
      <c r="B58" s="431" t="s">
        <v>194</v>
      </c>
      <c r="C58" s="412">
        <v>41185</v>
      </c>
      <c r="D58" s="324">
        <f>DATE(YEAR(C58)+2,MONTH(C58),DAY(C58))</f>
        <v>41915</v>
      </c>
      <c r="E58" s="412">
        <v>41316</v>
      </c>
      <c r="F58" s="412">
        <f>DATE(YEAR(E58)+4,MONTH(E58),DAY(E58))</f>
        <v>42777</v>
      </c>
      <c r="G58" s="412">
        <v>41873</v>
      </c>
      <c r="H58" s="405">
        <v>138200</v>
      </c>
      <c r="I58" s="402"/>
      <c r="J58" s="402"/>
      <c r="K58" s="413"/>
      <c r="L58" s="412"/>
      <c r="M58" s="405">
        <f>SUM(M59:M60)</f>
        <v>122205.97</v>
      </c>
      <c r="N58" s="418"/>
      <c r="O58" s="428"/>
      <c r="P58" s="414">
        <f>SUM(P59:P60)</f>
        <v>0</v>
      </c>
      <c r="Q58" s="414">
        <f>SUM(Q59:Q60)</f>
        <v>0</v>
      </c>
      <c r="R58" s="414"/>
      <c r="S58" s="163">
        <f>H58-(M58+P58+Q58)</f>
        <v>15994.029999999999</v>
      </c>
    </row>
    <row r="59" spans="1:19" s="26" customFormat="1" ht="12.2" customHeight="1" outlineLevel="1">
      <c r="A59" s="332" t="s">
        <v>57</v>
      </c>
      <c r="B59" s="432"/>
      <c r="C59" s="345" t="s">
        <v>212</v>
      </c>
      <c r="D59" s="345"/>
      <c r="E59" s="345" t="s">
        <v>213</v>
      </c>
      <c r="F59" s="345"/>
      <c r="G59" s="345"/>
      <c r="H59" s="438"/>
      <c r="I59" s="970">
        <f>J59/$H$58</f>
        <v>0.79594232995658465</v>
      </c>
      <c r="J59" s="347">
        <v>109999.23</v>
      </c>
      <c r="K59" s="348">
        <v>1</v>
      </c>
      <c r="L59" s="345">
        <v>41746</v>
      </c>
      <c r="M59" s="349">
        <v>109999.23</v>
      </c>
      <c r="N59" s="350">
        <v>41827</v>
      </c>
      <c r="O59" s="408">
        <f>IF(N59="",$Q$2-L59,N59-L59)</f>
        <v>81</v>
      </c>
      <c r="P59" s="352" t="str">
        <f>IF(M59="en attente",J59,"")</f>
        <v/>
      </c>
      <c r="Q59" s="352">
        <f t="shared" si="7"/>
        <v>0</v>
      </c>
      <c r="R59" s="352"/>
      <c r="S59" s="163"/>
    </row>
    <row r="60" spans="1:19" s="26" customFormat="1" outlineLevel="1">
      <c r="A60" s="332" t="s">
        <v>57</v>
      </c>
      <c r="B60" s="432"/>
      <c r="C60" s="345"/>
      <c r="D60" s="345"/>
      <c r="E60" s="345"/>
      <c r="F60" s="345"/>
      <c r="G60" s="345"/>
      <c r="H60" s="438"/>
      <c r="I60" s="972">
        <f>J60/$H$58+I59</f>
        <v>0.88426895803183792</v>
      </c>
      <c r="J60" s="347">
        <v>12206.74</v>
      </c>
      <c r="K60" s="348">
        <v>2</v>
      </c>
      <c r="L60" s="345">
        <v>42486</v>
      </c>
      <c r="M60" s="349">
        <v>12206.74</v>
      </c>
      <c r="N60" s="350">
        <v>42555</v>
      </c>
      <c r="O60" s="408"/>
      <c r="P60" s="352" t="str">
        <f>IF(M60="en attente",J60,"")</f>
        <v/>
      </c>
      <c r="Q60" s="352">
        <f t="shared" si="7"/>
        <v>0</v>
      </c>
      <c r="R60" s="352" t="s">
        <v>232</v>
      </c>
      <c r="S60" s="163"/>
    </row>
    <row r="61" spans="1:19" s="107" customFormat="1" ht="12.2" customHeight="1">
      <c r="A61" s="323" t="s">
        <v>42</v>
      </c>
      <c r="B61" s="437" t="s">
        <v>193</v>
      </c>
      <c r="C61" s="324">
        <v>41600</v>
      </c>
      <c r="D61" s="324">
        <f>DATE(YEAR(C61)+2,MONTH(C61),DAY(C61))</f>
        <v>42330</v>
      </c>
      <c r="E61" s="324">
        <v>41848</v>
      </c>
      <c r="F61" s="324">
        <f>DATE(YEAR(E61)+4,MONTH(E61),DAY(E61))</f>
        <v>43309</v>
      </c>
      <c r="G61" s="324">
        <v>42333</v>
      </c>
      <c r="H61" s="328">
        <v>238500</v>
      </c>
      <c r="I61" s="326"/>
      <c r="J61" s="326"/>
      <c r="K61" s="327"/>
      <c r="L61" s="324"/>
      <c r="M61" s="328">
        <f>SUM(M62:M64)</f>
        <v>238500</v>
      </c>
      <c r="N61" s="329"/>
      <c r="O61" s="423"/>
      <c r="P61" s="331">
        <f>SUM(P62:P64)</f>
        <v>0</v>
      </c>
      <c r="Q61" s="331">
        <f>SUM(Q62:Q64)</f>
        <v>0</v>
      </c>
      <c r="R61" s="331"/>
      <c r="S61" s="163">
        <f>H61-(M61+P61+Q61)</f>
        <v>0</v>
      </c>
    </row>
    <row r="62" spans="1:19" s="26" customFormat="1" ht="12.2" customHeight="1" outlineLevel="1">
      <c r="A62" s="332" t="s">
        <v>42</v>
      </c>
      <c r="B62" s="432"/>
      <c r="C62" s="410" t="s">
        <v>212</v>
      </c>
      <c r="D62" s="345"/>
      <c r="E62" s="410" t="s">
        <v>212</v>
      </c>
      <c r="F62" s="345"/>
      <c r="G62" s="345"/>
      <c r="H62" s="438"/>
      <c r="I62" s="970">
        <f>J62/$H$61</f>
        <v>0.52422373165618452</v>
      </c>
      <c r="J62" s="347">
        <v>125027.36</v>
      </c>
      <c r="K62" s="348">
        <v>1</v>
      </c>
      <c r="L62" s="345">
        <v>41869</v>
      </c>
      <c r="M62" s="349">
        <v>125027.36</v>
      </c>
      <c r="N62" s="350">
        <v>41925</v>
      </c>
      <c r="O62" s="408">
        <f>IF(N62="",$Q$2-L62,N62-L62)</f>
        <v>56</v>
      </c>
      <c r="P62" s="352" t="str">
        <f>IF(M62="en attente",J62,"")</f>
        <v/>
      </c>
      <c r="Q62" s="352">
        <f t="shared" si="7"/>
        <v>0</v>
      </c>
      <c r="R62" s="455"/>
      <c r="S62" s="163"/>
    </row>
    <row r="63" spans="1:19" s="26" customFormat="1" ht="12.2" customHeight="1" outlineLevel="1">
      <c r="A63" s="332" t="s">
        <v>42</v>
      </c>
      <c r="B63" s="432"/>
      <c r="C63" s="345"/>
      <c r="D63" s="345"/>
      <c r="E63" s="345"/>
      <c r="F63" s="345"/>
      <c r="G63" s="345"/>
      <c r="H63" s="438"/>
      <c r="I63" s="970">
        <f>J63/$H$61+I62</f>
        <v>0.8</v>
      </c>
      <c r="J63" s="347">
        <v>65772.639999999999</v>
      </c>
      <c r="K63" s="348">
        <v>2</v>
      </c>
      <c r="L63" s="345">
        <v>42264</v>
      </c>
      <c r="M63" s="349">
        <v>65772.639999999999</v>
      </c>
      <c r="N63" s="350">
        <v>42325</v>
      </c>
      <c r="O63" s="408"/>
      <c r="P63" s="352" t="str">
        <f>IF(M63="en attente",J63,"")</f>
        <v/>
      </c>
      <c r="Q63" s="352">
        <f t="shared" si="7"/>
        <v>0</v>
      </c>
      <c r="R63" s="352"/>
      <c r="S63" s="163"/>
    </row>
    <row r="64" spans="1:19" s="26" customFormat="1" ht="12.2" customHeight="1" outlineLevel="1">
      <c r="A64" s="354" t="s">
        <v>42</v>
      </c>
      <c r="B64" s="439"/>
      <c r="C64" s="356"/>
      <c r="D64" s="356"/>
      <c r="E64" s="356"/>
      <c r="F64" s="356"/>
      <c r="G64" s="356"/>
      <c r="H64" s="438"/>
      <c r="I64" s="971">
        <f>J64/$H$61+I63</f>
        <v>1</v>
      </c>
      <c r="J64" s="357">
        <f>H61-SUM(J62:J63)</f>
        <v>47700</v>
      </c>
      <c r="K64" s="358">
        <v>3</v>
      </c>
      <c r="L64" s="356">
        <v>42898</v>
      </c>
      <c r="M64" s="359">
        <v>47700</v>
      </c>
      <c r="N64" s="360">
        <v>42940</v>
      </c>
      <c r="O64" s="427"/>
      <c r="P64" s="362" t="str">
        <f>IF(M64="en attente",J64,"")</f>
        <v/>
      </c>
      <c r="Q64" s="352">
        <f t="shared" si="7"/>
        <v>0</v>
      </c>
      <c r="R64" s="362"/>
      <c r="S64" s="163"/>
    </row>
    <row r="65" spans="1:19" s="107" customFormat="1" ht="12.2" customHeight="1">
      <c r="A65" s="400" t="s">
        <v>50</v>
      </c>
      <c r="B65" s="431" t="s">
        <v>192</v>
      </c>
      <c r="C65" s="412">
        <v>41570</v>
      </c>
      <c r="D65" s="324">
        <f>DATE(YEAR(C65)+2,MONTH(C65),DAY(C65))</f>
        <v>42300</v>
      </c>
      <c r="E65" s="412">
        <v>41900</v>
      </c>
      <c r="F65" s="412">
        <f>DATE(YEAR(E65)+4,MONTH(E65),DAY(E65))</f>
        <v>43361</v>
      </c>
      <c r="G65" s="412">
        <v>42576</v>
      </c>
      <c r="H65" s="405">
        <v>180000</v>
      </c>
      <c r="I65" s="402"/>
      <c r="J65" s="402"/>
      <c r="K65" s="413"/>
      <c r="L65" s="412"/>
      <c r="M65" s="405">
        <f>SUM(M66:M69)</f>
        <v>180000</v>
      </c>
      <c r="N65" s="418"/>
      <c r="O65" s="428"/>
      <c r="P65" s="414">
        <f>SUM(P66)</f>
        <v>0</v>
      </c>
      <c r="Q65" s="415">
        <f>SUM(Q66:Q69)</f>
        <v>0</v>
      </c>
      <c r="R65" s="414"/>
      <c r="S65" s="163">
        <f>H65-(M65+P65+Q65)</f>
        <v>0</v>
      </c>
    </row>
    <row r="66" spans="1:19" s="26" customFormat="1" outlineLevel="1">
      <c r="A66" s="332" t="s">
        <v>50</v>
      </c>
      <c r="B66" s="432"/>
      <c r="C66" s="410" t="s">
        <v>212</v>
      </c>
      <c r="D66" s="345"/>
      <c r="E66" s="410" t="s">
        <v>212</v>
      </c>
      <c r="F66" s="345"/>
      <c r="G66" s="345"/>
      <c r="H66" s="438"/>
      <c r="I66" s="972">
        <v>0.35120000000000001</v>
      </c>
      <c r="J66" s="347">
        <v>63214</v>
      </c>
      <c r="K66" s="348">
        <v>1</v>
      </c>
      <c r="L66" s="345">
        <v>42376</v>
      </c>
      <c r="M66" s="349">
        <v>63214</v>
      </c>
      <c r="N66" s="350">
        <v>42433</v>
      </c>
      <c r="O66" s="408"/>
      <c r="P66" s="352" t="str">
        <f>IF(M66="en attente",J66,"")</f>
        <v/>
      </c>
      <c r="Q66" s="352">
        <f t="shared" si="7"/>
        <v>0</v>
      </c>
      <c r="R66" s="455"/>
      <c r="S66" s="163"/>
    </row>
    <row r="67" spans="1:19" s="26" customFormat="1" ht="12.2" customHeight="1" outlineLevel="1">
      <c r="A67" s="332" t="s">
        <v>50</v>
      </c>
      <c r="B67" s="432"/>
      <c r="C67" s="345"/>
      <c r="D67" s="345"/>
      <c r="E67" s="345"/>
      <c r="F67" s="345"/>
      <c r="G67" s="345"/>
      <c r="H67" s="438"/>
      <c r="I67" s="972">
        <v>0.56940000000000002</v>
      </c>
      <c r="J67" s="347">
        <v>39277.519999999997</v>
      </c>
      <c r="K67" s="348">
        <v>2</v>
      </c>
      <c r="L67" s="345">
        <v>42528</v>
      </c>
      <c r="M67" s="349">
        <v>39277.519999999997</v>
      </c>
      <c r="N67" s="350">
        <v>42562</v>
      </c>
      <c r="O67" s="408"/>
      <c r="P67" s="352" t="str">
        <f>IF(M67="en attente",J67,"")</f>
        <v/>
      </c>
      <c r="Q67" s="352">
        <f t="shared" si="7"/>
        <v>0</v>
      </c>
      <c r="R67" s="455"/>
      <c r="S67" s="163"/>
    </row>
    <row r="68" spans="1:19" s="26" customFormat="1" ht="12.2" customHeight="1" outlineLevel="1">
      <c r="A68" s="332" t="s">
        <v>50</v>
      </c>
      <c r="B68" s="432"/>
      <c r="C68" s="345"/>
      <c r="D68" s="345"/>
      <c r="E68" s="345"/>
      <c r="F68" s="345"/>
      <c r="G68" s="345"/>
      <c r="H68" s="438"/>
      <c r="I68" s="970">
        <v>0.8</v>
      </c>
      <c r="J68" s="347">
        <f>(H65*I68)-(J66+J67)</f>
        <v>41508.48000000001</v>
      </c>
      <c r="K68" s="1033">
        <v>3</v>
      </c>
      <c r="L68" s="1035">
        <v>42900</v>
      </c>
      <c r="M68" s="1036">
        <v>77508.479999999996</v>
      </c>
      <c r="N68" s="1035">
        <v>42940</v>
      </c>
      <c r="O68" s="408"/>
      <c r="P68" s="1038"/>
      <c r="Q68" s="352">
        <f t="shared" si="7"/>
        <v>0</v>
      </c>
      <c r="R68" s="352"/>
      <c r="S68" s="163"/>
    </row>
    <row r="69" spans="1:19" s="26" customFormat="1" ht="12.2" customHeight="1" outlineLevel="1">
      <c r="A69" s="332" t="s">
        <v>50</v>
      </c>
      <c r="B69" s="432"/>
      <c r="C69" s="345"/>
      <c r="D69" s="345"/>
      <c r="E69" s="345"/>
      <c r="F69" s="345"/>
      <c r="G69" s="345"/>
      <c r="H69" s="438"/>
      <c r="I69" s="970">
        <f>J69/$H$65+I68</f>
        <v>1</v>
      </c>
      <c r="J69" s="347">
        <f>H65-(J66+J67+J68)</f>
        <v>36000</v>
      </c>
      <c r="K69" s="1034"/>
      <c r="L69" s="1034"/>
      <c r="M69" s="1037"/>
      <c r="N69" s="1034"/>
      <c r="O69" s="408"/>
      <c r="P69" s="1039"/>
      <c r="Q69" s="352">
        <f>P68</f>
        <v>0</v>
      </c>
      <c r="R69" s="352"/>
      <c r="S69" s="163"/>
    </row>
    <row r="70" spans="1:19" s="183" customFormat="1" ht="12.2" customHeight="1">
      <c r="A70" s="323" t="s">
        <v>51</v>
      </c>
      <c r="B70" s="437" t="s">
        <v>191</v>
      </c>
      <c r="C70" s="324">
        <v>41544</v>
      </c>
      <c r="D70" s="324">
        <f>DATE(YEAR(C70)+2,MONTH(C70),DAY(C70))</f>
        <v>42274</v>
      </c>
      <c r="E70" s="324">
        <v>41801</v>
      </c>
      <c r="F70" s="324">
        <f>DATE(YEAR(E70)+4,MONTH(E70),DAY(E70))</f>
        <v>43262</v>
      </c>
      <c r="G70" s="329">
        <v>42726</v>
      </c>
      <c r="H70" s="328">
        <v>1303101.69</v>
      </c>
      <c r="I70" s="326"/>
      <c r="J70" s="326"/>
      <c r="K70" s="327"/>
      <c r="L70" s="324"/>
      <c r="M70" s="328">
        <f>SUM(M71:M76)</f>
        <v>1303101.6900000002</v>
      </c>
      <c r="N70" s="329"/>
      <c r="O70" s="423"/>
      <c r="P70" s="331">
        <f>SUM(P71:P76)</f>
        <v>0</v>
      </c>
      <c r="Q70" s="331">
        <f>SUM(Q71:Q76)</f>
        <v>0</v>
      </c>
      <c r="R70" s="331"/>
      <c r="S70" s="164">
        <f>H70-(M70+P70+Q70)</f>
        <v>0</v>
      </c>
    </row>
    <row r="71" spans="1:19" s="26" customFormat="1" ht="12.2" customHeight="1" outlineLevel="1">
      <c r="A71" s="332" t="s">
        <v>51</v>
      </c>
      <c r="B71" s="432"/>
      <c r="C71" s="410" t="s">
        <v>212</v>
      </c>
      <c r="D71" s="345"/>
      <c r="E71" s="410" t="s">
        <v>212</v>
      </c>
      <c r="F71" s="345"/>
      <c r="G71" s="345"/>
      <c r="H71" s="438"/>
      <c r="I71" s="970">
        <f>J71/$H$70</f>
        <v>0.47003906502492526</v>
      </c>
      <c r="J71" s="347">
        <v>612508.69999999995</v>
      </c>
      <c r="K71" s="348">
        <v>1</v>
      </c>
      <c r="L71" s="345">
        <v>42226</v>
      </c>
      <c r="M71" s="349">
        <v>612508.69999999995</v>
      </c>
      <c r="N71" s="350">
        <v>42307</v>
      </c>
      <c r="O71" s="408"/>
      <c r="P71" s="352" t="str">
        <f t="shared" ref="P71:P76" si="9">IF(M71="en attente",J71,"")</f>
        <v/>
      </c>
      <c r="Q71" s="352">
        <f t="shared" si="7"/>
        <v>0</v>
      </c>
      <c r="R71" s="352"/>
      <c r="S71" s="163"/>
    </row>
    <row r="72" spans="1:19" s="26" customFormat="1" ht="12.2" customHeight="1" outlineLevel="1">
      <c r="A72" s="332" t="s">
        <v>51</v>
      </c>
      <c r="B72" s="432"/>
      <c r="C72" s="345"/>
      <c r="D72" s="345"/>
      <c r="E72" s="345"/>
      <c r="F72" s="726"/>
      <c r="G72" s="345"/>
      <c r="H72" s="438"/>
      <c r="I72" s="972">
        <v>0.57240000000000002</v>
      </c>
      <c r="J72" s="347">
        <v>133340.79999999999</v>
      </c>
      <c r="K72" s="348">
        <v>2</v>
      </c>
      <c r="L72" s="345">
        <v>42409</v>
      </c>
      <c r="M72" s="349">
        <v>133340.79999999999</v>
      </c>
      <c r="N72" s="350">
        <v>42488</v>
      </c>
      <c r="O72" s="408"/>
      <c r="P72" s="352" t="str">
        <f t="shared" si="9"/>
        <v/>
      </c>
      <c r="Q72" s="352">
        <f t="shared" si="7"/>
        <v>0</v>
      </c>
      <c r="R72" s="352"/>
      <c r="S72" s="163"/>
    </row>
    <row r="73" spans="1:19" s="26" customFormat="1" ht="12.2" customHeight="1" outlineLevel="1">
      <c r="A73" s="332" t="s">
        <v>51</v>
      </c>
      <c r="B73" s="432"/>
      <c r="C73" s="345"/>
      <c r="D73" s="345"/>
      <c r="E73" s="345"/>
      <c r="F73" s="345"/>
      <c r="G73" s="345"/>
      <c r="H73" s="438"/>
      <c r="I73" s="972">
        <v>0.68020000000000003</v>
      </c>
      <c r="J73" s="347">
        <v>140471.13</v>
      </c>
      <c r="K73" s="348">
        <v>3</v>
      </c>
      <c r="L73" s="345">
        <v>42544</v>
      </c>
      <c r="M73" s="349">
        <v>140471.13</v>
      </c>
      <c r="N73" s="350">
        <v>42578</v>
      </c>
      <c r="O73" s="408"/>
      <c r="P73" s="352" t="str">
        <f t="shared" si="9"/>
        <v/>
      </c>
      <c r="Q73" s="352">
        <f t="shared" si="7"/>
        <v>0</v>
      </c>
      <c r="R73" s="352"/>
      <c r="S73" s="163"/>
    </row>
    <row r="74" spans="1:19" s="26" customFormat="1" ht="12.2" customHeight="1" outlineLevel="1">
      <c r="A74" s="332" t="s">
        <v>51</v>
      </c>
      <c r="B74" s="432"/>
      <c r="C74" s="345"/>
      <c r="D74" s="345"/>
      <c r="E74" s="345"/>
      <c r="F74" s="345"/>
      <c r="G74" s="345"/>
      <c r="H74" s="438"/>
      <c r="I74" s="972">
        <v>0.76839999999999997</v>
      </c>
      <c r="J74" s="347">
        <v>114954.43</v>
      </c>
      <c r="K74" s="348">
        <v>4</v>
      </c>
      <c r="L74" s="345">
        <v>42635</v>
      </c>
      <c r="M74" s="349">
        <v>114954.43</v>
      </c>
      <c r="N74" s="350">
        <v>42667</v>
      </c>
      <c r="O74" s="408"/>
      <c r="P74" s="352" t="str">
        <f t="shared" si="9"/>
        <v/>
      </c>
      <c r="Q74" s="352">
        <f t="shared" si="7"/>
        <v>0</v>
      </c>
      <c r="R74" s="352"/>
      <c r="S74" s="163"/>
    </row>
    <row r="75" spans="1:19" s="26" customFormat="1" ht="12.2" customHeight="1" outlineLevel="1">
      <c r="A75" s="332" t="s">
        <v>51</v>
      </c>
      <c r="B75" s="432"/>
      <c r="C75" s="345"/>
      <c r="D75" s="345"/>
      <c r="E75" s="345"/>
      <c r="F75" s="345"/>
      <c r="G75" s="345"/>
      <c r="H75" s="438"/>
      <c r="I75" s="973">
        <v>0.8</v>
      </c>
      <c r="J75" s="347">
        <f>H70*80%-(J71+J72+J73+J74)</f>
        <v>41206.291999999899</v>
      </c>
      <c r="K75" s="348">
        <v>5</v>
      </c>
      <c r="L75" s="345">
        <v>42678</v>
      </c>
      <c r="M75" s="703">
        <v>41206.29</v>
      </c>
      <c r="N75" s="350">
        <v>42752</v>
      </c>
      <c r="O75" s="408"/>
      <c r="P75" s="352" t="str">
        <f t="shared" si="9"/>
        <v/>
      </c>
      <c r="Q75" s="352">
        <f t="shared" si="7"/>
        <v>0</v>
      </c>
      <c r="R75" s="352"/>
      <c r="S75" s="163"/>
    </row>
    <row r="76" spans="1:19" s="26" customFormat="1" ht="12.2" customHeight="1" outlineLevel="1">
      <c r="A76" s="354" t="s">
        <v>51</v>
      </c>
      <c r="B76" s="439"/>
      <c r="C76" s="356"/>
      <c r="D76" s="356"/>
      <c r="E76" s="356"/>
      <c r="F76" s="356"/>
      <c r="G76" s="356"/>
      <c r="H76" s="438"/>
      <c r="I76" s="971">
        <f>J76/$H$70+I75</f>
        <v>1</v>
      </c>
      <c r="J76" s="347">
        <f>H70-(J71+J72+J73+J74+J75)</f>
        <v>260620.33799999999</v>
      </c>
      <c r="K76" s="358">
        <v>6</v>
      </c>
      <c r="L76" s="356">
        <v>43251</v>
      </c>
      <c r="M76" s="359">
        <v>260620.34</v>
      </c>
      <c r="N76" s="360">
        <v>43412</v>
      </c>
      <c r="O76" s="427"/>
      <c r="P76" s="362" t="str">
        <f t="shared" si="9"/>
        <v/>
      </c>
      <c r="Q76" s="362">
        <f t="shared" si="7"/>
        <v>0</v>
      </c>
      <c r="R76" s="362"/>
      <c r="S76" s="163"/>
    </row>
    <row r="77" spans="1:19" s="107" customFormat="1" ht="12.2" customHeight="1">
      <c r="A77" s="323" t="s">
        <v>56</v>
      </c>
      <c r="B77" s="437" t="s">
        <v>189</v>
      </c>
      <c r="C77" s="324">
        <v>41612</v>
      </c>
      <c r="D77" s="324">
        <f>DATE(YEAR(C77)+2,MONTH(C77),DAY(C77))</f>
        <v>42342</v>
      </c>
      <c r="E77" s="324">
        <v>42339</v>
      </c>
      <c r="F77" s="324">
        <f>DATE(YEAR(E77)+4,MONTH(E77),DAY(E77))</f>
        <v>43800</v>
      </c>
      <c r="G77" s="324">
        <v>42865</v>
      </c>
      <c r="H77" s="328">
        <v>300000</v>
      </c>
      <c r="I77" s="326"/>
      <c r="J77" s="326"/>
      <c r="K77" s="327"/>
      <c r="L77" s="324"/>
      <c r="M77" s="328">
        <f>SUM(M78:M82)</f>
        <v>299999.90000000002</v>
      </c>
      <c r="N77" s="329"/>
      <c r="O77" s="423"/>
      <c r="P77" s="331">
        <f>SUM(P78:P82)</f>
        <v>0</v>
      </c>
      <c r="Q77" s="331">
        <f>SUM(Q78:Q82)</f>
        <v>0</v>
      </c>
      <c r="R77" s="159"/>
      <c r="S77" s="163">
        <f>H77-(M77+P77+Q77)</f>
        <v>9.9999999976716936E-2</v>
      </c>
    </row>
    <row r="78" spans="1:19" s="26" customFormat="1" ht="12.2" customHeight="1" outlineLevel="1">
      <c r="A78" s="332" t="s">
        <v>56</v>
      </c>
      <c r="B78" s="432"/>
      <c r="C78" s="410" t="s">
        <v>212</v>
      </c>
      <c r="D78" s="410" t="s">
        <v>214</v>
      </c>
      <c r="E78" s="345"/>
      <c r="F78" s="345"/>
      <c r="G78" s="345"/>
      <c r="H78" s="438"/>
      <c r="I78" s="972">
        <v>0.4415</v>
      </c>
      <c r="J78" s="347">
        <v>132435.64000000001</v>
      </c>
      <c r="K78" s="348">
        <v>1</v>
      </c>
      <c r="L78" s="345">
        <v>42355</v>
      </c>
      <c r="M78" s="349">
        <v>133435.64000000001</v>
      </c>
      <c r="N78" s="350">
        <v>42481</v>
      </c>
      <c r="O78" s="408"/>
      <c r="P78" s="414" t="str">
        <f>IF(M78="en attente",J78,"")</f>
        <v/>
      </c>
      <c r="Q78" s="352">
        <f>IF(L78="",J78-M78,0)</f>
        <v>0</v>
      </c>
      <c r="R78" s="81" t="s">
        <v>233</v>
      </c>
      <c r="S78" s="163"/>
    </row>
    <row r="79" spans="1:19" s="26" customFormat="1" ht="12.2" customHeight="1" outlineLevel="1">
      <c r="A79" s="332" t="s">
        <v>56</v>
      </c>
      <c r="B79" s="432"/>
      <c r="C79" s="345"/>
      <c r="D79" s="345"/>
      <c r="E79" s="345"/>
      <c r="F79" s="345"/>
      <c r="G79" s="345"/>
      <c r="H79" s="438"/>
      <c r="I79" s="972">
        <v>0.52359999999999995</v>
      </c>
      <c r="J79" s="347">
        <f>24650.71</f>
        <v>24650.71</v>
      </c>
      <c r="K79" s="348">
        <v>2</v>
      </c>
      <c r="L79" s="345">
        <v>42513</v>
      </c>
      <c r="M79" s="349">
        <v>23650.71</v>
      </c>
      <c r="N79" s="350">
        <v>42562</v>
      </c>
      <c r="O79" s="408"/>
      <c r="P79" s="414" t="str">
        <f>IF(M79="en attente",J79,"")</f>
        <v/>
      </c>
      <c r="Q79" s="352">
        <f>IF(L79="",J79-M79,0)</f>
        <v>0</v>
      </c>
      <c r="R79" s="81" t="s">
        <v>270</v>
      </c>
      <c r="S79" s="163"/>
    </row>
    <row r="80" spans="1:19" s="26" customFormat="1" ht="12.2" customHeight="1" outlineLevel="1">
      <c r="A80" s="332" t="s">
        <v>56</v>
      </c>
      <c r="B80" s="432"/>
      <c r="C80" s="345"/>
      <c r="D80" s="345"/>
      <c r="E80" s="345"/>
      <c r="F80" s="345"/>
      <c r="G80" s="345"/>
      <c r="H80" s="438"/>
      <c r="I80" s="972">
        <v>0.69289999999999996</v>
      </c>
      <c r="J80" s="347">
        <v>50793.72</v>
      </c>
      <c r="K80" s="348">
        <v>3</v>
      </c>
      <c r="L80" s="345">
        <v>42761</v>
      </c>
      <c r="M80" s="349">
        <v>50793.72</v>
      </c>
      <c r="N80" s="350">
        <v>42795</v>
      </c>
      <c r="O80" s="408"/>
      <c r="P80" s="414" t="str">
        <f>IF(M80="en attente",J80,"")</f>
        <v/>
      </c>
      <c r="Q80" s="352">
        <f>IF(L80="",J80-M80,0)</f>
        <v>0</v>
      </c>
      <c r="R80" s="81"/>
      <c r="S80" s="163"/>
    </row>
    <row r="81" spans="1:19" s="26" customFormat="1" ht="12.2" customHeight="1" outlineLevel="1">
      <c r="A81" s="332" t="s">
        <v>56</v>
      </c>
      <c r="B81" s="432"/>
      <c r="C81" s="345"/>
      <c r="D81" s="345"/>
      <c r="E81" s="345"/>
      <c r="F81" s="345"/>
      <c r="G81" s="345"/>
      <c r="H81" s="438"/>
      <c r="I81" s="970">
        <v>0.8</v>
      </c>
      <c r="J81" s="347">
        <f>H77*I81-(J78+J79+J80)</f>
        <v>32119.929999999993</v>
      </c>
      <c r="K81" s="348">
        <v>4</v>
      </c>
      <c r="L81" s="345">
        <v>42817</v>
      </c>
      <c r="M81" s="349">
        <v>32119.83</v>
      </c>
      <c r="N81" s="350">
        <v>42843</v>
      </c>
      <c r="O81" s="408"/>
      <c r="P81" s="414" t="str">
        <f>IF(M81="en attente",J81,"")</f>
        <v/>
      </c>
      <c r="Q81" s="352">
        <f>IF(L81="",J81-M81,0)</f>
        <v>0</v>
      </c>
      <c r="R81" s="81"/>
      <c r="S81" s="163"/>
    </row>
    <row r="82" spans="1:19" s="26" customFormat="1" ht="12.2" customHeight="1" outlineLevel="1">
      <c r="A82" s="354" t="s">
        <v>56</v>
      </c>
      <c r="B82" s="439"/>
      <c r="C82" s="356"/>
      <c r="D82" s="356"/>
      <c r="E82" s="356"/>
      <c r="F82" s="356"/>
      <c r="G82" s="356"/>
      <c r="H82" s="438"/>
      <c r="I82" s="971">
        <v>1</v>
      </c>
      <c r="J82" s="357">
        <v>60000.1</v>
      </c>
      <c r="K82" s="358">
        <v>5</v>
      </c>
      <c r="L82" s="356">
        <v>43439</v>
      </c>
      <c r="M82" s="359">
        <v>60000</v>
      </c>
      <c r="N82" s="360">
        <v>43455</v>
      </c>
      <c r="O82" s="427"/>
      <c r="P82" s="414" t="str">
        <f>IF(M82="en attente",J82,"")</f>
        <v/>
      </c>
      <c r="Q82" s="362">
        <f>IF(L82="",J82-M82,0)</f>
        <v>0</v>
      </c>
      <c r="R82" s="157"/>
      <c r="S82" s="163"/>
    </row>
    <row r="83" spans="1:19" s="107" customFormat="1" ht="12.2" customHeight="1">
      <c r="A83" s="323" t="s">
        <v>37</v>
      </c>
      <c r="B83" s="437" t="s">
        <v>211</v>
      </c>
      <c r="C83" s="324">
        <v>41841</v>
      </c>
      <c r="D83" s="324">
        <f>DATE(YEAR(C83)+3,MONTH(C83),DAY(C83))</f>
        <v>42937</v>
      </c>
      <c r="E83" s="324">
        <v>42933</v>
      </c>
      <c r="F83" s="731" t="s">
        <v>310</v>
      </c>
      <c r="G83" s="324"/>
      <c r="H83" s="328">
        <v>315000</v>
      </c>
      <c r="I83" s="326"/>
      <c r="J83" s="326"/>
      <c r="K83" s="327"/>
      <c r="L83" s="324"/>
      <c r="M83" s="328">
        <f>SUM(M84:M85)</f>
        <v>314717.28000000003</v>
      </c>
      <c r="N83" s="329"/>
      <c r="O83" s="423"/>
      <c r="P83" s="331">
        <f>SUM(P85)</f>
        <v>0</v>
      </c>
      <c r="Q83" s="331">
        <f>SUM(Q84:Q85)</f>
        <v>0</v>
      </c>
      <c r="R83" s="331"/>
      <c r="S83" s="163">
        <f>H83-(M83+P83+Q83)</f>
        <v>282.71999999997206</v>
      </c>
    </row>
    <row r="84" spans="1:19" s="203" customFormat="1" ht="12.2" customHeight="1" outlineLevel="1">
      <c r="A84" s="332" t="s">
        <v>37</v>
      </c>
      <c r="B84" s="432"/>
      <c r="C84" s="412"/>
      <c r="D84" s="412"/>
      <c r="E84" s="412"/>
      <c r="F84" s="653" t="s">
        <v>311</v>
      </c>
      <c r="G84" s="412"/>
      <c r="H84" s="977"/>
      <c r="I84" s="972">
        <v>0.53259999999999996</v>
      </c>
      <c r="J84" s="347">
        <v>167784.32000000001</v>
      </c>
      <c r="K84" s="348">
        <v>1</v>
      </c>
      <c r="L84" s="345">
        <v>42942</v>
      </c>
      <c r="M84" s="349">
        <v>167784.32000000001</v>
      </c>
      <c r="N84" s="350">
        <v>43006</v>
      </c>
      <c r="O84" s="428"/>
      <c r="P84" s="414" t="str">
        <f>IF(M84="en attente",J84,"")</f>
        <v/>
      </c>
      <c r="Q84" s="352">
        <f>IF(L84="",J84-M84,0)</f>
        <v>0</v>
      </c>
      <c r="R84" s="352" t="s">
        <v>370</v>
      </c>
      <c r="S84" s="165"/>
    </row>
    <row r="85" spans="1:19" s="26" customFormat="1" ht="12.2" customHeight="1" outlineLevel="1">
      <c r="A85" s="332" t="s">
        <v>37</v>
      </c>
      <c r="B85" s="432"/>
      <c r="C85" s="345"/>
      <c r="D85" s="345"/>
      <c r="E85" s="345" t="s">
        <v>278</v>
      </c>
      <c r="F85" s="345"/>
      <c r="G85" s="345"/>
      <c r="H85" s="438"/>
      <c r="I85" s="970">
        <v>0.99909999999999999</v>
      </c>
      <c r="J85" s="347">
        <v>146932.96</v>
      </c>
      <c r="K85" s="348">
        <v>2</v>
      </c>
      <c r="L85" s="345">
        <v>43392</v>
      </c>
      <c r="M85" s="349">
        <v>146932.96</v>
      </c>
      <c r="N85" s="350">
        <v>43424</v>
      </c>
      <c r="O85" s="408"/>
      <c r="P85" s="352" t="str">
        <f>IF(M85="en attente",J85,"")</f>
        <v/>
      </c>
      <c r="Q85" s="352">
        <f>IF(L85="",J85-M85,0)</f>
        <v>0</v>
      </c>
      <c r="R85" s="352"/>
      <c r="S85" s="163"/>
    </row>
    <row r="86" spans="1:19" s="107" customFormat="1" ht="12.2" customHeight="1">
      <c r="A86" s="119" t="s">
        <v>55</v>
      </c>
      <c r="B86" s="307" t="s">
        <v>190</v>
      </c>
      <c r="C86" s="158">
        <v>41544</v>
      </c>
      <c r="D86" s="158">
        <f>DATE(YEAR(C86)+2,MONTH(C86),DAY(C86))</f>
        <v>42274</v>
      </c>
      <c r="E86" s="158">
        <v>41729</v>
      </c>
      <c r="F86" s="158">
        <f>DATE(YEAR(E86)+4,MONTH(E86),DAY(E86))</f>
        <v>43190</v>
      </c>
      <c r="G86" s="158">
        <v>43131</v>
      </c>
      <c r="H86" s="126">
        <v>680000</v>
      </c>
      <c r="I86" s="123"/>
      <c r="J86" s="123"/>
      <c r="K86" s="138"/>
      <c r="L86" s="158"/>
      <c r="M86" s="126">
        <f>SUM(M87:M89)</f>
        <v>543734.56000000006</v>
      </c>
      <c r="N86" s="151"/>
      <c r="O86" s="152"/>
      <c r="P86" s="159">
        <f>SUM(P87:P89)</f>
        <v>136265.43999999994</v>
      </c>
      <c r="Q86" s="159">
        <f>SUM(Q87:Q89)</f>
        <v>0</v>
      </c>
      <c r="R86" s="159"/>
      <c r="S86" s="163">
        <f>H86-(M86+P86+Q86)</f>
        <v>0</v>
      </c>
    </row>
    <row r="87" spans="1:19" s="26" customFormat="1" ht="12.2" customHeight="1" outlineLevel="1">
      <c r="A87" s="46" t="s">
        <v>55</v>
      </c>
      <c r="B87" s="308"/>
      <c r="C87" s="29" t="s">
        <v>212</v>
      </c>
      <c r="D87" s="15"/>
      <c r="E87" s="29" t="s">
        <v>212</v>
      </c>
      <c r="F87" s="629"/>
      <c r="G87" s="15"/>
      <c r="I87" s="627">
        <f>J87/$H$86</f>
        <v>0.47570761764705882</v>
      </c>
      <c r="J87" s="23">
        <v>323481.18</v>
      </c>
      <c r="K87" s="42">
        <v>1</v>
      </c>
      <c r="L87" s="15">
        <v>41746</v>
      </c>
      <c r="M87" s="24">
        <v>323481.18</v>
      </c>
      <c r="N87" s="30">
        <v>41814</v>
      </c>
      <c r="O87" s="43">
        <f>IF(N87="",$Q$2-L87,N87-L87)</f>
        <v>68</v>
      </c>
      <c r="P87" s="81" t="str">
        <f>IF(M87="en attente",J87,"")</f>
        <v/>
      </c>
      <c r="Q87" s="81">
        <f t="shared" si="7"/>
        <v>0</v>
      </c>
      <c r="R87" s="81"/>
      <c r="S87" s="163"/>
    </row>
    <row r="88" spans="1:19" s="26" customFormat="1" ht="12.2" customHeight="1" outlineLevel="1">
      <c r="A88" s="46" t="s">
        <v>55</v>
      </c>
      <c r="B88" s="308"/>
      <c r="C88" s="15"/>
      <c r="D88" s="15"/>
      <c r="E88" s="15"/>
      <c r="F88" s="15"/>
      <c r="G88" s="15"/>
      <c r="I88" s="651">
        <f>J88/$H$86+I87</f>
        <v>0.79960964705882354</v>
      </c>
      <c r="J88" s="23">
        <v>220253.38</v>
      </c>
      <c r="K88" s="42">
        <v>2</v>
      </c>
      <c r="L88" s="15">
        <v>42264</v>
      </c>
      <c r="M88" s="24">
        <v>220253.38</v>
      </c>
      <c r="N88" s="30">
        <v>42325</v>
      </c>
      <c r="O88" s="43"/>
      <c r="P88" s="81" t="str">
        <f>IF(M88="en attente",J88,"")</f>
        <v/>
      </c>
      <c r="Q88" s="81">
        <f t="shared" si="7"/>
        <v>0</v>
      </c>
      <c r="R88" s="81"/>
      <c r="S88" s="163"/>
    </row>
    <row r="89" spans="1:19" s="26" customFormat="1" ht="12.2" customHeight="1" outlineLevel="1">
      <c r="A89" s="118" t="s">
        <v>55</v>
      </c>
      <c r="B89" s="309"/>
      <c r="C89" s="36"/>
      <c r="D89" s="36"/>
      <c r="E89" s="36"/>
      <c r="F89" s="36"/>
      <c r="G89" s="36"/>
      <c r="I89" s="872">
        <f>J89/$H$86+I88</f>
        <v>0.99999999999999989</v>
      </c>
      <c r="J89" s="35">
        <f>H86-SUM(J87:J88)</f>
        <v>136265.43999999994</v>
      </c>
      <c r="K89" s="44">
        <v>3</v>
      </c>
      <c r="L89" s="36">
        <v>43181</v>
      </c>
      <c r="M89" s="154" t="s">
        <v>281</v>
      </c>
      <c r="N89" s="155"/>
      <c r="O89" s="156"/>
      <c r="P89" s="157">
        <f>IF(M89="en attente",J89,"")</f>
        <v>136265.43999999994</v>
      </c>
      <c r="Q89" s="157">
        <f t="shared" si="7"/>
        <v>0</v>
      </c>
      <c r="R89" s="756" t="s">
        <v>340</v>
      </c>
      <c r="S89" s="163"/>
    </row>
    <row r="90" spans="1:19" s="107" customFormat="1" ht="12.2" customHeight="1">
      <c r="A90" s="129" t="s">
        <v>36</v>
      </c>
      <c r="B90" s="310" t="s">
        <v>188</v>
      </c>
      <c r="C90" s="149">
        <v>41544</v>
      </c>
      <c r="D90" s="149">
        <f>DATE(YEAR(C90)+2,MONTH(C90),DAY(C90))</f>
        <v>42274</v>
      </c>
      <c r="E90" s="149">
        <v>42142</v>
      </c>
      <c r="F90" s="149">
        <f>DATE(YEAR(E90)+4,MONTH(E90),DAY(E90))</f>
        <v>43603</v>
      </c>
      <c r="G90" s="149">
        <v>43075</v>
      </c>
      <c r="H90" s="123">
        <v>2200000</v>
      </c>
      <c r="I90" s="132"/>
      <c r="J90" s="132"/>
      <c r="K90" s="133"/>
      <c r="L90" s="149"/>
      <c r="M90" s="135">
        <f>SUM(M91:M98)</f>
        <v>1623747.5200000003</v>
      </c>
      <c r="N90" s="147"/>
      <c r="O90" s="148"/>
      <c r="P90" s="184">
        <f>SUM(P91:P98)</f>
        <v>576252.48</v>
      </c>
      <c r="Q90" s="150">
        <f>SUM(Q91:Q98)</f>
        <v>0</v>
      </c>
      <c r="R90" s="150"/>
      <c r="S90" s="163">
        <f>H90-(M90+P90+Q90)</f>
        <v>0</v>
      </c>
    </row>
    <row r="91" spans="1:19" s="26" customFormat="1" ht="12.2" customHeight="1" outlineLevel="1">
      <c r="A91" s="46" t="s">
        <v>36</v>
      </c>
      <c r="B91" s="308"/>
      <c r="C91" s="29" t="s">
        <v>212</v>
      </c>
      <c r="D91" s="29"/>
      <c r="E91" s="29" t="s">
        <v>212</v>
      </c>
      <c r="F91" s="15"/>
      <c r="G91" s="15"/>
      <c r="I91" s="651">
        <v>0.50160000000000005</v>
      </c>
      <c r="J91" s="23">
        <v>1125520</v>
      </c>
      <c r="K91" s="42">
        <v>1</v>
      </c>
      <c r="L91" s="15">
        <v>42314</v>
      </c>
      <c r="M91" s="24">
        <v>1125520</v>
      </c>
      <c r="N91" s="30">
        <v>42384</v>
      </c>
      <c r="O91" s="43"/>
      <c r="P91" s="81" t="str">
        <f t="shared" ref="P91:P103" si="10">IF(M91="en attente",J91,"")</f>
        <v/>
      </c>
      <c r="Q91" s="81">
        <f t="shared" si="7"/>
        <v>0</v>
      </c>
      <c r="R91" s="81"/>
      <c r="S91" s="163"/>
    </row>
    <row r="92" spans="1:19" s="26" customFormat="1" ht="12.2" customHeight="1" outlineLevel="1">
      <c r="A92" s="46" t="s">
        <v>36</v>
      </c>
      <c r="B92" s="308"/>
      <c r="C92" s="15"/>
      <c r="D92" s="15"/>
      <c r="E92" s="15"/>
      <c r="F92" s="15"/>
      <c r="G92" s="15"/>
      <c r="I92" s="651">
        <v>0.5655</v>
      </c>
      <c r="J92" s="23">
        <v>118555.58</v>
      </c>
      <c r="K92" s="42">
        <v>2</v>
      </c>
      <c r="L92" s="15">
        <v>42598</v>
      </c>
      <c r="M92" s="24">
        <v>118555.58</v>
      </c>
      <c r="N92" s="30">
        <v>42667</v>
      </c>
      <c r="O92" s="43"/>
      <c r="P92" s="81" t="str">
        <f t="shared" si="10"/>
        <v/>
      </c>
      <c r="Q92" s="81">
        <f t="shared" si="7"/>
        <v>0</v>
      </c>
      <c r="R92" s="81"/>
      <c r="S92" s="163"/>
    </row>
    <row r="93" spans="1:19" s="26" customFormat="1" ht="12.2" customHeight="1" outlineLevel="1">
      <c r="A93" s="46" t="s">
        <v>36</v>
      </c>
      <c r="B93" s="308"/>
      <c r="C93" s="15"/>
      <c r="D93" s="15"/>
      <c r="E93" s="15"/>
      <c r="F93" s="15"/>
      <c r="G93" s="15"/>
      <c r="I93" s="651">
        <v>0.59819999999999995</v>
      </c>
      <c r="J93" s="23">
        <v>71864.31</v>
      </c>
      <c r="K93" s="42">
        <v>3</v>
      </c>
      <c r="L93" s="15">
        <v>42717</v>
      </c>
      <c r="M93" s="24">
        <v>71864.31</v>
      </c>
      <c r="N93" s="30">
        <v>42779</v>
      </c>
      <c r="O93" s="43"/>
      <c r="P93" s="81" t="str">
        <f t="shared" si="10"/>
        <v/>
      </c>
      <c r="Q93" s="81">
        <f t="shared" si="7"/>
        <v>0</v>
      </c>
      <c r="R93" s="81"/>
      <c r="S93" s="163"/>
    </row>
    <row r="94" spans="1:19" s="26" customFormat="1" ht="12.2" customHeight="1" outlineLevel="1">
      <c r="A94" s="46" t="s">
        <v>36</v>
      </c>
      <c r="B94" s="308"/>
      <c r="C94" s="15"/>
      <c r="D94" s="15"/>
      <c r="E94" s="15"/>
      <c r="F94" s="15"/>
      <c r="G94" s="15"/>
      <c r="I94" s="651">
        <v>0.65690000000000004</v>
      </c>
      <c r="J94" s="23">
        <v>129139.31</v>
      </c>
      <c r="K94" s="42">
        <v>4</v>
      </c>
      <c r="L94" s="15">
        <v>42787</v>
      </c>
      <c r="M94" s="24">
        <v>129139.31</v>
      </c>
      <c r="N94" s="30">
        <v>42843</v>
      </c>
      <c r="O94" s="43"/>
      <c r="P94" s="81" t="str">
        <f t="shared" si="10"/>
        <v/>
      </c>
      <c r="Q94" s="81">
        <f t="shared" si="7"/>
        <v>0</v>
      </c>
      <c r="R94" s="81"/>
      <c r="S94" s="163"/>
    </row>
    <row r="95" spans="1:19" s="26" customFormat="1" ht="12.2" customHeight="1" outlineLevel="1">
      <c r="A95" s="46" t="s">
        <v>36</v>
      </c>
      <c r="B95" s="308"/>
      <c r="C95" s="15"/>
      <c r="D95" s="15"/>
      <c r="E95" s="15"/>
      <c r="F95" s="15"/>
      <c r="G95" s="15"/>
      <c r="I95" s="651">
        <v>0.70099999999999996</v>
      </c>
      <c r="J95" s="23">
        <v>97223.02</v>
      </c>
      <c r="K95" s="42">
        <v>5</v>
      </c>
      <c r="L95" s="15">
        <v>42954</v>
      </c>
      <c r="M95" s="24">
        <v>97223.02</v>
      </c>
      <c r="N95" s="30">
        <v>43010</v>
      </c>
      <c r="O95" s="43"/>
      <c r="P95" s="81" t="str">
        <f t="shared" si="10"/>
        <v/>
      </c>
      <c r="Q95" s="81">
        <f t="shared" si="7"/>
        <v>0</v>
      </c>
      <c r="R95" s="81"/>
      <c r="S95" s="163"/>
    </row>
    <row r="96" spans="1:19" s="26" customFormat="1" ht="12.2" customHeight="1" outlineLevel="1">
      <c r="A96" s="46" t="s">
        <v>36</v>
      </c>
      <c r="B96" s="308"/>
      <c r="C96" s="15"/>
      <c r="D96" s="15"/>
      <c r="E96" s="15"/>
      <c r="F96" s="15"/>
      <c r="G96" s="15"/>
      <c r="I96" s="651">
        <v>0.73809999999999998</v>
      </c>
      <c r="J96" s="23">
        <v>81445.3</v>
      </c>
      <c r="K96" s="42">
        <v>6</v>
      </c>
      <c r="L96" s="15">
        <v>43067</v>
      </c>
      <c r="M96" s="24">
        <v>81445.3</v>
      </c>
      <c r="N96" s="30">
        <v>43119</v>
      </c>
      <c r="O96" s="43"/>
      <c r="P96" s="81" t="str">
        <f t="shared" si="10"/>
        <v/>
      </c>
      <c r="Q96" s="81">
        <f t="shared" si="7"/>
        <v>0</v>
      </c>
      <c r="R96" s="81"/>
      <c r="S96" s="163"/>
    </row>
    <row r="97" spans="1:19" s="26" customFormat="1" ht="12.2" customHeight="1" outlineLevel="1">
      <c r="A97" s="46" t="s">
        <v>36</v>
      </c>
      <c r="B97" s="308"/>
      <c r="C97" s="15"/>
      <c r="D97" s="15"/>
      <c r="E97" s="15"/>
      <c r="F97" s="15"/>
      <c r="G97" s="15"/>
      <c r="I97" s="651">
        <v>0.8</v>
      </c>
      <c r="J97" s="23">
        <f>H90*I97-J91-J92-J93-J94-J95-J96</f>
        <v>136252.47999999998</v>
      </c>
      <c r="K97" s="1040">
        <v>7</v>
      </c>
      <c r="L97" s="1042">
        <v>43556</v>
      </c>
      <c r="M97" s="867" t="s">
        <v>281</v>
      </c>
      <c r="N97" s="30"/>
      <c r="O97" s="43"/>
      <c r="P97" s="81">
        <f t="shared" si="10"/>
        <v>136252.47999999998</v>
      </c>
      <c r="Q97" s="81">
        <f t="shared" si="7"/>
        <v>0</v>
      </c>
      <c r="R97" s="81"/>
      <c r="S97" s="163"/>
    </row>
    <row r="98" spans="1:19" s="26" customFormat="1" ht="12.2" customHeight="1" outlineLevel="1">
      <c r="A98" s="46" t="s">
        <v>36</v>
      </c>
      <c r="B98" s="308"/>
      <c r="C98" s="15"/>
      <c r="D98" s="15"/>
      <c r="E98" s="15"/>
      <c r="F98" s="15"/>
      <c r="G98" s="15"/>
      <c r="I98" s="627">
        <v>1</v>
      </c>
      <c r="J98" s="23">
        <f>H90-J91-J92-J93-J94-J95-J97-J96</f>
        <v>440000.00000000006</v>
      </c>
      <c r="K98" s="1041"/>
      <c r="L98" s="1043"/>
      <c r="M98" s="868" t="s">
        <v>281</v>
      </c>
      <c r="N98" s="30"/>
      <c r="O98" s="43"/>
      <c r="P98" s="81">
        <f t="shared" si="10"/>
        <v>440000.00000000006</v>
      </c>
      <c r="Q98" s="81"/>
      <c r="R98" s="81"/>
      <c r="S98" s="163"/>
    </row>
    <row r="99" spans="1:19" s="107" customFormat="1" ht="12.2" customHeight="1">
      <c r="A99" s="119" t="s">
        <v>61</v>
      </c>
      <c r="B99" s="307" t="s">
        <v>187</v>
      </c>
      <c r="C99" s="158">
        <v>41544</v>
      </c>
      <c r="D99" s="158">
        <f>DATE(YEAR(C99)+2,MONTH(C99),DAY(C99))</f>
        <v>42274</v>
      </c>
      <c r="E99" s="158">
        <v>41876</v>
      </c>
      <c r="F99" s="158">
        <v>44798</v>
      </c>
      <c r="G99" s="158">
        <v>42796</v>
      </c>
      <c r="H99" s="126">
        <v>480000</v>
      </c>
      <c r="I99" s="123"/>
      <c r="J99" s="123"/>
      <c r="K99" s="138"/>
      <c r="L99" s="158"/>
      <c r="M99" s="126">
        <f>SUM(M100:M103)</f>
        <v>384000</v>
      </c>
      <c r="N99" s="151"/>
      <c r="O99" s="152"/>
      <c r="P99" s="159">
        <f>SUM(P100:P103)</f>
        <v>0</v>
      </c>
      <c r="Q99" s="159">
        <f>SUM(Q100:Q103)</f>
        <v>96000</v>
      </c>
      <c r="R99" s="159"/>
      <c r="S99" s="163">
        <f>H99-(M99+P99+Q99)</f>
        <v>0</v>
      </c>
    </row>
    <row r="100" spans="1:19" s="203" customFormat="1" ht="12.2" customHeight="1" outlineLevel="1">
      <c r="A100" s="233" t="s">
        <v>61</v>
      </c>
      <c r="B100" s="311"/>
      <c r="C100" s="381" t="s">
        <v>212</v>
      </c>
      <c r="D100" s="198"/>
      <c r="E100" s="381" t="s">
        <v>212</v>
      </c>
      <c r="F100" s="630" t="s">
        <v>246</v>
      </c>
      <c r="G100" s="198"/>
      <c r="I100" s="974">
        <f>J100/$H$99</f>
        <v>0.47207868749999998</v>
      </c>
      <c r="J100" s="23">
        <v>226597.77</v>
      </c>
      <c r="K100" s="204">
        <v>1</v>
      </c>
      <c r="L100" s="191">
        <v>42264</v>
      </c>
      <c r="M100" s="24">
        <v>226597.77</v>
      </c>
      <c r="N100" s="382">
        <v>42440</v>
      </c>
      <c r="O100" s="201"/>
      <c r="P100" s="205" t="str">
        <f t="shared" si="10"/>
        <v/>
      </c>
      <c r="Q100" s="205">
        <f>IF(L100="",J100-M100,0)</f>
        <v>0</v>
      </c>
      <c r="R100" s="205" t="s">
        <v>229</v>
      </c>
      <c r="S100" s="165"/>
    </row>
    <row r="101" spans="1:19" s="203" customFormat="1" outlineLevel="1">
      <c r="A101" s="233" t="s">
        <v>61</v>
      </c>
      <c r="B101" s="311"/>
      <c r="C101" s="198"/>
      <c r="D101" s="198"/>
      <c r="E101" s="198"/>
      <c r="F101" s="198"/>
      <c r="G101" s="198"/>
      <c r="I101" s="974">
        <v>0.56120000000000003</v>
      </c>
      <c r="J101" s="23">
        <v>42771.26</v>
      </c>
      <c r="K101" s="204">
        <v>2</v>
      </c>
      <c r="L101" s="191">
        <v>42513</v>
      </c>
      <c r="M101" s="24">
        <v>42771.26</v>
      </c>
      <c r="N101" s="382">
        <v>42562</v>
      </c>
      <c r="O101" s="201"/>
      <c r="P101" s="205" t="str">
        <f t="shared" si="10"/>
        <v/>
      </c>
      <c r="Q101" s="205">
        <f>IF(L101="",J101-M101,0)</f>
        <v>0</v>
      </c>
      <c r="R101" s="202"/>
      <c r="S101" s="165"/>
    </row>
    <row r="102" spans="1:19" s="203" customFormat="1" ht="12.2" customHeight="1" outlineLevel="1">
      <c r="A102" s="233" t="s">
        <v>61</v>
      </c>
      <c r="B102" s="311"/>
      <c r="C102" s="198"/>
      <c r="D102" s="198"/>
      <c r="E102" s="198"/>
      <c r="F102" s="198"/>
      <c r="G102" s="198"/>
      <c r="I102" s="975">
        <v>0.8</v>
      </c>
      <c r="J102" s="110">
        <f>0.8*H99-J100-J101</f>
        <v>114630.97</v>
      </c>
      <c r="K102" s="204">
        <v>3</v>
      </c>
      <c r="L102" s="191">
        <v>42761</v>
      </c>
      <c r="M102" s="24">
        <v>114630.97</v>
      </c>
      <c r="N102" s="382">
        <v>42795</v>
      </c>
      <c r="O102" s="201"/>
      <c r="P102" s="202" t="str">
        <f t="shared" si="10"/>
        <v/>
      </c>
      <c r="Q102" s="205">
        <f>IF(L102="",J102-M102,0)</f>
        <v>0</v>
      </c>
      <c r="R102" s="202"/>
      <c r="S102" s="165"/>
    </row>
    <row r="103" spans="1:19" s="203" customFormat="1" ht="12.2" customHeight="1" outlineLevel="1">
      <c r="A103" s="233" t="s">
        <v>61</v>
      </c>
      <c r="B103" s="311"/>
      <c r="C103" s="198"/>
      <c r="D103" s="198"/>
      <c r="E103" s="198"/>
      <c r="F103" s="198"/>
      <c r="G103" s="198"/>
      <c r="I103" s="975">
        <v>1</v>
      </c>
      <c r="J103" s="111">
        <f>H99-J100-J101-J102</f>
        <v>96000</v>
      </c>
      <c r="K103" s="204">
        <v>4</v>
      </c>
      <c r="L103" s="198"/>
      <c r="M103" s="199"/>
      <c r="N103" s="200"/>
      <c r="O103" s="201"/>
      <c r="P103" s="202" t="str">
        <f t="shared" si="10"/>
        <v/>
      </c>
      <c r="Q103" s="205">
        <f>IF(L103="",J103-M103,0)</f>
        <v>96000</v>
      </c>
      <c r="R103" s="202"/>
      <c r="S103" s="165"/>
    </row>
    <row r="104" spans="1:19" s="107" customFormat="1" ht="12.2" customHeight="1">
      <c r="A104" s="119" t="s">
        <v>237</v>
      </c>
      <c r="B104" s="307" t="s">
        <v>186</v>
      </c>
      <c r="C104" s="158">
        <v>41620</v>
      </c>
      <c r="D104" s="158">
        <f>DATE(YEAR(C104)+2,MONTH(C104),DAY(C104))</f>
        <v>42350</v>
      </c>
      <c r="E104" s="158"/>
      <c r="F104" s="158">
        <f>DATE(YEAR(E104)+4,MONTH(E104),DAY(E104))</f>
        <v>1461</v>
      </c>
      <c r="G104" s="158"/>
      <c r="H104" s="126">
        <v>149758.60999999999</v>
      </c>
      <c r="I104" s="123"/>
      <c r="J104" s="123"/>
      <c r="K104" s="138"/>
      <c r="L104" s="158"/>
      <c r="M104" s="126">
        <f>SUM(M105:M107)</f>
        <v>0</v>
      </c>
      <c r="N104" s="151"/>
      <c r="O104" s="152"/>
      <c r="P104" s="159">
        <f>SUM(P107)</f>
        <v>0</v>
      </c>
      <c r="Q104" s="159">
        <f>SUM(Q105:Q107)</f>
        <v>149758.60799999998</v>
      </c>
      <c r="R104" s="159"/>
      <c r="S104" s="163">
        <f>H104-(M104+P104+Q104)</f>
        <v>2.0000000076834112E-3</v>
      </c>
    </row>
    <row r="105" spans="1:19" s="203" customFormat="1" ht="12.2" customHeight="1" outlineLevel="1">
      <c r="A105" s="233" t="s">
        <v>237</v>
      </c>
      <c r="B105" s="311"/>
      <c r="C105" s="381" t="s">
        <v>212</v>
      </c>
      <c r="D105" s="381" t="s">
        <v>215</v>
      </c>
      <c r="E105" s="198"/>
      <c r="F105" s="198"/>
      <c r="G105" s="198"/>
      <c r="I105" s="975">
        <f>J105/$H$104</f>
        <v>0.2</v>
      </c>
      <c r="J105" s="110">
        <f>0.2*H104</f>
        <v>29951.721999999998</v>
      </c>
      <c r="K105" s="204">
        <v>1</v>
      </c>
      <c r="L105" s="198"/>
      <c r="M105" s="199"/>
      <c r="N105" s="200"/>
      <c r="O105" s="201"/>
      <c r="P105" s="202" t="str">
        <f>IF(M105="en attente",J105,"")</f>
        <v/>
      </c>
      <c r="Q105" s="205">
        <f t="shared" si="7"/>
        <v>29951.721999999998</v>
      </c>
      <c r="R105" s="202"/>
      <c r="S105" s="165"/>
    </row>
    <row r="106" spans="1:19" s="203" customFormat="1" ht="12.2" customHeight="1" outlineLevel="1">
      <c r="A106" s="233" t="s">
        <v>237</v>
      </c>
      <c r="B106" s="311"/>
      <c r="C106" s="198"/>
      <c r="D106" s="198"/>
      <c r="E106" s="198"/>
      <c r="F106" s="198"/>
      <c r="G106" s="198"/>
      <c r="I106" s="975">
        <f>J106/$H$104+I105</f>
        <v>0.8</v>
      </c>
      <c r="J106" s="110">
        <f>0.6*H104</f>
        <v>89855.165999999983</v>
      </c>
      <c r="K106" s="204">
        <v>2</v>
      </c>
      <c r="L106" s="198"/>
      <c r="M106" s="199"/>
      <c r="N106" s="200"/>
      <c r="O106" s="201"/>
      <c r="P106" s="202" t="str">
        <f>IF(M106="en attente",J106,"")</f>
        <v/>
      </c>
      <c r="Q106" s="205">
        <f t="shared" si="7"/>
        <v>89855.165999999983</v>
      </c>
      <c r="R106" s="202"/>
      <c r="S106" s="165"/>
    </row>
    <row r="107" spans="1:19" s="26" customFormat="1" ht="12.2" customHeight="1" outlineLevel="1">
      <c r="A107" s="118" t="s">
        <v>237</v>
      </c>
      <c r="B107" s="309"/>
      <c r="C107" s="36"/>
      <c r="D107" s="15"/>
      <c r="E107" s="15"/>
      <c r="F107" s="15"/>
      <c r="G107" s="15"/>
      <c r="I107" s="975">
        <f>J107/$H$104+I106</f>
        <v>0.9999999866451752</v>
      </c>
      <c r="J107" s="35">
        <v>29951.72</v>
      </c>
      <c r="K107" s="44">
        <v>3</v>
      </c>
      <c r="L107" s="36"/>
      <c r="M107" s="37"/>
      <c r="N107" s="155"/>
      <c r="O107" s="156"/>
      <c r="P107" s="157" t="str">
        <f>IF(M107="en attente",J107,"")</f>
        <v/>
      </c>
      <c r="Q107" s="157">
        <f t="shared" si="7"/>
        <v>29951.72</v>
      </c>
      <c r="R107" s="157"/>
      <c r="S107" s="163"/>
    </row>
    <row r="108" spans="1:19" s="107" customFormat="1" ht="12.2" customHeight="1">
      <c r="A108" s="119" t="s">
        <v>261</v>
      </c>
      <c r="B108" s="307" t="s">
        <v>293</v>
      </c>
      <c r="C108" s="158">
        <v>42558</v>
      </c>
      <c r="D108" s="158">
        <f>DATE(YEAR(C108)+2,MONTH(C108),DAY(C108))</f>
        <v>43288</v>
      </c>
      <c r="E108" s="158">
        <v>43263</v>
      </c>
      <c r="F108" s="158">
        <f>DATE(YEAR(E108)+4,MONTH(E108),DAY(E108))</f>
        <v>44724</v>
      </c>
      <c r="G108" s="158"/>
      <c r="H108" s="126">
        <v>560000</v>
      </c>
      <c r="I108" s="123"/>
      <c r="J108" s="123"/>
      <c r="K108" s="138"/>
      <c r="L108" s="158"/>
      <c r="M108" s="126">
        <f>SUM(M109:M111)</f>
        <v>270744.06</v>
      </c>
      <c r="N108" s="151"/>
      <c r="O108" s="152"/>
      <c r="P108" s="159">
        <f>SUM(P109:P111)</f>
        <v>0</v>
      </c>
      <c r="Q108" s="159">
        <f>SUM(Q109:Q111)</f>
        <v>289255.94</v>
      </c>
      <c r="R108" s="159"/>
      <c r="S108" s="163">
        <f>H108-(M108+P108+Q108)</f>
        <v>0</v>
      </c>
    </row>
    <row r="109" spans="1:19" s="26" customFormat="1" ht="12.2" customHeight="1" outlineLevel="1">
      <c r="A109" s="46" t="s">
        <v>261</v>
      </c>
      <c r="B109" s="308"/>
      <c r="C109" s="15"/>
      <c r="D109" s="15"/>
      <c r="E109" s="15"/>
      <c r="F109" s="15"/>
      <c r="G109" s="15"/>
      <c r="I109" s="974">
        <v>0.48349999999999999</v>
      </c>
      <c r="J109" s="23">
        <v>270744.06</v>
      </c>
      <c r="K109" s="204">
        <v>1</v>
      </c>
      <c r="L109" s="15">
        <v>43264</v>
      </c>
      <c r="M109" s="24">
        <v>270744.06</v>
      </c>
      <c r="N109" s="30">
        <v>43312</v>
      </c>
      <c r="O109" s="43"/>
      <c r="P109" s="81" t="str">
        <f>IF(M109="en attente",J109,"")</f>
        <v/>
      </c>
      <c r="Q109" s="205">
        <f t="shared" si="7"/>
        <v>0</v>
      </c>
      <c r="R109" s="81"/>
      <c r="S109" s="163"/>
    </row>
    <row r="110" spans="1:19" s="26" customFormat="1" ht="12.2" customHeight="1" outlineLevel="1">
      <c r="A110" s="46" t="s">
        <v>261</v>
      </c>
      <c r="B110" s="308"/>
      <c r="C110" s="15"/>
      <c r="D110" s="15"/>
      <c r="E110" s="15"/>
      <c r="F110" s="15"/>
      <c r="G110" s="15"/>
      <c r="I110" s="974">
        <v>0.8</v>
      </c>
      <c r="J110" s="23">
        <f>+H108*I110-J109</f>
        <v>177255.94</v>
      </c>
      <c r="K110" s="204">
        <v>2</v>
      </c>
      <c r="L110" s="15"/>
      <c r="M110" s="24"/>
      <c r="N110" s="30"/>
      <c r="O110" s="43"/>
      <c r="P110" s="81" t="str">
        <f>IF(M110="en attente",J110,"")</f>
        <v/>
      </c>
      <c r="Q110" s="205">
        <f t="shared" si="7"/>
        <v>177255.94</v>
      </c>
      <c r="R110" s="81"/>
      <c r="S110" s="163"/>
    </row>
    <row r="111" spans="1:19" s="26" customFormat="1" ht="12.2" customHeight="1" outlineLevel="1">
      <c r="A111" s="118" t="s">
        <v>261</v>
      </c>
      <c r="B111" s="308"/>
      <c r="C111" s="15"/>
      <c r="D111" s="15"/>
      <c r="E111" s="15"/>
      <c r="F111" s="15"/>
      <c r="G111" s="15"/>
      <c r="I111" s="975">
        <v>1</v>
      </c>
      <c r="J111" s="23">
        <f>+H108-J109-J110</f>
        <v>112000</v>
      </c>
      <c r="K111" s="204">
        <v>3</v>
      </c>
      <c r="L111" s="15"/>
      <c r="M111" s="24"/>
      <c r="N111" s="30"/>
      <c r="O111" s="43"/>
      <c r="P111" s="81" t="str">
        <f>IF(M111="en attente",J111,"")</f>
        <v/>
      </c>
      <c r="Q111" s="205">
        <f t="shared" si="7"/>
        <v>112000</v>
      </c>
      <c r="R111" s="81"/>
      <c r="S111" s="163"/>
    </row>
    <row r="112" spans="1:19" s="107" customFormat="1" ht="12.2" customHeight="1">
      <c r="A112" s="119" t="s">
        <v>131</v>
      </c>
      <c r="B112" s="307" t="s">
        <v>294</v>
      </c>
      <c r="C112" s="158">
        <v>42310</v>
      </c>
      <c r="D112" s="158">
        <f>DATE(YEAR(C112)+2,MONTH(C112),DAY(C112))</f>
        <v>43041</v>
      </c>
      <c r="E112" s="158">
        <v>42947</v>
      </c>
      <c r="F112" s="158">
        <f>DATE(YEAR(E112)+4,MONTH(E112),DAY(E112))</f>
        <v>44408</v>
      </c>
      <c r="G112" s="158"/>
      <c r="H112" s="126">
        <v>380000</v>
      </c>
      <c r="I112" s="123"/>
      <c r="J112" s="123"/>
      <c r="K112" s="138"/>
      <c r="L112" s="158"/>
      <c r="M112" s="126">
        <f>SUM(M113:M115)</f>
        <v>304000</v>
      </c>
      <c r="N112" s="151"/>
      <c r="O112" s="152"/>
      <c r="P112" s="159">
        <f>SUM(P113:P115)</f>
        <v>0</v>
      </c>
      <c r="Q112" s="159">
        <f>SUM(Q113:Q115)</f>
        <v>76000</v>
      </c>
      <c r="R112" s="159"/>
      <c r="S112" s="163">
        <f>H112-(M112+P112+Q112)</f>
        <v>0</v>
      </c>
    </row>
    <row r="113" spans="1:19" s="26" customFormat="1" ht="12.2" customHeight="1" outlineLevel="1">
      <c r="A113" s="46" t="s">
        <v>131</v>
      </c>
      <c r="B113" s="308"/>
      <c r="C113" s="15"/>
      <c r="D113" s="15"/>
      <c r="E113" s="15"/>
      <c r="F113" s="15"/>
      <c r="G113" s="15"/>
      <c r="I113" s="974">
        <v>0.65110000000000001</v>
      </c>
      <c r="J113" s="23">
        <v>247421.12</v>
      </c>
      <c r="K113" s="204">
        <v>1</v>
      </c>
      <c r="L113" s="15">
        <v>42975</v>
      </c>
      <c r="M113" s="24">
        <v>247421.12</v>
      </c>
      <c r="N113" s="30">
        <v>43007</v>
      </c>
      <c r="O113" s="43"/>
      <c r="P113" s="81" t="str">
        <f>IF(M113="en attente",J113,"")</f>
        <v/>
      </c>
      <c r="Q113" s="205">
        <f t="shared" si="7"/>
        <v>0</v>
      </c>
      <c r="R113" s="81"/>
      <c r="S113" s="163"/>
    </row>
    <row r="114" spans="1:19" s="26" customFormat="1" ht="12.2" customHeight="1" outlineLevel="1">
      <c r="A114" s="46" t="s">
        <v>131</v>
      </c>
      <c r="B114" s="308"/>
      <c r="C114" s="15"/>
      <c r="D114" s="15"/>
      <c r="E114" s="15"/>
      <c r="F114" s="15"/>
      <c r="G114" s="15"/>
      <c r="I114" s="974">
        <v>0.8</v>
      </c>
      <c r="J114" s="23">
        <f>H112*I114-J113</f>
        <v>56578.880000000005</v>
      </c>
      <c r="K114" s="204">
        <v>2</v>
      </c>
      <c r="L114" s="15">
        <v>43333</v>
      </c>
      <c r="M114" s="24">
        <v>56578.879999999997</v>
      </c>
      <c r="N114" s="30">
        <v>43377</v>
      </c>
      <c r="O114" s="43"/>
      <c r="P114" s="81" t="str">
        <f>IF(M114="en attente",J114,"")</f>
        <v/>
      </c>
      <c r="Q114" s="205">
        <f t="shared" si="7"/>
        <v>0</v>
      </c>
      <c r="R114" s="81"/>
      <c r="S114" s="163"/>
    </row>
    <row r="115" spans="1:19" s="26" customFormat="1" ht="12.2" customHeight="1" outlineLevel="1">
      <c r="A115" s="46" t="s">
        <v>131</v>
      </c>
      <c r="B115" s="309"/>
      <c r="C115" s="36"/>
      <c r="D115" s="36"/>
      <c r="E115" s="36"/>
      <c r="F115" s="36"/>
      <c r="G115" s="36"/>
      <c r="I115" s="976">
        <v>1</v>
      </c>
      <c r="J115" s="35">
        <f>H112-J113-J114</f>
        <v>76000</v>
      </c>
      <c r="K115" s="507">
        <v>3</v>
      </c>
      <c r="L115" s="36"/>
      <c r="M115" s="37"/>
      <c r="N115" s="155"/>
      <c r="O115" s="156"/>
      <c r="P115" s="81" t="str">
        <f>IF(M115="en attente",J115,"")</f>
        <v/>
      </c>
      <c r="Q115" s="205">
        <f t="shared" si="7"/>
        <v>76000</v>
      </c>
      <c r="R115" s="157"/>
      <c r="S115" s="163"/>
    </row>
    <row r="116" spans="1:19" s="107" customFormat="1" ht="12.2" customHeight="1">
      <c r="A116" s="119" t="s">
        <v>74</v>
      </c>
      <c r="B116" s="310"/>
      <c r="C116" s="149"/>
      <c r="D116" s="147"/>
      <c r="E116" s="149"/>
      <c r="F116" s="149"/>
      <c r="G116" s="149"/>
      <c r="H116" s="968">
        <v>1778822.24</v>
      </c>
      <c r="I116" s="132"/>
      <c r="J116" s="132"/>
      <c r="K116" s="133"/>
      <c r="L116" s="149"/>
      <c r="M116" s="135">
        <f>SUM(M117:M118)</f>
        <v>1423057.8</v>
      </c>
      <c r="N116" s="147"/>
      <c r="O116" s="148"/>
      <c r="P116" s="170">
        <f>SUM(P117:P118)</f>
        <v>0</v>
      </c>
      <c r="Q116" s="170">
        <f>SUM(Q117:Q118)</f>
        <v>355764.44</v>
      </c>
      <c r="R116" s="150"/>
      <c r="S116" s="163">
        <f>H116-(M116+P116+Q116)</f>
        <v>0</v>
      </c>
    </row>
    <row r="117" spans="1:19" s="26" customFormat="1" ht="12.2" customHeight="1" outlineLevel="1">
      <c r="A117" s="46" t="s">
        <v>74</v>
      </c>
      <c r="B117" s="308"/>
      <c r="C117" s="15"/>
      <c r="D117" s="15"/>
      <c r="E117" s="15"/>
      <c r="F117" s="15"/>
      <c r="G117" s="15"/>
      <c r="H117" s="24"/>
      <c r="I117" s="23"/>
      <c r="J117" s="23">
        <v>1423057.8</v>
      </c>
      <c r="K117" s="42">
        <v>1</v>
      </c>
      <c r="L117" s="15">
        <v>38975</v>
      </c>
      <c r="M117" s="24">
        <v>1423057.8</v>
      </c>
      <c r="N117" s="30">
        <v>39204</v>
      </c>
      <c r="O117" s="43"/>
      <c r="P117" s="81" t="str">
        <f>IF(M117="en attente",J117,"")</f>
        <v/>
      </c>
      <c r="Q117" s="81">
        <f t="shared" si="7"/>
        <v>0</v>
      </c>
      <c r="R117" s="81"/>
      <c r="S117" s="163"/>
    </row>
    <row r="118" spans="1:19" s="26" customFormat="1" ht="12.2" customHeight="1" outlineLevel="1">
      <c r="A118" s="46" t="s">
        <v>74</v>
      </c>
      <c r="B118" s="308"/>
      <c r="C118" s="15"/>
      <c r="D118" s="15"/>
      <c r="E118" s="15"/>
      <c r="F118" s="15"/>
      <c r="G118" s="15"/>
      <c r="H118" s="24"/>
      <c r="I118" s="23"/>
      <c r="J118" s="23">
        <v>355764.44</v>
      </c>
      <c r="K118" s="42">
        <v>2</v>
      </c>
      <c r="L118" s="15"/>
      <c r="M118" s="24"/>
      <c r="N118" s="30"/>
      <c r="O118" s="43"/>
      <c r="P118" s="81" t="str">
        <f>IF(M118="en attente",J118,"")</f>
        <v/>
      </c>
      <c r="Q118" s="81">
        <f t="shared" si="7"/>
        <v>355764.44</v>
      </c>
      <c r="R118" s="81"/>
      <c r="S118" s="163"/>
    </row>
    <row r="119" spans="1:19" s="107" customFormat="1" ht="12.2" customHeight="1">
      <c r="A119" s="119" t="s">
        <v>63</v>
      </c>
      <c r="B119" s="307" t="s">
        <v>201</v>
      </c>
      <c r="C119" s="158">
        <v>38717</v>
      </c>
      <c r="D119" s="158">
        <f>DATE(YEAR(C119)+2,MONTH(C119),DAY(C119))</f>
        <v>39447</v>
      </c>
      <c r="E119" s="158"/>
      <c r="F119" s="158"/>
      <c r="G119" s="158"/>
      <c r="H119" s="126">
        <v>5400000</v>
      </c>
      <c r="I119" s="123"/>
      <c r="J119" s="123"/>
      <c r="K119" s="138"/>
      <c r="L119" s="158"/>
      <c r="M119" s="126">
        <f>SUM(M120:M134)</f>
        <v>2181060</v>
      </c>
      <c r="N119" s="151"/>
      <c r="O119" s="152"/>
      <c r="P119" s="159">
        <f>SUM(P120:P134)</f>
        <v>0</v>
      </c>
      <c r="Q119" s="159">
        <f>SUM(Q120:Q134)</f>
        <v>3218940</v>
      </c>
      <c r="R119" s="159"/>
      <c r="S119" s="163">
        <f>H119-(M119+P119+Q119)</f>
        <v>0</v>
      </c>
    </row>
    <row r="120" spans="1:19" s="26" customFormat="1" ht="12.2" customHeight="1" outlineLevel="1">
      <c r="A120" s="46" t="s">
        <v>63</v>
      </c>
      <c r="B120" s="308"/>
      <c r="C120" s="15"/>
      <c r="D120" s="15"/>
      <c r="E120" s="15"/>
      <c r="F120" s="15"/>
      <c r="G120" s="15"/>
      <c r="H120" s="24"/>
      <c r="I120" s="23"/>
      <c r="J120" s="23">
        <v>135000</v>
      </c>
      <c r="K120" s="42">
        <v>1</v>
      </c>
      <c r="L120" s="15">
        <v>38965</v>
      </c>
      <c r="M120" s="24">
        <v>135000</v>
      </c>
      <c r="N120" s="30">
        <v>39014</v>
      </c>
      <c r="O120" s="43">
        <f t="shared" ref="O120:O133" si="11">IF(N120="",$Q$2-L120,N120-L120)</f>
        <v>49</v>
      </c>
      <c r="P120" s="81" t="str">
        <f t="shared" ref="P120:P134" si="12">IF(M120="en attente",J120,"")</f>
        <v/>
      </c>
      <c r="Q120" s="81">
        <f t="shared" si="7"/>
        <v>0</v>
      </c>
      <c r="R120" s="81"/>
      <c r="S120" s="163"/>
    </row>
    <row r="121" spans="1:19" s="26" customFormat="1" ht="12.2" customHeight="1" outlineLevel="1">
      <c r="A121" s="46" t="s">
        <v>63</v>
      </c>
      <c r="B121" s="308"/>
      <c r="C121" s="15"/>
      <c r="D121" s="15"/>
      <c r="E121" s="15"/>
      <c r="F121" s="15"/>
      <c r="G121" s="15"/>
      <c r="H121" s="24"/>
      <c r="I121" s="23"/>
      <c r="J121" s="23">
        <v>170100</v>
      </c>
      <c r="K121" s="42">
        <v>2</v>
      </c>
      <c r="L121" s="15">
        <v>39226</v>
      </c>
      <c r="M121" s="24">
        <v>170100</v>
      </c>
      <c r="N121" s="30">
        <v>39260</v>
      </c>
      <c r="O121" s="43">
        <f t="shared" si="11"/>
        <v>34</v>
      </c>
      <c r="P121" s="81" t="str">
        <f t="shared" si="12"/>
        <v/>
      </c>
      <c r="Q121" s="81">
        <f t="shared" si="7"/>
        <v>0</v>
      </c>
      <c r="R121" s="81"/>
      <c r="S121" s="163"/>
    </row>
    <row r="122" spans="1:19" s="26" customFormat="1" ht="12.2" customHeight="1" outlineLevel="1">
      <c r="A122" s="46" t="s">
        <v>63</v>
      </c>
      <c r="B122" s="308"/>
      <c r="C122" s="15"/>
      <c r="D122" s="15"/>
      <c r="E122" s="15"/>
      <c r="F122" s="15"/>
      <c r="G122" s="15"/>
      <c r="H122" s="24"/>
      <c r="I122" s="23"/>
      <c r="J122" s="23">
        <v>63180</v>
      </c>
      <c r="K122" s="42">
        <v>3</v>
      </c>
      <c r="L122" s="15">
        <v>40283</v>
      </c>
      <c r="M122" s="24">
        <v>63180</v>
      </c>
      <c r="N122" s="30">
        <v>40366</v>
      </c>
      <c r="O122" s="43">
        <f t="shared" si="11"/>
        <v>83</v>
      </c>
      <c r="P122" s="81" t="str">
        <f t="shared" si="12"/>
        <v/>
      </c>
      <c r="Q122" s="81">
        <f t="shared" si="7"/>
        <v>0</v>
      </c>
      <c r="R122" s="81"/>
      <c r="S122" s="163"/>
    </row>
    <row r="123" spans="1:19" s="26" customFormat="1" ht="12.2" customHeight="1" outlineLevel="1">
      <c r="A123" s="46" t="s">
        <v>63</v>
      </c>
      <c r="B123" s="308"/>
      <c r="C123" s="15"/>
      <c r="D123" s="15"/>
      <c r="E123" s="15"/>
      <c r="F123" s="15"/>
      <c r="G123" s="15"/>
      <c r="H123" s="24"/>
      <c r="I123" s="23"/>
      <c r="J123" s="23">
        <v>280800</v>
      </c>
      <c r="K123" s="42">
        <v>4</v>
      </c>
      <c r="L123" s="15">
        <v>40547</v>
      </c>
      <c r="M123" s="24">
        <v>280800</v>
      </c>
      <c r="N123" s="30">
        <v>40647</v>
      </c>
      <c r="O123" s="43">
        <f t="shared" si="11"/>
        <v>100</v>
      </c>
      <c r="P123" s="81" t="str">
        <f t="shared" si="12"/>
        <v/>
      </c>
      <c r="Q123" s="81">
        <f t="shared" si="7"/>
        <v>0</v>
      </c>
      <c r="R123" s="81"/>
      <c r="S123" s="163"/>
    </row>
    <row r="124" spans="1:19" s="26" customFormat="1" ht="12.2" customHeight="1" outlineLevel="1">
      <c r="A124" s="46" t="s">
        <v>63</v>
      </c>
      <c r="B124" s="308"/>
      <c r="C124" s="15"/>
      <c r="D124" s="15"/>
      <c r="E124" s="15"/>
      <c r="F124" s="15"/>
      <c r="G124" s="15"/>
      <c r="H124" s="24"/>
      <c r="I124" s="23"/>
      <c r="J124" s="23">
        <v>77760</v>
      </c>
      <c r="K124" s="42">
        <v>5</v>
      </c>
      <c r="L124" s="15">
        <v>40627</v>
      </c>
      <c r="M124" s="24">
        <v>77760</v>
      </c>
      <c r="N124" s="30">
        <v>40718</v>
      </c>
      <c r="O124" s="43">
        <f t="shared" si="11"/>
        <v>91</v>
      </c>
      <c r="P124" s="81" t="str">
        <f t="shared" si="12"/>
        <v/>
      </c>
      <c r="Q124" s="81">
        <f t="shared" si="7"/>
        <v>0</v>
      </c>
      <c r="R124" s="81"/>
      <c r="S124" s="163"/>
    </row>
    <row r="125" spans="1:19" s="26" customFormat="1" ht="12.2" customHeight="1" outlineLevel="1">
      <c r="A125" s="46" t="s">
        <v>63</v>
      </c>
      <c r="B125" s="308"/>
      <c r="C125" s="15"/>
      <c r="D125" s="15"/>
      <c r="E125" s="15"/>
      <c r="F125" s="15"/>
      <c r="G125" s="15"/>
      <c r="H125" s="24"/>
      <c r="I125" s="23"/>
      <c r="J125" s="23">
        <v>98820</v>
      </c>
      <c r="K125" s="42">
        <v>6</v>
      </c>
      <c r="L125" s="15">
        <v>40947</v>
      </c>
      <c r="M125" s="24">
        <v>98820</v>
      </c>
      <c r="N125" s="30">
        <v>41246</v>
      </c>
      <c r="O125" s="43">
        <f t="shared" si="11"/>
        <v>299</v>
      </c>
      <c r="P125" s="81" t="str">
        <f t="shared" si="12"/>
        <v/>
      </c>
      <c r="Q125" s="81">
        <f t="shared" si="7"/>
        <v>0</v>
      </c>
      <c r="R125" s="81"/>
      <c r="S125" s="163"/>
    </row>
    <row r="126" spans="1:19" s="26" customFormat="1" ht="12.2" customHeight="1" outlineLevel="1">
      <c r="A126" s="46" t="s">
        <v>63</v>
      </c>
      <c r="B126" s="308"/>
      <c r="C126" s="15"/>
      <c r="D126" s="15"/>
      <c r="E126" s="15"/>
      <c r="F126" s="15"/>
      <c r="G126" s="15"/>
      <c r="H126" s="24"/>
      <c r="I126" s="23"/>
      <c r="J126" s="23">
        <v>73440</v>
      </c>
      <c r="K126" s="42">
        <v>7</v>
      </c>
      <c r="L126" s="15">
        <v>41194</v>
      </c>
      <c r="M126" s="24">
        <v>73440</v>
      </c>
      <c r="N126" s="30">
        <v>41387</v>
      </c>
      <c r="O126" s="43">
        <f t="shared" si="11"/>
        <v>193</v>
      </c>
      <c r="P126" s="81" t="str">
        <f t="shared" si="12"/>
        <v/>
      </c>
      <c r="Q126" s="81">
        <f t="shared" si="7"/>
        <v>0</v>
      </c>
      <c r="R126" s="81"/>
      <c r="S126" s="163"/>
    </row>
    <row r="127" spans="1:19" s="26" customFormat="1" ht="12.2" customHeight="1" outlineLevel="1">
      <c r="A127" s="46" t="s">
        <v>63</v>
      </c>
      <c r="B127" s="308"/>
      <c r="C127" s="15"/>
      <c r="D127" s="15"/>
      <c r="E127" s="15"/>
      <c r="F127" s="15"/>
      <c r="G127" s="15"/>
      <c r="H127" s="24"/>
      <c r="I127" s="23"/>
      <c r="J127" s="23">
        <v>258660</v>
      </c>
      <c r="K127" s="42">
        <v>8</v>
      </c>
      <c r="L127" s="15">
        <v>41471</v>
      </c>
      <c r="M127" s="24">
        <v>258660</v>
      </c>
      <c r="N127" s="30">
        <v>41555</v>
      </c>
      <c r="O127" s="43">
        <f t="shared" si="11"/>
        <v>84</v>
      </c>
      <c r="P127" s="81" t="str">
        <f t="shared" si="12"/>
        <v/>
      </c>
      <c r="Q127" s="81">
        <f t="shared" si="7"/>
        <v>0</v>
      </c>
      <c r="R127" s="81"/>
      <c r="S127" s="163"/>
    </row>
    <row r="128" spans="1:19" s="26" customFormat="1" ht="12.2" customHeight="1" outlineLevel="1">
      <c r="A128" s="46" t="s">
        <v>63</v>
      </c>
      <c r="B128" s="308"/>
      <c r="C128" s="15"/>
      <c r="D128" s="15"/>
      <c r="E128" s="15"/>
      <c r="F128" s="15"/>
      <c r="G128" s="15"/>
      <c r="H128" s="24"/>
      <c r="I128" s="23"/>
      <c r="J128" s="23">
        <v>51300</v>
      </c>
      <c r="K128" s="42">
        <v>9</v>
      </c>
      <c r="L128" s="15">
        <v>41669</v>
      </c>
      <c r="M128" s="24">
        <v>51300</v>
      </c>
      <c r="N128" s="30">
        <v>41752</v>
      </c>
      <c r="O128" s="43">
        <f t="shared" si="11"/>
        <v>83</v>
      </c>
      <c r="P128" s="81" t="str">
        <f t="shared" si="12"/>
        <v/>
      </c>
      <c r="Q128" s="81">
        <f t="shared" si="7"/>
        <v>0</v>
      </c>
      <c r="R128" s="81"/>
      <c r="S128" s="163"/>
    </row>
    <row r="129" spans="1:19" s="26" customFormat="1" ht="12.2" customHeight="1" outlineLevel="1">
      <c r="A129" s="46" t="s">
        <v>63</v>
      </c>
      <c r="B129" s="308"/>
      <c r="C129" s="15"/>
      <c r="D129" s="15"/>
      <c r="E129" s="15"/>
      <c r="F129" s="15"/>
      <c r="G129" s="15"/>
      <c r="I129" s="651">
        <v>0.27</v>
      </c>
      <c r="J129" s="23">
        <v>248940</v>
      </c>
      <c r="K129" s="42">
        <v>10</v>
      </c>
      <c r="L129" s="15">
        <v>42401</v>
      </c>
      <c r="M129" s="24">
        <v>248940</v>
      </c>
      <c r="N129" s="30">
        <v>42452</v>
      </c>
      <c r="O129" s="43">
        <f t="shared" si="11"/>
        <v>51</v>
      </c>
      <c r="P129" s="81" t="str">
        <f t="shared" si="12"/>
        <v/>
      </c>
      <c r="Q129" s="81">
        <f t="shared" si="7"/>
        <v>0</v>
      </c>
      <c r="R129" s="81"/>
      <c r="S129" s="163"/>
    </row>
    <row r="130" spans="1:19" s="26" customFormat="1" ht="12.2" customHeight="1" outlineLevel="1">
      <c r="A130" s="46" t="s">
        <v>63</v>
      </c>
      <c r="B130" s="308"/>
      <c r="C130" s="15"/>
      <c r="D130" s="15"/>
      <c r="E130" s="15"/>
      <c r="F130" s="15"/>
      <c r="G130" s="15"/>
      <c r="I130" s="651">
        <v>0.30149999999999999</v>
      </c>
      <c r="J130" s="23">
        <v>169884.5</v>
      </c>
      <c r="K130" s="42">
        <v>11</v>
      </c>
      <c r="L130" s="15">
        <v>42893</v>
      </c>
      <c r="M130" s="24">
        <v>169884.5</v>
      </c>
      <c r="N130" s="30">
        <v>43077</v>
      </c>
      <c r="O130" s="43">
        <f t="shared" si="11"/>
        <v>184</v>
      </c>
      <c r="P130" s="81" t="str">
        <f t="shared" si="12"/>
        <v/>
      </c>
      <c r="Q130" s="81">
        <f>IF(L130="",J130-M130,0)</f>
        <v>0</v>
      </c>
      <c r="R130" s="81"/>
      <c r="S130" s="163"/>
    </row>
    <row r="131" spans="1:19" s="26" customFormat="1" ht="12.2" customHeight="1" outlineLevel="1">
      <c r="A131" s="46" t="s">
        <v>63</v>
      </c>
      <c r="B131" s="308"/>
      <c r="C131" s="15"/>
      <c r="D131" s="15"/>
      <c r="E131" s="15"/>
      <c r="F131" s="15"/>
      <c r="G131" s="15"/>
      <c r="I131" s="651">
        <v>0.33079999999999998</v>
      </c>
      <c r="J131" s="23">
        <v>158435.5</v>
      </c>
      <c r="K131" s="42">
        <v>12</v>
      </c>
      <c r="L131" s="15">
        <v>43076</v>
      </c>
      <c r="M131" s="24">
        <v>158435.5</v>
      </c>
      <c r="N131" s="30">
        <v>43220</v>
      </c>
      <c r="O131" s="43">
        <f t="shared" si="11"/>
        <v>144</v>
      </c>
      <c r="P131" s="81" t="str">
        <f t="shared" si="12"/>
        <v/>
      </c>
      <c r="Q131" s="81">
        <f>IF(L131="",J131-M131,0)</f>
        <v>0</v>
      </c>
      <c r="R131" s="81"/>
      <c r="S131" s="163"/>
    </row>
    <row r="132" spans="1:19" s="26" customFormat="1" ht="12.2" customHeight="1" outlineLevel="1">
      <c r="A132" s="46" t="s">
        <v>63</v>
      </c>
      <c r="B132" s="308"/>
      <c r="C132" s="15"/>
      <c r="D132" s="15"/>
      <c r="E132" s="15"/>
      <c r="F132" s="15"/>
      <c r="G132" s="15"/>
      <c r="I132" s="651">
        <v>0.36709999999999998</v>
      </c>
      <c r="J132" s="23">
        <f>H119*I132-J120-J121-J122-J123-J124-J125-J126-J127-J128-J129-J130-J131</f>
        <v>196020</v>
      </c>
      <c r="K132" s="42">
        <v>13</v>
      </c>
      <c r="L132" s="15">
        <v>43251</v>
      </c>
      <c r="M132" s="24">
        <v>196020</v>
      </c>
      <c r="N132" s="30">
        <v>43354</v>
      </c>
      <c r="O132" s="43">
        <f t="shared" si="11"/>
        <v>103</v>
      </c>
      <c r="P132" s="81" t="str">
        <f t="shared" si="12"/>
        <v/>
      </c>
      <c r="Q132" s="81">
        <f t="shared" ref="Q132:Q133" si="13">IF(L132="",J132-M132,0)</f>
        <v>0</v>
      </c>
      <c r="R132" s="81"/>
      <c r="S132" s="163"/>
    </row>
    <row r="133" spans="1:19" s="26" customFormat="1" ht="12.2" customHeight="1" outlineLevel="1">
      <c r="A133" s="46" t="s">
        <v>63</v>
      </c>
      <c r="B133" s="308"/>
      <c r="C133" s="15"/>
      <c r="D133" s="15"/>
      <c r="E133" s="15"/>
      <c r="F133" s="15"/>
      <c r="G133" s="15"/>
      <c r="I133" s="651">
        <v>0.40389999999999998</v>
      </c>
      <c r="J133" s="23">
        <v>198720</v>
      </c>
      <c r="K133" s="42">
        <v>14</v>
      </c>
      <c r="L133" s="15">
        <v>43438</v>
      </c>
      <c r="M133" s="24">
        <v>198720</v>
      </c>
      <c r="N133" s="30">
        <v>43572</v>
      </c>
      <c r="O133" s="43">
        <f t="shared" si="11"/>
        <v>134</v>
      </c>
      <c r="P133" s="81" t="str">
        <f t="shared" si="12"/>
        <v/>
      </c>
      <c r="Q133" s="81">
        <f t="shared" si="13"/>
        <v>0</v>
      </c>
      <c r="R133" s="81"/>
      <c r="S133" s="163"/>
    </row>
    <row r="134" spans="1:19" s="26" customFormat="1" ht="12.2" customHeight="1" outlineLevel="1">
      <c r="A134" s="118" t="s">
        <v>63</v>
      </c>
      <c r="B134" s="309"/>
      <c r="C134" s="36"/>
      <c r="D134" s="36"/>
      <c r="E134" s="36"/>
      <c r="F134" s="36"/>
      <c r="G134" s="36"/>
      <c r="I134" s="553">
        <v>1</v>
      </c>
      <c r="J134" s="35">
        <f>H119-SUM(J120:J133)</f>
        <v>3218940</v>
      </c>
      <c r="K134" s="44">
        <v>15</v>
      </c>
      <c r="L134" s="36"/>
      <c r="M134" s="37"/>
      <c r="N134" s="155"/>
      <c r="O134" s="156"/>
      <c r="P134" s="157" t="str">
        <f t="shared" si="12"/>
        <v/>
      </c>
      <c r="Q134" s="81">
        <f t="shared" si="7"/>
        <v>3218940</v>
      </c>
      <c r="R134" s="157"/>
      <c r="S134" s="163"/>
    </row>
    <row r="135" spans="1:19" s="107" customFormat="1" ht="12.2" customHeight="1">
      <c r="A135" s="129" t="s">
        <v>63</v>
      </c>
      <c r="B135" s="310" t="s">
        <v>185</v>
      </c>
      <c r="C135" s="149">
        <v>40878</v>
      </c>
      <c r="D135" s="158">
        <f>DATE(YEAR(C135)+2,MONTH(C135),DAY(C135))</f>
        <v>41609</v>
      </c>
      <c r="E135" s="149">
        <v>41514</v>
      </c>
      <c r="F135" s="158">
        <v>44350</v>
      </c>
      <c r="G135" s="149"/>
      <c r="H135" s="135">
        <v>5220000</v>
      </c>
      <c r="I135" s="132"/>
      <c r="J135" s="132"/>
      <c r="K135" s="133"/>
      <c r="L135" s="149"/>
      <c r="M135" s="135">
        <f>SUM(M136:M141)</f>
        <v>4176000</v>
      </c>
      <c r="N135" s="147"/>
      <c r="O135" s="148"/>
      <c r="P135" s="150">
        <f>SUM(P136:P141)</f>
        <v>0</v>
      </c>
      <c r="Q135" s="170">
        <f>SUM(Q136:Q141)</f>
        <v>1044000.0000000001</v>
      </c>
      <c r="R135" s="150"/>
      <c r="S135" s="163">
        <f>H135-(M135+P135+Q135)</f>
        <v>0</v>
      </c>
    </row>
    <row r="136" spans="1:19" s="26" customFormat="1" ht="12.2" customHeight="1" outlineLevel="1">
      <c r="A136" s="46" t="s">
        <v>63</v>
      </c>
      <c r="B136" s="308" t="s">
        <v>404</v>
      </c>
      <c r="C136" s="15"/>
      <c r="D136" s="15"/>
      <c r="E136" s="15"/>
      <c r="F136" s="434" t="s">
        <v>279</v>
      </c>
      <c r="G136" s="15"/>
      <c r="H136" s="24"/>
      <c r="I136" s="23"/>
      <c r="J136" s="23">
        <v>1910679.91</v>
      </c>
      <c r="K136" s="42">
        <v>1</v>
      </c>
      <c r="L136" s="15">
        <v>41598</v>
      </c>
      <c r="M136" s="24">
        <v>1910679.91</v>
      </c>
      <c r="N136" s="30">
        <v>41814</v>
      </c>
      <c r="O136" s="43">
        <f>IF(N136="",$Q$2-L136,N136-L136)</f>
        <v>216</v>
      </c>
      <c r="P136" s="81" t="str">
        <f t="shared" ref="P136:P149" si="14">IF(M136="en attente",J136,"")</f>
        <v/>
      </c>
      <c r="Q136" s="81">
        <f t="shared" ref="Q136:Q141" si="15">IF(L136="",J136-M136,0)</f>
        <v>0</v>
      </c>
      <c r="R136" s="81"/>
      <c r="S136" s="163"/>
    </row>
    <row r="137" spans="1:19" s="26" customFormat="1" ht="12.2" customHeight="1" outlineLevel="1">
      <c r="A137" s="46" t="s">
        <v>63</v>
      </c>
      <c r="B137" s="308"/>
      <c r="C137" s="15"/>
      <c r="D137" s="15"/>
      <c r="E137" s="15"/>
      <c r="F137" s="15"/>
      <c r="G137" s="15"/>
      <c r="H137" s="969"/>
      <c r="I137" s="651"/>
      <c r="J137" s="23">
        <v>853631.32</v>
      </c>
      <c r="K137" s="42">
        <v>2</v>
      </c>
      <c r="L137" s="15">
        <v>41710</v>
      </c>
      <c r="M137" s="24">
        <v>853631.32</v>
      </c>
      <c r="N137" s="30">
        <v>41771</v>
      </c>
      <c r="O137" s="43">
        <f>IF(N137="",$Q$2-L137,N137-L137)</f>
        <v>61</v>
      </c>
      <c r="P137" s="81" t="str">
        <f t="shared" si="14"/>
        <v/>
      </c>
      <c r="Q137" s="81">
        <f t="shared" si="15"/>
        <v>0</v>
      </c>
      <c r="R137" s="81"/>
      <c r="S137" s="163"/>
    </row>
    <row r="138" spans="1:19" s="26" customFormat="1" ht="12.2" customHeight="1" outlineLevel="1">
      <c r="A138" s="46" t="s">
        <v>63</v>
      </c>
      <c r="B138" s="308"/>
      <c r="C138" s="15"/>
      <c r="D138" s="15"/>
      <c r="E138" s="15"/>
      <c r="F138" s="15"/>
      <c r="G138" s="15"/>
      <c r="I138" s="651">
        <v>0.66069999999999995</v>
      </c>
      <c r="J138" s="23">
        <v>684526.59</v>
      </c>
      <c r="K138" s="42">
        <v>3</v>
      </c>
      <c r="L138" s="15">
        <v>42374</v>
      </c>
      <c r="M138" s="24">
        <v>684526.59</v>
      </c>
      <c r="N138" s="30">
        <v>42443</v>
      </c>
      <c r="O138" s="43"/>
      <c r="P138" s="81" t="str">
        <f t="shared" si="14"/>
        <v/>
      </c>
      <c r="Q138" s="81">
        <f t="shared" si="15"/>
        <v>0</v>
      </c>
      <c r="R138" s="81"/>
      <c r="S138" s="163"/>
    </row>
    <row r="139" spans="1:19" s="26" customFormat="1" ht="12.2" customHeight="1" outlineLevel="1">
      <c r="A139" s="46" t="s">
        <v>63</v>
      </c>
      <c r="B139" s="308"/>
      <c r="C139" s="15"/>
      <c r="D139" s="15"/>
      <c r="E139" s="15"/>
      <c r="F139" s="15"/>
      <c r="G139" s="15"/>
      <c r="I139" s="651">
        <v>0.75419999999999998</v>
      </c>
      <c r="J139" s="23">
        <v>487958.81</v>
      </c>
      <c r="K139" s="42">
        <v>4</v>
      </c>
      <c r="L139" s="15">
        <v>42528</v>
      </c>
      <c r="M139" s="24">
        <v>487958.81</v>
      </c>
      <c r="N139" s="30">
        <v>42564</v>
      </c>
      <c r="O139" s="43"/>
      <c r="P139" s="81" t="str">
        <f t="shared" si="14"/>
        <v/>
      </c>
      <c r="Q139" s="81">
        <f t="shared" si="15"/>
        <v>0</v>
      </c>
      <c r="R139" s="81"/>
      <c r="S139" s="163"/>
    </row>
    <row r="140" spans="1:19" s="26" customFormat="1" ht="12.2" customHeight="1" outlineLevel="1">
      <c r="A140" s="46" t="s">
        <v>63</v>
      </c>
      <c r="B140" s="308"/>
      <c r="C140" s="15"/>
      <c r="D140" s="15"/>
      <c r="E140" s="15"/>
      <c r="F140" s="15"/>
      <c r="G140" s="15"/>
      <c r="I140" s="651">
        <v>0.8</v>
      </c>
      <c r="J140" s="23">
        <v>239203.37</v>
      </c>
      <c r="K140" s="42">
        <v>5</v>
      </c>
      <c r="L140" s="15">
        <v>42678</v>
      </c>
      <c r="M140" s="24">
        <v>239203.37</v>
      </c>
      <c r="N140" s="30">
        <v>42752</v>
      </c>
      <c r="O140" s="43"/>
      <c r="P140" s="81" t="str">
        <f t="shared" si="14"/>
        <v/>
      </c>
      <c r="Q140" s="81">
        <f t="shared" si="15"/>
        <v>0</v>
      </c>
      <c r="R140" s="81"/>
      <c r="S140" s="163"/>
    </row>
    <row r="141" spans="1:19" s="26" customFormat="1" ht="12.2" customHeight="1" outlineLevel="1">
      <c r="A141" s="46" t="s">
        <v>63</v>
      </c>
      <c r="B141" s="308"/>
      <c r="C141" s="15"/>
      <c r="D141" s="15"/>
      <c r="E141" s="15"/>
      <c r="F141" s="15"/>
      <c r="G141" s="15"/>
      <c r="H141" s="24"/>
      <c r="I141" s="23"/>
      <c r="J141" s="23">
        <f>H135-J136-J137-J138-J139-J140</f>
        <v>1044000.0000000001</v>
      </c>
      <c r="K141" s="42">
        <v>6</v>
      </c>
      <c r="L141" s="15"/>
      <c r="M141" s="24"/>
      <c r="N141" s="30"/>
      <c r="O141" s="43"/>
      <c r="P141" s="81" t="str">
        <f t="shared" si="14"/>
        <v/>
      </c>
      <c r="Q141" s="81">
        <f t="shared" si="15"/>
        <v>1044000.0000000001</v>
      </c>
      <c r="R141" s="81"/>
      <c r="S141" s="163"/>
    </row>
    <row r="142" spans="1:19" s="26" customFormat="1" ht="12.2" customHeight="1">
      <c r="A142" s="119" t="s">
        <v>63</v>
      </c>
      <c r="B142" s="307" t="s">
        <v>200</v>
      </c>
      <c r="C142" s="158">
        <v>40878</v>
      </c>
      <c r="D142" s="158">
        <f>DATE(YEAR(C142)+2,MONTH(C142),DAY(C142))</f>
        <v>41609</v>
      </c>
      <c r="E142" s="158">
        <v>41576</v>
      </c>
      <c r="F142" s="158">
        <v>44498</v>
      </c>
      <c r="G142" s="121"/>
      <c r="H142" s="126">
        <v>363142</v>
      </c>
      <c r="I142" s="123"/>
      <c r="J142" s="251"/>
      <c r="K142" s="252"/>
      <c r="L142" s="121"/>
      <c r="M142" s="126">
        <f>SUM(M143:M147)</f>
        <v>95750.53</v>
      </c>
      <c r="N142" s="215"/>
      <c r="O142" s="253"/>
      <c r="P142" s="159">
        <f>SUM(P143:P147)</f>
        <v>0</v>
      </c>
      <c r="Q142" s="159">
        <f>SUM(Q143:Q147)</f>
        <v>267391.47000000003</v>
      </c>
      <c r="R142" s="254"/>
      <c r="S142" s="163">
        <f>H142 -(M142+P142+Q142)</f>
        <v>0</v>
      </c>
    </row>
    <row r="143" spans="1:19" s="26" customFormat="1" ht="12.2" customHeight="1" outlineLevel="1">
      <c r="A143" s="46" t="s">
        <v>63</v>
      </c>
      <c r="B143" s="308" t="s">
        <v>405</v>
      </c>
      <c r="C143" s="15"/>
      <c r="D143" s="15"/>
      <c r="E143" s="15"/>
      <c r="F143" s="434" t="s">
        <v>279</v>
      </c>
      <c r="G143" s="15"/>
      <c r="I143" s="651">
        <v>2.2100000000000002E-2</v>
      </c>
      <c r="J143" s="23">
        <v>8025.44</v>
      </c>
      <c r="K143" s="42">
        <v>1</v>
      </c>
      <c r="L143" s="15">
        <v>42292</v>
      </c>
      <c r="M143" s="24">
        <v>8025.44</v>
      </c>
      <c r="N143" s="30">
        <v>42335</v>
      </c>
      <c r="O143" s="43"/>
      <c r="P143" s="81" t="str">
        <f t="shared" si="14"/>
        <v/>
      </c>
      <c r="Q143" s="81">
        <f t="shared" ref="Q143:Q151" si="16">IF(L143="",J143-M143,0)</f>
        <v>0</v>
      </c>
      <c r="R143" s="81"/>
      <c r="S143" s="163"/>
    </row>
    <row r="144" spans="1:19" s="26" customFormat="1" ht="12.2" customHeight="1" outlineLevel="1">
      <c r="A144" s="46" t="s">
        <v>63</v>
      </c>
      <c r="B144" s="308"/>
      <c r="C144" s="15"/>
      <c r="D144" s="15"/>
      <c r="E144" s="15"/>
      <c r="F144" s="85"/>
      <c r="G144" s="15"/>
      <c r="I144" s="651">
        <v>0.16420000000000001</v>
      </c>
      <c r="J144" s="23">
        <v>51587.040000000001</v>
      </c>
      <c r="K144" s="42">
        <v>2</v>
      </c>
      <c r="L144" s="15">
        <v>42544</v>
      </c>
      <c r="M144" s="24">
        <v>51587.040000000001</v>
      </c>
      <c r="N144" s="30">
        <v>42578</v>
      </c>
      <c r="O144" s="43"/>
      <c r="P144" s="81" t="str">
        <f t="shared" si="14"/>
        <v/>
      </c>
      <c r="Q144" s="81">
        <f t="shared" si="16"/>
        <v>0</v>
      </c>
      <c r="R144" s="81"/>
      <c r="S144" s="163"/>
    </row>
    <row r="145" spans="1:20" s="26" customFormat="1" ht="12.2" customHeight="1" outlineLevel="1">
      <c r="A145" s="46" t="s">
        <v>63</v>
      </c>
      <c r="B145" s="308"/>
      <c r="C145" s="15"/>
      <c r="D145" s="15"/>
      <c r="E145" s="15"/>
      <c r="F145" s="105"/>
      <c r="G145" s="15"/>
      <c r="I145" s="651">
        <v>0.26369999999999999</v>
      </c>
      <c r="J145" s="23">
        <v>36138.050000000003</v>
      </c>
      <c r="K145" s="42">
        <v>3</v>
      </c>
      <c r="L145" s="15">
        <v>42678</v>
      </c>
      <c r="M145" s="24">
        <v>36138.050000000003</v>
      </c>
      <c r="N145" s="30">
        <v>42752</v>
      </c>
      <c r="O145" s="43"/>
      <c r="P145" s="81" t="str">
        <f t="shared" si="14"/>
        <v/>
      </c>
      <c r="Q145" s="81"/>
      <c r="R145" s="81"/>
      <c r="S145" s="163"/>
    </row>
    <row r="146" spans="1:20" s="26" customFormat="1" ht="12.2" customHeight="1" outlineLevel="1">
      <c r="A146" s="46" t="s">
        <v>63</v>
      </c>
      <c r="B146" s="308"/>
      <c r="C146" s="15"/>
      <c r="D146" s="15"/>
      <c r="E146" s="15"/>
      <c r="F146" s="105"/>
      <c r="G146" s="15"/>
      <c r="I146" s="897">
        <v>0.8</v>
      </c>
      <c r="J146" s="23">
        <f>H142*80%-(J143+J144+J145)</f>
        <v>194763.07000000004</v>
      </c>
      <c r="K146" s="42"/>
      <c r="L146" s="15"/>
      <c r="M146" s="24"/>
      <c r="N146" s="30"/>
      <c r="O146" s="43"/>
      <c r="P146" s="81" t="str">
        <f t="shared" si="14"/>
        <v/>
      </c>
      <c r="Q146" s="81">
        <f t="shared" si="16"/>
        <v>194763.07000000004</v>
      </c>
      <c r="R146" s="81"/>
      <c r="S146" s="163"/>
    </row>
    <row r="147" spans="1:20" s="26" customFormat="1" ht="12.2" customHeight="1" outlineLevel="1">
      <c r="A147" s="46" t="s">
        <v>63</v>
      </c>
      <c r="B147" s="308"/>
      <c r="C147" s="15"/>
      <c r="D147" s="15"/>
      <c r="E147" s="15"/>
      <c r="F147" s="105"/>
      <c r="G147" s="15"/>
      <c r="I147" s="898">
        <v>1</v>
      </c>
      <c r="J147" s="23">
        <f>H142-J143-J144-J145-J146</f>
        <v>72628.399999999994</v>
      </c>
      <c r="K147" s="42"/>
      <c r="L147" s="15"/>
      <c r="M147" s="24"/>
      <c r="N147" s="30"/>
      <c r="O147" s="43"/>
      <c r="P147" s="81" t="str">
        <f t="shared" si="14"/>
        <v/>
      </c>
      <c r="Q147" s="81">
        <f t="shared" si="16"/>
        <v>72628.399999999994</v>
      </c>
      <c r="R147" s="81"/>
      <c r="S147" s="163"/>
    </row>
    <row r="148" spans="1:20" s="26" customFormat="1" ht="12" customHeight="1">
      <c r="A148" s="119" t="s">
        <v>63</v>
      </c>
      <c r="B148" s="307" t="s">
        <v>218</v>
      </c>
      <c r="C148" s="158">
        <v>41939</v>
      </c>
      <c r="D148" s="158">
        <f>DATE(YEAR(C148)+2,MONTH(C148),DAY(C148))</f>
        <v>42670</v>
      </c>
      <c r="E148" s="158">
        <v>42467</v>
      </c>
      <c r="F148" s="158">
        <f>DATE(YEAR(E148)+4,MONTH(E148),DAY(E148))</f>
        <v>43928</v>
      </c>
      <c r="G148" s="158"/>
      <c r="H148" s="126">
        <v>2000000</v>
      </c>
      <c r="I148" s="123"/>
      <c r="J148" s="123"/>
      <c r="K148" s="138"/>
      <c r="L148" s="158"/>
      <c r="M148" s="126">
        <f>SUM(M149:M151)</f>
        <v>100000</v>
      </c>
      <c r="N148" s="151"/>
      <c r="O148" s="152"/>
      <c r="P148" s="159">
        <f>SUM(P149:P151)</f>
        <v>0</v>
      </c>
      <c r="Q148" s="159">
        <f>SUM(Q149:Q151)</f>
        <v>1900000</v>
      </c>
      <c r="R148" s="159"/>
      <c r="S148" s="163">
        <f>H148-(M148+P148+Q148)</f>
        <v>0</v>
      </c>
    </row>
    <row r="149" spans="1:20" s="26" customFormat="1" ht="12.2" customHeight="1" outlineLevel="1">
      <c r="A149" s="46" t="s">
        <v>63</v>
      </c>
      <c r="B149" s="308" t="s">
        <v>406</v>
      </c>
      <c r="C149" s="15"/>
      <c r="D149" s="29"/>
      <c r="E149" s="15"/>
      <c r="F149" s="15"/>
      <c r="G149" s="15"/>
      <c r="I149" s="627">
        <v>0.05</v>
      </c>
      <c r="J149" s="23">
        <v>100000</v>
      </c>
      <c r="K149" s="42">
        <v>1</v>
      </c>
      <c r="L149" s="15">
        <v>42530</v>
      </c>
      <c r="M149" s="24">
        <v>100000</v>
      </c>
      <c r="N149" s="30">
        <v>42562</v>
      </c>
      <c r="O149" s="43"/>
      <c r="P149" s="81" t="str">
        <f t="shared" si="14"/>
        <v/>
      </c>
      <c r="Q149" s="81">
        <f t="shared" si="16"/>
        <v>0</v>
      </c>
      <c r="R149" s="81"/>
      <c r="S149" s="163"/>
    </row>
    <row r="150" spans="1:20" s="26" customFormat="1" ht="12.2" customHeight="1" outlineLevel="1">
      <c r="A150" s="46" t="s">
        <v>63</v>
      </c>
      <c r="B150" s="308"/>
      <c r="C150" s="15"/>
      <c r="D150" s="29"/>
      <c r="E150" s="15"/>
      <c r="F150" s="15"/>
      <c r="G150" s="15"/>
      <c r="I150" s="627">
        <v>0.8</v>
      </c>
      <c r="J150" s="23">
        <f>H148*I150-J149</f>
        <v>1500000</v>
      </c>
      <c r="K150" s="42">
        <v>2</v>
      </c>
      <c r="L150" s="15"/>
      <c r="M150" s="24"/>
      <c r="N150" s="30"/>
      <c r="O150" s="43"/>
      <c r="P150" s="81"/>
      <c r="Q150" s="81">
        <f t="shared" si="16"/>
        <v>1500000</v>
      </c>
      <c r="R150" s="81"/>
      <c r="S150" s="163"/>
    </row>
    <row r="151" spans="1:20" s="26" customFormat="1" ht="12.2" customHeight="1" outlineLevel="1">
      <c r="A151" s="46" t="s">
        <v>63</v>
      </c>
      <c r="B151" s="308"/>
      <c r="C151" s="15"/>
      <c r="D151" s="29"/>
      <c r="E151" s="15"/>
      <c r="F151" s="15"/>
      <c r="G151" s="15"/>
      <c r="I151" s="627">
        <v>1</v>
      </c>
      <c r="J151" s="23">
        <f>H148-J149-J150</f>
        <v>400000</v>
      </c>
      <c r="K151" s="42">
        <v>3</v>
      </c>
      <c r="L151" s="15"/>
      <c r="M151" s="24"/>
      <c r="N151" s="30"/>
      <c r="O151" s="43"/>
      <c r="P151" s="81"/>
      <c r="Q151" s="81">
        <f t="shared" si="16"/>
        <v>400000</v>
      </c>
      <c r="R151" s="81"/>
      <c r="S151" s="163"/>
    </row>
    <row r="152" spans="1:20" s="26" customFormat="1" ht="12.2" customHeight="1">
      <c r="A152" s="46"/>
      <c r="B152" s="308"/>
      <c r="C152" s="15"/>
      <c r="D152" s="29"/>
      <c r="E152" s="15"/>
      <c r="F152" s="15"/>
      <c r="G152" s="15"/>
      <c r="H152" s="24"/>
      <c r="I152" s="35"/>
      <c r="J152" s="23"/>
      <c r="K152" s="42"/>
      <c r="L152" s="15"/>
      <c r="M152" s="24"/>
      <c r="N152" s="30"/>
      <c r="O152" s="43"/>
      <c r="P152" s="81"/>
      <c r="Q152" s="81"/>
      <c r="R152" s="81"/>
      <c r="S152" s="163"/>
    </row>
    <row r="153" spans="1:20" s="8" customFormat="1" ht="12.2" customHeight="1">
      <c r="A153" s="48"/>
      <c r="B153" s="48"/>
      <c r="C153" s="48"/>
      <c r="D153" s="48"/>
      <c r="E153" s="48"/>
      <c r="F153" s="48"/>
      <c r="G153" s="48"/>
      <c r="H153" s="41">
        <f>H6+H13+H20+H33+H38+H45+H49+H53+H58+H61+H65+H70+H86+H77+H90+H104+H116+H119+H135+H83+H99+H28+H142+H148+H112+H108</f>
        <v>26941524.539999999</v>
      </c>
      <c r="I153" s="41"/>
      <c r="J153" s="41">
        <f>SUMPRODUCT((Date_AF_FRAFU&lt;&gt;"")*MontantAF_FRAFU)</f>
        <v>19034184.800000001</v>
      </c>
      <c r="K153" s="49"/>
      <c r="L153" s="50"/>
      <c r="M153" s="41">
        <f>M6+M13+M20+M33+M38+M45+M49+M53+M58+M61+M65+M70+M86+M77+M90+M104+M116+M119+M135+M83+M99+M28+M142+M148+M112+M108</f>
        <v>18793761.34</v>
      </c>
      <c r="N153" s="86"/>
      <c r="O153" s="79"/>
      <c r="P153" s="41">
        <f>P6+P13+P20+P33+P38+P45+P49+P53+P58+P61+P65+P70+P86+P77+P90+P104+P116+P119+P135+P83+P99+P28+P142+P148+P112+P108</f>
        <v>712517.91999999993</v>
      </c>
      <c r="Q153" s="41">
        <f>Q6+Q13+Q20+Q33+Q38+Q45+Q49+Q53+Q58+Q61+Q65+Q70+Q86+Q77+Q90+Q104+Q116+Q119+Q135+Q83+Q99+Q28+Q142+Q148+Q112+Q108</f>
        <v>7397110.4580000006</v>
      </c>
      <c r="R153" s="82"/>
      <c r="S153" s="164">
        <f>H153-(M153+P153+Q153)</f>
        <v>38134.822000000626</v>
      </c>
    </row>
    <row r="154" spans="1:20" ht="12.2" customHeight="1">
      <c r="A154" s="75"/>
      <c r="B154" s="75"/>
      <c r="C154" s="76"/>
      <c r="D154" s="76"/>
      <c r="E154" s="76"/>
      <c r="F154" s="76"/>
      <c r="G154" s="76"/>
      <c r="H154" s="76"/>
      <c r="I154" s="76"/>
      <c r="J154" s="76"/>
      <c r="K154" s="75"/>
      <c r="L154" s="76"/>
      <c r="M154" s="76"/>
      <c r="N154" s="87"/>
      <c r="O154" s="80"/>
      <c r="P154" s="1025">
        <f>SUM(P153:Q153)</f>
        <v>8109628.3780000005</v>
      </c>
      <c r="Q154" s="1026"/>
    </row>
    <row r="155" spans="1:20" s="6" customFormat="1" ht="13.5" thickBot="1">
      <c r="C155" s="1"/>
      <c r="D155" s="1"/>
      <c r="E155" s="1"/>
      <c r="F155" s="1"/>
      <c r="G155" s="1"/>
      <c r="H155" s="47"/>
      <c r="I155" s="47"/>
      <c r="J155" s="47"/>
      <c r="K155" s="522"/>
      <c r="L155" s="47"/>
      <c r="M155" s="47"/>
      <c r="N155" s="83"/>
      <c r="O155" s="77"/>
      <c r="P155" s="1"/>
      <c r="Q155" s="1"/>
      <c r="R155" s="1"/>
      <c r="S155" s="161"/>
      <c r="T155" s="1"/>
    </row>
    <row r="156" spans="1:20" ht="13.5" thickBot="1">
      <c r="J156" s="743" t="s">
        <v>207</v>
      </c>
      <c r="K156" s="736"/>
      <c r="L156" s="737"/>
      <c r="M156" s="747" t="s">
        <v>209</v>
      </c>
    </row>
    <row r="157" spans="1:20">
      <c r="I157" s="762">
        <v>2006</v>
      </c>
      <c r="J157" s="744">
        <f t="shared" ref="J157:J166" si="17">SUMPRODUCT((YEAR($I$173:$I$262)=I157)*$J$173:$J$262)</f>
        <v>1558057.8</v>
      </c>
      <c r="K157" s="522"/>
      <c r="L157" s="47"/>
      <c r="M157" s="744">
        <f>SUMPRODUCT((YEAR($I$173:$I$286)=I157)*$M$173:$M$286)</f>
        <v>135000</v>
      </c>
    </row>
    <row r="158" spans="1:20">
      <c r="A158" s="1"/>
      <c r="I158" s="763">
        <v>2007</v>
      </c>
      <c r="J158" s="744">
        <f t="shared" si="17"/>
        <v>170100</v>
      </c>
      <c r="K158" s="522"/>
      <c r="L158" s="47"/>
      <c r="M158" s="744">
        <f t="shared" ref="M158:M166" si="18">SUMPRODUCT((YEAR($I$173:$I$262)=I158)*$M$173:$M$262)</f>
        <v>1593157.8</v>
      </c>
    </row>
    <row r="159" spans="1:20">
      <c r="I159" s="763">
        <v>2010</v>
      </c>
      <c r="J159" s="744">
        <f t="shared" si="17"/>
        <v>63180</v>
      </c>
      <c r="K159" s="522"/>
      <c r="L159" s="47"/>
      <c r="M159" s="744">
        <f t="shared" si="18"/>
        <v>63180</v>
      </c>
    </row>
    <row r="160" spans="1:20">
      <c r="I160" s="749">
        <v>2011</v>
      </c>
      <c r="J160" s="744">
        <f t="shared" si="17"/>
        <v>1113274</v>
      </c>
      <c r="K160" s="522"/>
      <c r="L160" s="47"/>
      <c r="M160" s="744">
        <f t="shared" si="18"/>
        <v>964320</v>
      </c>
    </row>
    <row r="161" spans="9:13">
      <c r="I161" s="749">
        <v>2012</v>
      </c>
      <c r="J161" s="744">
        <f t="shared" si="17"/>
        <v>1260319.3</v>
      </c>
      <c r="K161" s="522"/>
      <c r="L161" s="47"/>
      <c r="M161" s="744">
        <f t="shared" si="18"/>
        <v>1285783.17</v>
      </c>
    </row>
    <row r="162" spans="9:13">
      <c r="I162" s="749">
        <v>2013</v>
      </c>
      <c r="J162" s="744">
        <f t="shared" si="17"/>
        <v>2866858.28</v>
      </c>
      <c r="K162" s="522"/>
      <c r="L162" s="47"/>
      <c r="M162" s="744">
        <f t="shared" si="18"/>
        <v>655454.87</v>
      </c>
    </row>
    <row r="163" spans="9:13">
      <c r="I163" s="749">
        <v>2014</v>
      </c>
      <c r="J163" s="744">
        <f t="shared" si="17"/>
        <v>2269922.3799999994</v>
      </c>
      <c r="K163" s="522"/>
      <c r="L163" s="47"/>
      <c r="M163" s="744">
        <f t="shared" si="18"/>
        <v>4460611.76</v>
      </c>
    </row>
    <row r="164" spans="9:13">
      <c r="I164" s="749">
        <v>2015</v>
      </c>
      <c r="J164" s="744">
        <f t="shared" si="17"/>
        <v>3264503.62</v>
      </c>
      <c r="K164" s="522"/>
      <c r="L164" s="47"/>
      <c r="M164" s="744">
        <f t="shared" si="18"/>
        <v>1769182.02</v>
      </c>
    </row>
    <row r="165" spans="9:13">
      <c r="I165" s="749">
        <v>2016</v>
      </c>
      <c r="J165" s="744">
        <f t="shared" si="17"/>
        <v>3128172.4920000001</v>
      </c>
      <c r="K165" s="522"/>
      <c r="L165" s="47"/>
      <c r="M165" s="744">
        <f t="shared" si="18"/>
        <v>3898075.0300000003</v>
      </c>
    </row>
    <row r="166" spans="9:13">
      <c r="I166" s="749">
        <v>2017</v>
      </c>
      <c r="J166" s="744">
        <f t="shared" si="17"/>
        <v>1630791.08</v>
      </c>
      <c r="K166" s="522"/>
      <c r="L166" s="47"/>
      <c r="M166" s="744">
        <f t="shared" si="18"/>
        <v>2215954.2799999998</v>
      </c>
    </row>
    <row r="167" spans="9:13" ht="13.5" thickBot="1">
      <c r="I167" s="749">
        <v>2018</v>
      </c>
      <c r="J167" s="744">
        <f>SUMPRODUCT((YEAR($I$173:$I$274)=I167)*$J$173:$J$274)</f>
        <v>1325881.7780000002</v>
      </c>
      <c r="K167" s="522"/>
      <c r="L167" s="47"/>
      <c r="M167" s="744">
        <f>SUMPRODUCT((YEAR($I$173:$I$274)=I167)*$M$173:$M$274)</f>
        <v>1554322.41</v>
      </c>
    </row>
    <row r="168" spans="9:13" ht="13.5" thickBot="1">
      <c r="I168" s="751">
        <v>2019</v>
      </c>
      <c r="J168" s="745">
        <f>SUMPRODUCT((YEAR($I$173:$I$286)=I168)*$J$173:$J$286)</f>
        <v>136252.47999999998</v>
      </c>
      <c r="K168" s="752"/>
      <c r="L168" s="753"/>
      <c r="M168" s="754">
        <f>SUMPRODUCT((YEAR($I$173:$I$286)=I168)*$M$173:$M$286)</f>
        <v>198720</v>
      </c>
    </row>
    <row r="169" spans="9:13" ht="13.5" thickBot="1">
      <c r="J169" s="900">
        <f>SUM(J157:J168)</f>
        <v>18787313.210000001</v>
      </c>
      <c r="K169" s="741"/>
      <c r="L169" s="742"/>
      <c r="M169" s="900">
        <f>SUM(M157:M168)</f>
        <v>18793761.34</v>
      </c>
    </row>
    <row r="170" spans="9:13">
      <c r="J170" s="91">
        <f>J169-J287</f>
        <v>0</v>
      </c>
      <c r="M170" s="91">
        <f>M169-M287</f>
        <v>0</v>
      </c>
    </row>
    <row r="171" spans="9:13">
      <c r="J171" s="91"/>
    </row>
    <row r="172" spans="9:13">
      <c r="J172" s="369" t="s">
        <v>207</v>
      </c>
      <c r="M172" s="370" t="s">
        <v>209</v>
      </c>
    </row>
    <row r="173" spans="9:13" hidden="1" outlineLevel="1">
      <c r="I173" s="378">
        <v>38961</v>
      </c>
      <c r="J173" s="367">
        <f t="shared" ref="J173:J204" si="19">SUMPRODUCT((DateAF&lt;&gt;"")*(MONTH(DateAF)=MONTH(I173))*(YEAR(DateAF)=YEAR(I173))*MontantAF)</f>
        <v>1558057.8</v>
      </c>
      <c r="M173" s="367">
        <f t="shared" ref="M173:M204" si="20">SUMPRODUCT((DatePmt&lt;&gt;"")*(DatePmt&lt;&gt;"en attente")*(MONTH(DatePmt)=MONTH(I173))*(YEAR(DatePmt)=YEAR(I173))*(ISNUMBER(MontantPaye)),MontantPaye)</f>
        <v>0</v>
      </c>
    </row>
    <row r="174" spans="9:13" hidden="1" outlineLevel="1">
      <c r="I174" s="378">
        <v>38991</v>
      </c>
      <c r="J174" s="367">
        <f t="shared" si="19"/>
        <v>0</v>
      </c>
      <c r="M174" s="367">
        <f t="shared" si="20"/>
        <v>135000</v>
      </c>
    </row>
    <row r="175" spans="9:13" hidden="1" outlineLevel="1">
      <c r="I175" s="378">
        <v>39203</v>
      </c>
      <c r="J175" s="367">
        <f t="shared" si="19"/>
        <v>170100</v>
      </c>
      <c r="M175" s="367">
        <f t="shared" si="20"/>
        <v>1423057.8</v>
      </c>
    </row>
    <row r="176" spans="9:13" ht="15" hidden="1" customHeight="1" outlineLevel="1">
      <c r="I176" s="378">
        <v>39234</v>
      </c>
      <c r="J176" s="367">
        <f t="shared" si="19"/>
        <v>0</v>
      </c>
      <c r="M176" s="367">
        <f t="shared" si="20"/>
        <v>170100</v>
      </c>
    </row>
    <row r="177" spans="9:13" ht="12.2" hidden="1" customHeight="1" outlineLevel="1">
      <c r="I177" s="378">
        <v>40269</v>
      </c>
      <c r="J177" s="367">
        <f t="shared" si="19"/>
        <v>63180</v>
      </c>
      <c r="M177" s="367">
        <f t="shared" si="20"/>
        <v>0</v>
      </c>
    </row>
    <row r="178" spans="9:13" ht="12.95" hidden="1" customHeight="1" outlineLevel="1">
      <c r="I178" s="378">
        <v>40360</v>
      </c>
      <c r="J178" s="367">
        <f t="shared" si="19"/>
        <v>0</v>
      </c>
      <c r="M178" s="367">
        <f t="shared" si="20"/>
        <v>63180</v>
      </c>
    </row>
    <row r="179" spans="9:13" hidden="1" outlineLevel="1">
      <c r="I179" s="366">
        <v>40544</v>
      </c>
      <c r="J179" s="367">
        <f t="shared" si="19"/>
        <v>375720</v>
      </c>
      <c r="M179" s="367">
        <f t="shared" si="20"/>
        <v>0</v>
      </c>
    </row>
    <row r="180" spans="9:13" hidden="1" outlineLevel="1">
      <c r="I180" s="366">
        <v>40575</v>
      </c>
      <c r="J180" s="367">
        <f t="shared" si="19"/>
        <v>0</v>
      </c>
      <c r="M180" s="367">
        <f t="shared" si="20"/>
        <v>0</v>
      </c>
    </row>
    <row r="181" spans="9:13" hidden="1" outlineLevel="1">
      <c r="I181" s="366">
        <v>40603</v>
      </c>
      <c r="J181" s="367">
        <f t="shared" si="19"/>
        <v>77760</v>
      </c>
      <c r="M181" s="367">
        <f t="shared" si="20"/>
        <v>0</v>
      </c>
    </row>
    <row r="182" spans="9:13" hidden="1" outlineLevel="1">
      <c r="I182" s="366">
        <v>40634</v>
      </c>
      <c r="J182" s="367">
        <f t="shared" si="19"/>
        <v>400167</v>
      </c>
      <c r="M182" s="367">
        <f t="shared" si="20"/>
        <v>280800</v>
      </c>
    </row>
    <row r="183" spans="9:13" hidden="1" outlineLevel="1">
      <c r="I183" s="366">
        <v>40664</v>
      </c>
      <c r="J183" s="367">
        <f t="shared" si="19"/>
        <v>0</v>
      </c>
      <c r="M183" s="367">
        <f t="shared" si="20"/>
        <v>0</v>
      </c>
    </row>
    <row r="184" spans="9:13" hidden="1" outlineLevel="1">
      <c r="I184" s="366">
        <v>40695</v>
      </c>
      <c r="J184" s="367">
        <f t="shared" si="19"/>
        <v>0</v>
      </c>
      <c r="M184" s="367">
        <f t="shared" si="20"/>
        <v>77760</v>
      </c>
    </row>
    <row r="185" spans="9:13" hidden="1" outlineLevel="1">
      <c r="I185" s="366">
        <v>40725</v>
      </c>
      <c r="J185" s="367">
        <f t="shared" si="19"/>
        <v>0</v>
      </c>
      <c r="M185" s="367">
        <f t="shared" si="20"/>
        <v>0</v>
      </c>
    </row>
    <row r="186" spans="9:13" hidden="1" outlineLevel="1">
      <c r="I186" s="366">
        <v>40756</v>
      </c>
      <c r="J186" s="367">
        <f t="shared" si="19"/>
        <v>0</v>
      </c>
      <c r="M186" s="367">
        <f t="shared" si="20"/>
        <v>0</v>
      </c>
    </row>
    <row r="187" spans="9:13" hidden="1" outlineLevel="1">
      <c r="I187" s="366">
        <v>40787</v>
      </c>
      <c r="J187" s="367">
        <f t="shared" si="19"/>
        <v>0</v>
      </c>
      <c r="M187" s="367">
        <f t="shared" si="20"/>
        <v>400167</v>
      </c>
    </row>
    <row r="188" spans="9:13" hidden="1" outlineLevel="1">
      <c r="I188" s="366">
        <v>40817</v>
      </c>
      <c r="J188" s="367">
        <f t="shared" si="19"/>
        <v>110673</v>
      </c>
      <c r="M188" s="367">
        <f t="shared" si="20"/>
        <v>0</v>
      </c>
    </row>
    <row r="189" spans="9:13" hidden="1" outlineLevel="1">
      <c r="I189" s="366">
        <v>40848</v>
      </c>
      <c r="J189" s="367">
        <f t="shared" si="19"/>
        <v>0</v>
      </c>
      <c r="M189" s="367">
        <f t="shared" si="20"/>
        <v>205593</v>
      </c>
    </row>
    <row r="190" spans="9:13" hidden="1" outlineLevel="1">
      <c r="I190" s="366">
        <v>40878</v>
      </c>
      <c r="J190" s="367">
        <f t="shared" si="19"/>
        <v>148954</v>
      </c>
      <c r="M190" s="367">
        <f t="shared" si="20"/>
        <v>0</v>
      </c>
    </row>
    <row r="191" spans="9:13" hidden="1" outlineLevel="1">
      <c r="I191" s="366">
        <v>40909</v>
      </c>
      <c r="J191" s="367">
        <f t="shared" si="19"/>
        <v>0</v>
      </c>
      <c r="M191" s="367">
        <f t="shared" si="20"/>
        <v>0</v>
      </c>
    </row>
    <row r="192" spans="9:13" hidden="1" outlineLevel="1">
      <c r="I192" s="366">
        <v>40940</v>
      </c>
      <c r="J192" s="367">
        <f t="shared" si="19"/>
        <v>731010</v>
      </c>
      <c r="M192" s="367">
        <f t="shared" si="20"/>
        <v>0</v>
      </c>
    </row>
    <row r="193" spans="9:13" hidden="1" outlineLevel="1">
      <c r="I193" s="366">
        <v>40969</v>
      </c>
      <c r="J193" s="367">
        <f t="shared" si="19"/>
        <v>0</v>
      </c>
      <c r="M193" s="367">
        <f t="shared" si="20"/>
        <v>148954</v>
      </c>
    </row>
    <row r="194" spans="9:13" hidden="1" outlineLevel="1">
      <c r="I194" s="366">
        <v>41000</v>
      </c>
      <c r="J194" s="367">
        <f t="shared" si="19"/>
        <v>0</v>
      </c>
      <c r="M194" s="367">
        <f t="shared" si="20"/>
        <v>0</v>
      </c>
    </row>
    <row r="195" spans="9:13" hidden="1" outlineLevel="1">
      <c r="I195" s="366">
        <v>41030</v>
      </c>
      <c r="J195" s="367">
        <f t="shared" si="19"/>
        <v>0</v>
      </c>
      <c r="M195" s="367">
        <f t="shared" si="20"/>
        <v>0</v>
      </c>
    </row>
    <row r="196" spans="9:13" hidden="1" outlineLevel="1">
      <c r="I196" s="366">
        <v>41061</v>
      </c>
      <c r="J196" s="367">
        <f t="shared" si="19"/>
        <v>45966.39</v>
      </c>
      <c r="M196" s="367">
        <f t="shared" si="20"/>
        <v>632190</v>
      </c>
    </row>
    <row r="197" spans="9:13" hidden="1" outlineLevel="1">
      <c r="I197" s="366">
        <v>41091</v>
      </c>
      <c r="J197" s="367">
        <f t="shared" si="19"/>
        <v>0</v>
      </c>
      <c r="M197" s="367">
        <f t="shared" si="20"/>
        <v>0</v>
      </c>
    </row>
    <row r="198" spans="9:13" hidden="1" outlineLevel="1">
      <c r="I198" s="366">
        <v>41122</v>
      </c>
      <c r="J198" s="367">
        <f t="shared" si="19"/>
        <v>289504.73</v>
      </c>
      <c r="M198" s="367">
        <f t="shared" si="20"/>
        <v>0</v>
      </c>
    </row>
    <row r="199" spans="9:13" hidden="1" outlineLevel="1">
      <c r="I199" s="366">
        <v>41153</v>
      </c>
      <c r="J199" s="367">
        <f t="shared" si="19"/>
        <v>0</v>
      </c>
      <c r="M199" s="367">
        <f t="shared" si="20"/>
        <v>45966.39</v>
      </c>
    </row>
    <row r="200" spans="9:13" hidden="1" outlineLevel="1">
      <c r="I200" s="366">
        <v>41183</v>
      </c>
      <c r="J200" s="367">
        <f t="shared" si="19"/>
        <v>193838.18</v>
      </c>
      <c r="M200" s="367">
        <f t="shared" si="20"/>
        <v>218455.73</v>
      </c>
    </row>
    <row r="201" spans="9:13" hidden="1" outlineLevel="1">
      <c r="I201" s="366">
        <v>41214</v>
      </c>
      <c r="J201" s="367">
        <f t="shared" si="19"/>
        <v>0</v>
      </c>
      <c r="M201" s="367">
        <f t="shared" si="20"/>
        <v>70348.05</v>
      </c>
    </row>
    <row r="202" spans="9:13" hidden="1" outlineLevel="1">
      <c r="I202" s="366">
        <v>41244</v>
      </c>
      <c r="J202" s="367">
        <f t="shared" si="19"/>
        <v>0</v>
      </c>
      <c r="M202" s="367">
        <f t="shared" si="20"/>
        <v>169869</v>
      </c>
    </row>
    <row r="203" spans="9:13" hidden="1" outlineLevel="1">
      <c r="I203" s="366">
        <v>41275</v>
      </c>
      <c r="J203" s="367">
        <f t="shared" si="19"/>
        <v>0</v>
      </c>
      <c r="M203" s="367">
        <f t="shared" si="20"/>
        <v>0</v>
      </c>
    </row>
    <row r="204" spans="9:13" hidden="1" outlineLevel="1">
      <c r="I204" s="366">
        <v>41306</v>
      </c>
      <c r="J204" s="367">
        <f t="shared" si="19"/>
        <v>0</v>
      </c>
      <c r="M204" s="367">
        <f t="shared" si="20"/>
        <v>0</v>
      </c>
    </row>
    <row r="205" spans="9:13" hidden="1" outlineLevel="1">
      <c r="I205" s="366">
        <v>41334</v>
      </c>
      <c r="J205" s="367">
        <f t="shared" ref="J205:J236" si="21">SUMPRODUCT((DateAF&lt;&gt;"")*(MONTH(DateAF)=MONTH(I205))*(YEAR(DateAF)=YEAR(I205))*MontantAF)</f>
        <v>187064.11000000002</v>
      </c>
      <c r="M205" s="367">
        <f t="shared" ref="M205:M236" si="22">SUMPRODUCT((DatePmt&lt;&gt;"")*(DatePmt&lt;&gt;"en attente")*(MONTH(DatePmt)=MONTH(I205))*(YEAR(DatePmt)=YEAR(I205))*(ISNUMBER(MontantPaye)),MontantPaye)</f>
        <v>0</v>
      </c>
    </row>
    <row r="206" spans="9:13" hidden="1" outlineLevel="1">
      <c r="I206" s="366">
        <v>41365</v>
      </c>
      <c r="J206" s="367">
        <f t="shared" si="21"/>
        <v>40785.4</v>
      </c>
      <c r="M206" s="367">
        <f t="shared" si="22"/>
        <v>73440</v>
      </c>
    </row>
    <row r="207" spans="9:13" hidden="1" outlineLevel="1">
      <c r="I207" s="366">
        <v>41395</v>
      </c>
      <c r="J207" s="367">
        <f t="shared" si="21"/>
        <v>41989.59</v>
      </c>
      <c r="M207" s="367">
        <f t="shared" si="22"/>
        <v>0</v>
      </c>
    </row>
    <row r="208" spans="9:13" hidden="1" outlineLevel="1">
      <c r="I208" s="366">
        <v>41426</v>
      </c>
      <c r="J208" s="367">
        <f t="shared" si="21"/>
        <v>0</v>
      </c>
      <c r="M208" s="367">
        <f t="shared" si="22"/>
        <v>141937.73000000001</v>
      </c>
    </row>
    <row r="209" spans="9:13" hidden="1" outlineLevel="1">
      <c r="I209" s="366">
        <v>41456</v>
      </c>
      <c r="J209" s="367">
        <f t="shared" si="21"/>
        <v>258660</v>
      </c>
      <c r="M209" s="367">
        <f t="shared" si="22"/>
        <v>0</v>
      </c>
    </row>
    <row r="210" spans="9:13" hidden="1" outlineLevel="1">
      <c r="I210" s="366">
        <v>41487</v>
      </c>
      <c r="J210" s="367">
        <f t="shared" si="21"/>
        <v>0</v>
      </c>
      <c r="M210" s="367">
        <f t="shared" si="22"/>
        <v>45126.38</v>
      </c>
    </row>
    <row r="211" spans="9:13" hidden="1" outlineLevel="1">
      <c r="I211" s="366">
        <v>41518</v>
      </c>
      <c r="J211" s="367">
        <f t="shared" si="21"/>
        <v>0</v>
      </c>
      <c r="M211" s="367">
        <f t="shared" si="22"/>
        <v>0</v>
      </c>
    </row>
    <row r="212" spans="9:13" hidden="1" outlineLevel="1">
      <c r="I212" s="366">
        <v>41548</v>
      </c>
      <c r="J212" s="367">
        <f t="shared" si="21"/>
        <v>427679.27</v>
      </c>
      <c r="M212" s="367">
        <f t="shared" si="22"/>
        <v>341434.99</v>
      </c>
    </row>
    <row r="213" spans="9:13" hidden="1" outlineLevel="1">
      <c r="I213" s="366">
        <v>41579</v>
      </c>
      <c r="J213" s="367">
        <f t="shared" si="21"/>
        <v>1910679.91</v>
      </c>
      <c r="M213" s="367">
        <f t="shared" si="22"/>
        <v>0</v>
      </c>
    </row>
    <row r="214" spans="9:13" hidden="1" outlineLevel="1">
      <c r="I214" s="366">
        <v>41609</v>
      </c>
      <c r="J214" s="367">
        <f t="shared" si="21"/>
        <v>0</v>
      </c>
      <c r="M214" s="367">
        <f t="shared" si="22"/>
        <v>53515.77</v>
      </c>
    </row>
    <row r="215" spans="9:13" hidden="1" outlineLevel="1">
      <c r="I215" s="366">
        <v>41640</v>
      </c>
      <c r="J215" s="367">
        <f t="shared" si="21"/>
        <v>51300</v>
      </c>
      <c r="M215" s="367">
        <f t="shared" si="22"/>
        <v>100365.94</v>
      </c>
    </row>
    <row r="216" spans="9:13" hidden="1" outlineLevel="1">
      <c r="I216" s="366">
        <v>41671</v>
      </c>
      <c r="J216" s="367">
        <f t="shared" si="21"/>
        <v>415351.74</v>
      </c>
      <c r="M216" s="367">
        <f t="shared" si="22"/>
        <v>273797.56</v>
      </c>
    </row>
    <row r="217" spans="9:13" hidden="1" outlineLevel="1">
      <c r="I217" s="366">
        <v>41699</v>
      </c>
      <c r="J217" s="367">
        <f t="shared" si="21"/>
        <v>1013388.83</v>
      </c>
      <c r="M217" s="367">
        <f t="shared" si="22"/>
        <v>0</v>
      </c>
    </row>
    <row r="218" spans="9:13" hidden="1" outlineLevel="1">
      <c r="I218" s="366">
        <v>41730</v>
      </c>
      <c r="J218" s="367">
        <f t="shared" si="21"/>
        <v>433480.41</v>
      </c>
      <c r="M218" s="367">
        <f t="shared" si="22"/>
        <v>626409.25</v>
      </c>
    </row>
    <row r="219" spans="9:13" hidden="1" outlineLevel="1">
      <c r="I219" s="366">
        <v>41760</v>
      </c>
      <c r="J219" s="367">
        <f t="shared" si="21"/>
        <v>0</v>
      </c>
      <c r="M219" s="367">
        <f t="shared" si="22"/>
        <v>853631.32</v>
      </c>
    </row>
    <row r="220" spans="9:13" hidden="1" outlineLevel="1">
      <c r="I220" s="366">
        <v>41791</v>
      </c>
      <c r="J220" s="367">
        <f t="shared" si="21"/>
        <v>0</v>
      </c>
      <c r="M220" s="367">
        <f t="shared" si="22"/>
        <v>2234161.09</v>
      </c>
    </row>
    <row r="221" spans="9:13" hidden="1" outlineLevel="1">
      <c r="I221" s="366">
        <v>41821</v>
      </c>
      <c r="J221" s="367">
        <f t="shared" si="21"/>
        <v>0</v>
      </c>
      <c r="M221" s="367">
        <f t="shared" si="22"/>
        <v>109999.23</v>
      </c>
    </row>
    <row r="222" spans="9:13" hidden="1" outlineLevel="1">
      <c r="I222" s="366">
        <v>41852</v>
      </c>
      <c r="J222" s="367">
        <f t="shared" si="21"/>
        <v>212197.24</v>
      </c>
      <c r="M222" s="367">
        <f t="shared" si="22"/>
        <v>0</v>
      </c>
    </row>
    <row r="223" spans="9:13" hidden="1" outlineLevel="1">
      <c r="I223" s="366">
        <v>41883</v>
      </c>
      <c r="J223" s="367">
        <f t="shared" si="21"/>
        <v>0</v>
      </c>
      <c r="M223" s="367">
        <f t="shared" si="22"/>
        <v>0</v>
      </c>
    </row>
    <row r="224" spans="9:13" hidden="1" outlineLevel="1">
      <c r="I224" s="366">
        <v>41913</v>
      </c>
      <c r="J224" s="367">
        <f t="shared" si="21"/>
        <v>34483.07</v>
      </c>
      <c r="M224" s="367">
        <f t="shared" si="22"/>
        <v>212197.24</v>
      </c>
    </row>
    <row r="225" spans="9:13" hidden="1" outlineLevel="1">
      <c r="I225" s="366">
        <v>41944</v>
      </c>
      <c r="J225" s="367">
        <f t="shared" si="21"/>
        <v>109721.09</v>
      </c>
      <c r="M225" s="367">
        <f t="shared" si="22"/>
        <v>0</v>
      </c>
    </row>
    <row r="226" spans="9:13" hidden="1" outlineLevel="1">
      <c r="I226" s="366">
        <v>41974</v>
      </c>
      <c r="J226" s="367">
        <f t="shared" si="21"/>
        <v>0</v>
      </c>
      <c r="M226" s="367">
        <f t="shared" si="22"/>
        <v>50050.13</v>
      </c>
    </row>
    <row r="227" spans="9:13" hidden="1" outlineLevel="1">
      <c r="I227" s="366">
        <v>42005</v>
      </c>
      <c r="J227" s="367">
        <f t="shared" si="21"/>
        <v>218936.63</v>
      </c>
      <c r="M227" s="367">
        <f t="shared" si="22"/>
        <v>34483.07</v>
      </c>
    </row>
    <row r="228" spans="9:13" hidden="1" outlineLevel="1">
      <c r="I228" s="366">
        <v>42036</v>
      </c>
      <c r="J228" s="367">
        <f t="shared" si="21"/>
        <v>85278.36</v>
      </c>
      <c r="M228" s="367">
        <f t="shared" si="22"/>
        <v>0</v>
      </c>
    </row>
    <row r="229" spans="9:13" hidden="1" outlineLevel="1">
      <c r="I229" s="366">
        <v>42064</v>
      </c>
      <c r="J229" s="367">
        <f t="shared" si="21"/>
        <v>0</v>
      </c>
      <c r="M229" s="367">
        <f t="shared" si="22"/>
        <v>218936.63</v>
      </c>
    </row>
    <row r="230" spans="9:13" hidden="1" outlineLevel="1">
      <c r="I230" s="366">
        <v>42095</v>
      </c>
      <c r="J230" s="367">
        <f t="shared" si="21"/>
        <v>0</v>
      </c>
      <c r="M230" s="367">
        <f t="shared" si="22"/>
        <v>109721.09</v>
      </c>
    </row>
    <row r="231" spans="9:13" hidden="1" outlineLevel="1">
      <c r="I231" s="366">
        <v>42125</v>
      </c>
      <c r="J231" s="367">
        <f t="shared" si="21"/>
        <v>0</v>
      </c>
      <c r="M231" s="367">
        <f t="shared" si="22"/>
        <v>0</v>
      </c>
    </row>
    <row r="232" spans="9:13" hidden="1" outlineLevel="1">
      <c r="I232" s="366">
        <v>42156</v>
      </c>
      <c r="J232" s="367">
        <f t="shared" si="21"/>
        <v>0</v>
      </c>
      <c r="M232" s="367">
        <f t="shared" si="22"/>
        <v>0</v>
      </c>
    </row>
    <row r="233" spans="9:13" hidden="1" outlineLevel="1">
      <c r="I233" s="366">
        <v>42186</v>
      </c>
      <c r="J233" s="367">
        <f t="shared" si="21"/>
        <v>132000</v>
      </c>
      <c r="M233" s="367">
        <f t="shared" si="22"/>
        <v>0</v>
      </c>
    </row>
    <row r="234" spans="9:13" hidden="1" outlineLevel="1">
      <c r="I234" s="366">
        <v>42217</v>
      </c>
      <c r="J234" s="367">
        <f t="shared" si="21"/>
        <v>612508.69999999995</v>
      </c>
      <c r="M234" s="367">
        <f t="shared" si="22"/>
        <v>0</v>
      </c>
    </row>
    <row r="235" spans="9:13" hidden="1" outlineLevel="1">
      <c r="I235" s="366">
        <v>42248</v>
      </c>
      <c r="J235" s="367">
        <f t="shared" si="21"/>
        <v>798731.84000000008</v>
      </c>
      <c r="M235" s="367">
        <f t="shared" si="22"/>
        <v>0</v>
      </c>
    </row>
    <row r="236" spans="9:13" hidden="1" outlineLevel="1">
      <c r="I236" s="366">
        <v>42278</v>
      </c>
      <c r="J236" s="367">
        <f t="shared" si="21"/>
        <v>8025.44</v>
      </c>
      <c r="M236" s="367">
        <f t="shared" si="22"/>
        <v>740603.36</v>
      </c>
    </row>
    <row r="237" spans="9:13" hidden="1" outlineLevel="1">
      <c r="I237" s="366">
        <v>42309</v>
      </c>
      <c r="J237" s="367">
        <f t="shared" ref="J237:J268" si="23">SUMPRODUCT((DateAF&lt;&gt;"")*(MONTH(DateAF)=MONTH(I237))*(YEAR(DateAF)=YEAR(I237))*MontantAF)</f>
        <v>1276587.01</v>
      </c>
      <c r="M237" s="367">
        <f t="shared" ref="M237:M268" si="24">SUMPRODUCT((DatePmt&lt;&gt;"")*(DatePmt&lt;&gt;"en attente")*(MONTH(DatePmt)=MONTH(I237))*(YEAR(DatePmt)=YEAR(I237))*(ISNUMBER(MontantPaye)),MontantPaye)</f>
        <v>665437.87</v>
      </c>
    </row>
    <row r="238" spans="9:13" hidden="1" outlineLevel="1">
      <c r="I238" s="366">
        <v>42339</v>
      </c>
      <c r="J238" s="367">
        <f t="shared" si="23"/>
        <v>132435.64000000001</v>
      </c>
      <c r="M238" s="367">
        <f t="shared" si="24"/>
        <v>0</v>
      </c>
    </row>
    <row r="239" spans="9:13" hidden="1" outlineLevel="1">
      <c r="I239" s="366">
        <v>42370</v>
      </c>
      <c r="J239" s="367">
        <f t="shared" si="23"/>
        <v>747740.59</v>
      </c>
      <c r="M239" s="367">
        <f t="shared" si="24"/>
        <v>1125520</v>
      </c>
    </row>
    <row r="240" spans="9:13" hidden="1" outlineLevel="1">
      <c r="I240" s="366">
        <v>42401</v>
      </c>
      <c r="J240" s="367">
        <f t="shared" si="23"/>
        <v>382280.8</v>
      </c>
      <c r="M240" s="367">
        <f t="shared" si="24"/>
        <v>151067.01</v>
      </c>
    </row>
    <row r="241" spans="9:13" hidden="1" outlineLevel="1">
      <c r="I241" s="366">
        <v>42430</v>
      </c>
      <c r="J241" s="367">
        <f t="shared" si="23"/>
        <v>0</v>
      </c>
      <c r="M241" s="367">
        <f t="shared" si="24"/>
        <v>1223278.3599999999</v>
      </c>
    </row>
    <row r="242" spans="9:13" hidden="1" outlineLevel="1">
      <c r="I242" s="366">
        <v>42461</v>
      </c>
      <c r="J242" s="367">
        <f t="shared" si="23"/>
        <v>12206.74</v>
      </c>
      <c r="M242" s="367">
        <f t="shared" si="24"/>
        <v>266776.44</v>
      </c>
    </row>
    <row r="243" spans="9:13" hidden="1" outlineLevel="1">
      <c r="I243" s="366">
        <v>42491</v>
      </c>
      <c r="J243" s="367">
        <f t="shared" si="23"/>
        <v>67421.97</v>
      </c>
      <c r="M243" s="367">
        <f t="shared" si="24"/>
        <v>0</v>
      </c>
    </row>
    <row r="244" spans="9:13" hidden="1" outlineLevel="1">
      <c r="I244" s="366">
        <v>42522</v>
      </c>
      <c r="J244" s="367">
        <f t="shared" si="23"/>
        <v>819294.5</v>
      </c>
      <c r="M244" s="367">
        <f t="shared" si="24"/>
        <v>0</v>
      </c>
    </row>
    <row r="245" spans="9:13" hidden="1" outlineLevel="1">
      <c r="I245" s="366">
        <v>42552</v>
      </c>
      <c r="J245" s="367">
        <f t="shared" si="23"/>
        <v>0</v>
      </c>
      <c r="M245" s="367">
        <f t="shared" si="24"/>
        <v>897923.21000000008</v>
      </c>
    </row>
    <row r="246" spans="9:13" hidden="1" outlineLevel="1">
      <c r="I246" s="366">
        <v>42583</v>
      </c>
      <c r="J246" s="367">
        <f t="shared" si="23"/>
        <v>118555.58</v>
      </c>
      <c r="M246" s="367">
        <f t="shared" si="24"/>
        <v>0</v>
      </c>
    </row>
    <row r="247" spans="9:13" hidden="1" outlineLevel="1">
      <c r="I247" s="366">
        <v>42614</v>
      </c>
      <c r="J247" s="367">
        <f t="shared" si="23"/>
        <v>114954.43</v>
      </c>
      <c r="M247" s="367">
        <f t="shared" si="24"/>
        <v>0</v>
      </c>
    </row>
    <row r="248" spans="9:13" hidden="1" outlineLevel="1">
      <c r="I248" s="366">
        <v>42644</v>
      </c>
      <c r="J248" s="367">
        <f t="shared" si="23"/>
        <v>0</v>
      </c>
      <c r="M248" s="367">
        <f t="shared" si="24"/>
        <v>233510.01</v>
      </c>
    </row>
    <row r="249" spans="9:13" hidden="1" outlineLevel="1">
      <c r="I249" s="366">
        <v>42675</v>
      </c>
      <c r="J249" s="367">
        <f t="shared" si="23"/>
        <v>793853.57199999993</v>
      </c>
      <c r="M249" s="367">
        <f t="shared" si="24"/>
        <v>0</v>
      </c>
    </row>
    <row r="250" spans="9:13" hidden="1" outlineLevel="1">
      <c r="I250" s="366">
        <v>42705</v>
      </c>
      <c r="J250" s="367">
        <f t="shared" si="23"/>
        <v>71864.31</v>
      </c>
      <c r="M250" s="367">
        <f t="shared" si="24"/>
        <v>0</v>
      </c>
    </row>
    <row r="251" spans="9:13" hidden="1" outlineLevel="1">
      <c r="I251" s="366">
        <v>42736</v>
      </c>
      <c r="J251" s="367">
        <f t="shared" si="23"/>
        <v>253424.69</v>
      </c>
      <c r="M251" s="367">
        <f t="shared" si="24"/>
        <v>793853.57000000007</v>
      </c>
    </row>
    <row r="252" spans="9:13" hidden="1" outlineLevel="1">
      <c r="I252" s="366">
        <v>42767</v>
      </c>
      <c r="J252" s="367">
        <f t="shared" si="23"/>
        <v>129139.31</v>
      </c>
      <c r="M252" s="367">
        <f t="shared" si="24"/>
        <v>159864.31</v>
      </c>
    </row>
    <row r="253" spans="9:13" hidden="1" outlineLevel="1">
      <c r="I253" s="366">
        <v>42795</v>
      </c>
      <c r="J253" s="367">
        <f t="shared" si="23"/>
        <v>32119.929999999993</v>
      </c>
      <c r="M253" s="367">
        <f t="shared" si="24"/>
        <v>165424.69</v>
      </c>
    </row>
    <row r="254" spans="9:13" hidden="1" outlineLevel="1">
      <c r="I254" s="366">
        <v>42826</v>
      </c>
      <c r="J254" s="367">
        <f t="shared" si="23"/>
        <v>0</v>
      </c>
      <c r="M254" s="367">
        <f t="shared" si="24"/>
        <v>161259.14000000001</v>
      </c>
    </row>
    <row r="255" spans="9:13" hidden="1" outlineLevel="1">
      <c r="I255" s="366">
        <v>42856</v>
      </c>
      <c r="J255" s="367">
        <f t="shared" si="23"/>
        <v>0</v>
      </c>
      <c r="M255" s="367">
        <f t="shared" si="24"/>
        <v>0</v>
      </c>
    </row>
    <row r="256" spans="9:13" hidden="1" outlineLevel="1">
      <c r="I256" s="366">
        <v>42887</v>
      </c>
      <c r="J256" s="367">
        <f t="shared" si="23"/>
        <v>259092.98</v>
      </c>
      <c r="M256" s="367">
        <f t="shared" si="24"/>
        <v>0</v>
      </c>
    </row>
    <row r="257" spans="9:13" hidden="1" outlineLevel="1">
      <c r="I257" s="366">
        <v>42917</v>
      </c>
      <c r="J257" s="367">
        <f t="shared" si="23"/>
        <v>295815.45</v>
      </c>
      <c r="M257" s="367">
        <f t="shared" si="24"/>
        <v>125208.48</v>
      </c>
    </row>
    <row r="258" spans="9:13" hidden="1" outlineLevel="1">
      <c r="I258" s="366">
        <v>42948</v>
      </c>
      <c r="J258" s="367">
        <f t="shared" si="23"/>
        <v>344644.14</v>
      </c>
      <c r="M258" s="367">
        <f t="shared" si="24"/>
        <v>0</v>
      </c>
    </row>
    <row r="259" spans="9:13" hidden="1" outlineLevel="1">
      <c r="I259" s="366">
        <v>42979</v>
      </c>
      <c r="J259" s="367">
        <f t="shared" si="23"/>
        <v>76673.78</v>
      </c>
      <c r="M259" s="367">
        <f t="shared" si="24"/>
        <v>415205.44</v>
      </c>
    </row>
    <row r="260" spans="9:13" hidden="1" outlineLevel="1">
      <c r="I260" s="366">
        <v>43009</v>
      </c>
      <c r="J260" s="367">
        <f t="shared" si="23"/>
        <v>0</v>
      </c>
      <c r="M260" s="367">
        <f t="shared" si="24"/>
        <v>225254.15000000002</v>
      </c>
    </row>
    <row r="261" spans="9:13" hidden="1" outlineLevel="1">
      <c r="I261" s="366">
        <v>43040</v>
      </c>
      <c r="J261" s="367">
        <f t="shared" si="23"/>
        <v>81445.3</v>
      </c>
      <c r="M261" s="367">
        <f t="shared" si="24"/>
        <v>0</v>
      </c>
    </row>
    <row r="262" spans="9:13" hidden="1" outlineLevel="1">
      <c r="I262" s="366">
        <v>43070</v>
      </c>
      <c r="J262" s="367">
        <f t="shared" si="23"/>
        <v>158435.5</v>
      </c>
      <c r="M262" s="367">
        <f t="shared" si="24"/>
        <v>169884.5</v>
      </c>
    </row>
    <row r="263" spans="9:13" hidden="1" outlineLevel="1">
      <c r="I263" s="366">
        <v>43101</v>
      </c>
      <c r="J263" s="367">
        <f t="shared" si="23"/>
        <v>0</v>
      </c>
      <c r="M263" s="367">
        <f t="shared" si="24"/>
        <v>81445.3</v>
      </c>
    </row>
    <row r="264" spans="9:13" hidden="1" outlineLevel="1">
      <c r="I264" s="366">
        <v>43132</v>
      </c>
      <c r="J264" s="367">
        <f t="shared" si="23"/>
        <v>0</v>
      </c>
      <c r="M264" s="367">
        <f t="shared" si="24"/>
        <v>0</v>
      </c>
    </row>
    <row r="265" spans="9:13" hidden="1" outlineLevel="1">
      <c r="I265" s="366">
        <v>43160</v>
      </c>
      <c r="J265" s="367">
        <f t="shared" si="23"/>
        <v>136265.43999999994</v>
      </c>
      <c r="M265" s="367">
        <f t="shared" si="24"/>
        <v>0</v>
      </c>
    </row>
    <row r="266" spans="9:13" hidden="1" outlineLevel="1">
      <c r="I266" s="366">
        <v>43191</v>
      </c>
      <c r="J266" s="367">
        <f t="shared" si="23"/>
        <v>0</v>
      </c>
      <c r="M266" s="367">
        <f t="shared" si="24"/>
        <v>158435.5</v>
      </c>
    </row>
    <row r="267" spans="9:13" hidden="1" outlineLevel="1">
      <c r="I267" s="366">
        <v>43221</v>
      </c>
      <c r="J267" s="367">
        <f t="shared" si="23"/>
        <v>456640.33799999999</v>
      </c>
      <c r="M267" s="367">
        <f t="shared" si="24"/>
        <v>0</v>
      </c>
    </row>
    <row r="268" spans="9:13" hidden="1" outlineLevel="1">
      <c r="I268" s="366">
        <v>43252</v>
      </c>
      <c r="J268" s="367">
        <f t="shared" si="23"/>
        <v>270744.06</v>
      </c>
      <c r="M268" s="367">
        <f t="shared" si="24"/>
        <v>0</v>
      </c>
    </row>
    <row r="269" spans="9:13" hidden="1" outlineLevel="1">
      <c r="I269" s="366">
        <v>43282</v>
      </c>
      <c r="J269" s="367">
        <f t="shared" ref="J269:J300" si="25">SUMPRODUCT((DateAF&lt;&gt;"")*(MONTH(DateAF)=MONTH(I269))*(YEAR(DateAF)=YEAR(I269))*MontantAF)</f>
        <v>0</v>
      </c>
      <c r="M269" s="367">
        <f t="shared" ref="M269:M286" si="26">SUMPRODUCT((DatePmt&lt;&gt;"")*(DatePmt&lt;&gt;"en attente")*(MONTH(DatePmt)=MONTH(I269))*(YEAR(DatePmt)=YEAR(I269))*(ISNUMBER(MontantPaye)),MontantPaye)</f>
        <v>517615.65</v>
      </c>
    </row>
    <row r="270" spans="9:13" hidden="1" outlineLevel="1">
      <c r="I270" s="366">
        <v>43313</v>
      </c>
      <c r="J270" s="367">
        <f t="shared" si="25"/>
        <v>56578.880000000005</v>
      </c>
      <c r="M270" s="367">
        <f t="shared" si="26"/>
        <v>0</v>
      </c>
    </row>
    <row r="271" spans="9:13" hidden="1" outlineLevel="1">
      <c r="I271" s="366">
        <v>43344</v>
      </c>
      <c r="J271" s="367">
        <f t="shared" si="25"/>
        <v>0</v>
      </c>
      <c r="M271" s="367">
        <f t="shared" si="26"/>
        <v>196020</v>
      </c>
    </row>
    <row r="272" spans="9:13" hidden="1" outlineLevel="1">
      <c r="I272" s="366">
        <v>43374</v>
      </c>
      <c r="J272" s="367">
        <f t="shared" si="25"/>
        <v>146932.96</v>
      </c>
      <c r="M272" s="367">
        <f t="shared" si="26"/>
        <v>56578.879999999997</v>
      </c>
    </row>
    <row r="273" spans="9:13" hidden="1" outlineLevel="1">
      <c r="I273" s="366">
        <v>43405</v>
      </c>
      <c r="J273" s="367">
        <f t="shared" si="25"/>
        <v>0</v>
      </c>
      <c r="M273" s="367">
        <f t="shared" si="26"/>
        <v>407553.3</v>
      </c>
    </row>
    <row r="274" spans="9:13" hidden="1" outlineLevel="1">
      <c r="I274" s="366">
        <v>43435</v>
      </c>
      <c r="J274" s="367">
        <f t="shared" si="25"/>
        <v>258720.1</v>
      </c>
      <c r="M274" s="367">
        <f t="shared" si="26"/>
        <v>136673.78</v>
      </c>
    </row>
    <row r="275" spans="9:13" collapsed="1">
      <c r="I275" s="366">
        <v>43466</v>
      </c>
      <c r="J275" s="367">
        <f t="shared" si="25"/>
        <v>0</v>
      </c>
      <c r="M275" s="367">
        <f t="shared" si="26"/>
        <v>0</v>
      </c>
    </row>
    <row r="276" spans="9:13">
      <c r="I276" s="366">
        <v>43497</v>
      </c>
      <c r="J276" s="367">
        <f t="shared" si="25"/>
        <v>0</v>
      </c>
      <c r="M276" s="367">
        <f t="shared" si="26"/>
        <v>0</v>
      </c>
    </row>
    <row r="277" spans="9:13">
      <c r="I277" s="366">
        <v>43525</v>
      </c>
      <c r="J277" s="367">
        <f t="shared" si="25"/>
        <v>0</v>
      </c>
      <c r="M277" s="367">
        <f t="shared" si="26"/>
        <v>0</v>
      </c>
    </row>
    <row r="278" spans="9:13">
      <c r="I278" s="366">
        <v>43556</v>
      </c>
      <c r="J278" s="367">
        <f t="shared" si="25"/>
        <v>136252.47999999998</v>
      </c>
      <c r="M278" s="367">
        <f t="shared" si="26"/>
        <v>198720</v>
      </c>
    </row>
    <row r="279" spans="9:13">
      <c r="I279" s="366">
        <v>43586</v>
      </c>
      <c r="J279" s="367">
        <f t="shared" si="25"/>
        <v>0</v>
      </c>
      <c r="M279" s="367">
        <f t="shared" si="26"/>
        <v>0</v>
      </c>
    </row>
    <row r="280" spans="9:13">
      <c r="I280" s="366">
        <v>43617</v>
      </c>
      <c r="J280" s="367">
        <f t="shared" si="25"/>
        <v>0</v>
      </c>
      <c r="M280" s="367">
        <f t="shared" si="26"/>
        <v>0</v>
      </c>
    </row>
    <row r="281" spans="9:13">
      <c r="I281" s="366">
        <v>43647</v>
      </c>
      <c r="J281" s="367">
        <f t="shared" si="25"/>
        <v>0</v>
      </c>
      <c r="M281" s="367">
        <f t="shared" si="26"/>
        <v>0</v>
      </c>
    </row>
    <row r="282" spans="9:13">
      <c r="I282" s="366">
        <v>43678</v>
      </c>
      <c r="J282" s="367">
        <f t="shared" si="25"/>
        <v>0</v>
      </c>
      <c r="M282" s="367">
        <f t="shared" si="26"/>
        <v>0</v>
      </c>
    </row>
    <row r="283" spans="9:13">
      <c r="I283" s="366">
        <v>43709</v>
      </c>
      <c r="J283" s="367">
        <f t="shared" si="25"/>
        <v>0</v>
      </c>
      <c r="M283" s="367">
        <f t="shared" si="26"/>
        <v>0</v>
      </c>
    </row>
    <row r="284" spans="9:13">
      <c r="I284" s="366">
        <v>43739</v>
      </c>
      <c r="J284" s="367">
        <f t="shared" si="25"/>
        <v>0</v>
      </c>
      <c r="M284" s="367">
        <f t="shared" si="26"/>
        <v>0</v>
      </c>
    </row>
    <row r="285" spans="9:13">
      <c r="I285" s="366">
        <v>43770</v>
      </c>
      <c r="J285" s="367">
        <f t="shared" si="25"/>
        <v>0</v>
      </c>
      <c r="M285" s="367">
        <f t="shared" si="26"/>
        <v>0</v>
      </c>
    </row>
    <row r="286" spans="9:13">
      <c r="I286" s="366">
        <v>43800</v>
      </c>
      <c r="J286" s="367">
        <f t="shared" si="25"/>
        <v>0</v>
      </c>
      <c r="M286" s="367">
        <f t="shared" si="26"/>
        <v>0</v>
      </c>
    </row>
    <row r="287" spans="9:13">
      <c r="J287" s="371">
        <f>SUM(J173:J286)</f>
        <v>18787313.210000005</v>
      </c>
      <c r="K287" s="367"/>
      <c r="L287" s="367"/>
      <c r="M287" s="372">
        <f>SUM(M173:M286)</f>
        <v>18793761.34</v>
      </c>
    </row>
    <row r="288" spans="9:13">
      <c r="J288" s="91">
        <f>J287-J153</f>
        <v>-246871.58999999613</v>
      </c>
      <c r="M288" s="91">
        <f>M287-M153</f>
        <v>0</v>
      </c>
    </row>
  </sheetData>
  <autoFilter ref="A5:S154"/>
  <mergeCells count="11">
    <mergeCell ref="P154:Q154"/>
    <mergeCell ref="A2:P2"/>
    <mergeCell ref="J4:O4"/>
    <mergeCell ref="P4:Q4"/>
    <mergeCell ref="K68:K69"/>
    <mergeCell ref="L68:L69"/>
    <mergeCell ref="M68:M69"/>
    <mergeCell ref="N68:N69"/>
    <mergeCell ref="P68:P69"/>
    <mergeCell ref="K97:K98"/>
    <mergeCell ref="L97:L98"/>
  </mergeCells>
  <pageMargins left="0.7" right="0.7" top="0.75" bottom="0.75" header="0.3" footer="0.3"/>
  <pageSetup paperSize="9" scale="29" orientation="portrait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>
    <tabColor rgb="FF00B050"/>
    <outlinePr summaryBelow="0"/>
  </sheetPr>
  <dimension ref="A1:U552"/>
  <sheetViews>
    <sheetView zoomScaleNormal="100" zoomScaleSheetLayoutView="100" workbookViewId="0">
      <pane xSplit="2" ySplit="5" topLeftCell="H284" activePane="bottomRight" state="frozen"/>
      <selection pane="topRight" activeCell="C1" sqref="C1"/>
      <selection pane="bottomLeft" activeCell="A6" sqref="A6"/>
      <selection pane="bottomRight" activeCell="I217" sqref="I217"/>
    </sheetView>
  </sheetViews>
  <sheetFormatPr defaultColWidth="11.42578125" defaultRowHeight="12.75" outlineLevelRow="1" outlineLevelCol="1"/>
  <cols>
    <col min="1" max="1" width="33.28515625" style="6" customWidth="1"/>
    <col min="2" max="2" width="17.42578125" style="1" customWidth="1" outlineLevel="1"/>
    <col min="3" max="3" width="14.28515625" style="1" customWidth="1"/>
    <col min="4" max="5" width="15.140625" style="1" customWidth="1"/>
    <col min="6" max="6" width="13.42578125" style="181" customWidth="1"/>
    <col min="7" max="7" width="16.140625" style="1" customWidth="1"/>
    <col min="8" max="8" width="13" style="1" customWidth="1"/>
    <col min="9" max="10" width="17.5703125" style="1" customWidth="1"/>
    <col min="11" max="11" width="16" style="1" customWidth="1"/>
    <col min="12" max="12" width="4.140625" style="6" bestFit="1" customWidth="1"/>
    <col min="13" max="13" width="10.42578125" style="1" bestFit="1" customWidth="1"/>
    <col min="14" max="14" width="16" style="1" customWidth="1"/>
    <col min="15" max="15" width="14.85546875" style="83" customWidth="1"/>
    <col min="16" max="16" width="18.5703125" style="77" bestFit="1" customWidth="1"/>
    <col min="17" max="17" width="17.5703125" style="1" customWidth="1"/>
    <col min="18" max="19" width="18.7109375" style="1" customWidth="1"/>
    <col min="20" max="20" width="11.42578125" style="166"/>
    <col min="21" max="16384" width="11.42578125" style="1"/>
  </cols>
  <sheetData>
    <row r="1" spans="1:21">
      <c r="K1" s="91">
        <f>K538</f>
        <v>25983371.969999999</v>
      </c>
    </row>
    <row r="2" spans="1:21">
      <c r="A2" s="1027" t="s">
        <v>98</v>
      </c>
      <c r="B2" s="1027"/>
      <c r="C2" s="1027"/>
      <c r="D2" s="1027"/>
      <c r="E2" s="1027"/>
      <c r="F2" s="1027"/>
      <c r="G2" s="1027"/>
      <c r="H2" s="1027"/>
      <c r="I2" s="1027"/>
      <c r="J2" s="1027"/>
      <c r="K2" s="1027"/>
      <c r="L2" s="1027"/>
      <c r="M2" s="1027"/>
      <c r="N2" s="1027"/>
      <c r="O2" s="1027"/>
      <c r="P2" s="1027"/>
      <c r="Q2" s="1027"/>
      <c r="R2" s="9">
        <f ca="1">TODAY()</f>
        <v>43599</v>
      </c>
      <c r="S2" s="9"/>
    </row>
    <row r="3" spans="1:21">
      <c r="Q3" s="91"/>
    </row>
    <row r="4" spans="1:21" s="2" customFormat="1" ht="24" customHeight="1">
      <c r="A4" s="1044" t="s">
        <v>2</v>
      </c>
      <c r="B4" s="1032" t="s">
        <v>0</v>
      </c>
      <c r="C4" s="1032" t="s">
        <v>21</v>
      </c>
      <c r="D4" s="1044" t="s">
        <v>122</v>
      </c>
      <c r="E4" s="379" t="s">
        <v>227</v>
      </c>
      <c r="F4" s="171" t="s">
        <v>99</v>
      </c>
      <c r="G4" s="1044" t="s">
        <v>104</v>
      </c>
      <c r="H4" s="114" t="s">
        <v>100</v>
      </c>
      <c r="I4" s="1032" t="s">
        <v>12</v>
      </c>
      <c r="J4" s="919" t="s">
        <v>408</v>
      </c>
      <c r="K4" s="1028" t="s">
        <v>4</v>
      </c>
      <c r="L4" s="1029"/>
      <c r="M4" s="1029"/>
      <c r="N4" s="1029"/>
      <c r="O4" s="1029"/>
      <c r="P4" s="1030"/>
      <c r="Q4" s="1031" t="s">
        <v>13</v>
      </c>
      <c r="R4" s="1032"/>
      <c r="S4" s="3" t="s">
        <v>96</v>
      </c>
      <c r="T4" s="167"/>
      <c r="U4" s="63"/>
    </row>
    <row r="5" spans="1:21" s="13" customFormat="1">
      <c r="A5" s="1045"/>
      <c r="B5" s="1046"/>
      <c r="C5" s="1046"/>
      <c r="D5" s="1045"/>
      <c r="E5" s="380"/>
      <c r="F5" s="172"/>
      <c r="G5" s="1045"/>
      <c r="H5" s="115"/>
      <c r="I5" s="1046"/>
      <c r="J5" s="947"/>
      <c r="K5" s="10" t="s">
        <v>1</v>
      </c>
      <c r="L5" s="11" t="s">
        <v>3</v>
      </c>
      <c r="M5" s="11" t="s">
        <v>15</v>
      </c>
      <c r="N5" s="12" t="s">
        <v>14</v>
      </c>
      <c r="O5" s="84" t="s">
        <v>15</v>
      </c>
      <c r="P5" s="78" t="s">
        <v>18</v>
      </c>
      <c r="Q5" s="3" t="s">
        <v>20</v>
      </c>
      <c r="R5" s="3" t="s">
        <v>19</v>
      </c>
      <c r="S5" s="3"/>
      <c r="T5" s="168"/>
    </row>
    <row r="6" spans="1:21" s="8" customFormat="1" collapsed="1">
      <c r="A6" s="323" t="s">
        <v>38</v>
      </c>
      <c r="B6" s="396"/>
      <c r="C6" s="329">
        <v>40389</v>
      </c>
      <c r="D6" s="324">
        <f>DATE(YEAR(C6),MONTH(C6)+18,DAY(C6))</f>
        <v>40938</v>
      </c>
      <c r="E6" s="324"/>
      <c r="F6" s="422">
        <v>40499</v>
      </c>
      <c r="G6" s="324">
        <f>DATE(YEAR(C6)+4,MONTH(C6),DAY(C6))</f>
        <v>41850</v>
      </c>
      <c r="H6" s="324">
        <v>40910</v>
      </c>
      <c r="I6" s="325">
        <v>832014</v>
      </c>
      <c r="J6" s="325"/>
      <c r="K6" s="326"/>
      <c r="L6" s="398"/>
      <c r="M6" s="330"/>
      <c r="N6" s="328">
        <f>SUM(N7:N12)</f>
        <v>832014</v>
      </c>
      <c r="O6" s="329"/>
      <c r="P6" s="423"/>
      <c r="Q6" s="325">
        <f>SUM(Q7:Q12)</f>
        <v>0</v>
      </c>
      <c r="R6" s="325">
        <f>SUM(R7:R12)</f>
        <v>0</v>
      </c>
      <c r="S6" s="325"/>
      <c r="T6" s="163">
        <f>I6-(N6+Q6+R6)</f>
        <v>0</v>
      </c>
    </row>
    <row r="7" spans="1:21" s="26" customFormat="1" hidden="1" outlineLevel="1">
      <c r="A7" s="332" t="s">
        <v>38</v>
      </c>
      <c r="B7" s="351"/>
      <c r="C7" s="345"/>
      <c r="D7" s="345"/>
      <c r="E7" s="345"/>
      <c r="F7" s="424"/>
      <c r="G7" s="345"/>
      <c r="H7" s="949"/>
      <c r="I7" s="411"/>
      <c r="J7" s="346">
        <f>K7/$I$6</f>
        <v>0.3</v>
      </c>
      <c r="K7" s="402">
        <v>249604.2</v>
      </c>
      <c r="L7" s="348">
        <v>1</v>
      </c>
      <c r="M7" s="350">
        <v>40519</v>
      </c>
      <c r="N7" s="347">
        <v>249604.2</v>
      </c>
      <c r="O7" s="350">
        <v>40632</v>
      </c>
      <c r="P7" s="408">
        <f t="shared" ref="P7:P12" si="0">IF(O7="",$R$2-M7,O7-M7)</f>
        <v>113</v>
      </c>
      <c r="Q7" s="352" t="str">
        <f t="shared" ref="Q7:Q12" si="1">IF(N7="en attente",K7,"")</f>
        <v/>
      </c>
      <c r="R7" s="352">
        <f t="shared" ref="R7:R12" si="2">IF(M7="",K7-N7,0)</f>
        <v>0</v>
      </c>
      <c r="S7" s="352"/>
      <c r="T7" s="163"/>
    </row>
    <row r="8" spans="1:21" s="26" customFormat="1" hidden="1" outlineLevel="1">
      <c r="A8" s="332" t="s">
        <v>38</v>
      </c>
      <c r="B8" s="351"/>
      <c r="C8" s="345"/>
      <c r="D8" s="345"/>
      <c r="E8" s="345"/>
      <c r="F8" s="424"/>
      <c r="G8" s="345"/>
      <c r="H8" s="949"/>
      <c r="I8" s="411"/>
      <c r="J8" s="346">
        <f>K8/$I$6+J7</f>
        <v>0.41229999735581369</v>
      </c>
      <c r="K8" s="347">
        <v>93435.17</v>
      </c>
      <c r="L8" s="348">
        <v>2</v>
      </c>
      <c r="M8" s="345">
        <v>40711</v>
      </c>
      <c r="N8" s="347">
        <v>93435.17</v>
      </c>
      <c r="O8" s="350">
        <v>40779</v>
      </c>
      <c r="P8" s="408">
        <f t="shared" si="0"/>
        <v>68</v>
      </c>
      <c r="Q8" s="352" t="str">
        <f t="shared" si="1"/>
        <v/>
      </c>
      <c r="R8" s="352">
        <f t="shared" si="2"/>
        <v>0</v>
      </c>
      <c r="S8" s="352"/>
      <c r="T8" s="163"/>
    </row>
    <row r="9" spans="1:21" s="26" customFormat="1" hidden="1" outlineLevel="1">
      <c r="A9" s="332" t="s">
        <v>38</v>
      </c>
      <c r="B9" s="351"/>
      <c r="C9" s="345"/>
      <c r="D9" s="345"/>
      <c r="E9" s="345"/>
      <c r="F9" s="424"/>
      <c r="G9" s="345"/>
      <c r="H9" s="949"/>
      <c r="I9" s="411"/>
      <c r="J9" s="346">
        <f>K9/$I$6+J8</f>
        <v>0.60449999639429142</v>
      </c>
      <c r="K9" s="347">
        <v>159913.09</v>
      </c>
      <c r="L9" s="348">
        <v>3</v>
      </c>
      <c r="M9" s="345">
        <v>40799</v>
      </c>
      <c r="N9" s="349">
        <v>159913.09</v>
      </c>
      <c r="O9" s="350">
        <v>40969</v>
      </c>
      <c r="P9" s="408">
        <f t="shared" si="0"/>
        <v>170</v>
      </c>
      <c r="Q9" s="352" t="str">
        <f t="shared" si="1"/>
        <v/>
      </c>
      <c r="R9" s="352">
        <f t="shared" si="2"/>
        <v>0</v>
      </c>
      <c r="S9" s="352"/>
      <c r="T9" s="163"/>
    </row>
    <row r="10" spans="1:21" s="26" customFormat="1" hidden="1" outlineLevel="1">
      <c r="A10" s="332" t="s">
        <v>38</v>
      </c>
      <c r="B10" s="351"/>
      <c r="C10" s="345"/>
      <c r="D10" s="345"/>
      <c r="E10" s="345"/>
      <c r="F10" s="424"/>
      <c r="G10" s="345"/>
      <c r="H10" s="949"/>
      <c r="I10" s="411"/>
      <c r="J10" s="346">
        <f>K10/$I$6+J9</f>
        <v>0.66970000504799199</v>
      </c>
      <c r="K10" s="347">
        <v>54247.319999999992</v>
      </c>
      <c r="L10" s="348">
        <v>4</v>
      </c>
      <c r="M10" s="345">
        <v>40826</v>
      </c>
      <c r="N10" s="349">
        <v>54247.319999999992</v>
      </c>
      <c r="O10" s="350">
        <v>40969</v>
      </c>
      <c r="P10" s="408">
        <f t="shared" si="0"/>
        <v>143</v>
      </c>
      <c r="Q10" s="352" t="str">
        <f t="shared" si="1"/>
        <v/>
      </c>
      <c r="R10" s="352">
        <f t="shared" si="2"/>
        <v>0</v>
      </c>
      <c r="S10" s="352"/>
      <c r="T10" s="163"/>
    </row>
    <row r="11" spans="1:21" s="26" customFormat="1" hidden="1" outlineLevel="1">
      <c r="A11" s="332" t="s">
        <v>38</v>
      </c>
      <c r="B11" s="351"/>
      <c r="C11" s="345"/>
      <c r="D11" s="345"/>
      <c r="E11" s="345"/>
      <c r="F11" s="424"/>
      <c r="G11" s="345"/>
      <c r="H11" s="949"/>
      <c r="I11" s="411"/>
      <c r="J11" s="346">
        <f>K11/$I$6+J10</f>
        <v>0.8</v>
      </c>
      <c r="K11" s="347">
        <v>108411.42</v>
      </c>
      <c r="L11" s="348">
        <v>5</v>
      </c>
      <c r="M11" s="345">
        <v>40947</v>
      </c>
      <c r="N11" s="349">
        <v>108411.42</v>
      </c>
      <c r="O11" s="350">
        <v>40994</v>
      </c>
      <c r="P11" s="408">
        <f t="shared" si="0"/>
        <v>47</v>
      </c>
      <c r="Q11" s="352" t="str">
        <f t="shared" si="1"/>
        <v/>
      </c>
      <c r="R11" s="352">
        <f t="shared" si="2"/>
        <v>0</v>
      </c>
      <c r="S11" s="352"/>
      <c r="T11" s="163"/>
    </row>
    <row r="12" spans="1:21" s="26" customFormat="1" hidden="1" outlineLevel="1">
      <c r="A12" s="354" t="s">
        <v>38</v>
      </c>
      <c r="B12" s="361"/>
      <c r="C12" s="356"/>
      <c r="D12" s="356"/>
      <c r="E12" s="356"/>
      <c r="F12" s="425"/>
      <c r="G12" s="356"/>
      <c r="H12" s="950"/>
      <c r="I12" s="411"/>
      <c r="J12" s="426">
        <f>K12/$I$6+J11</f>
        <v>1</v>
      </c>
      <c r="K12" s="357">
        <v>166402.79999999999</v>
      </c>
      <c r="L12" s="358">
        <v>5</v>
      </c>
      <c r="M12" s="356">
        <v>42179</v>
      </c>
      <c r="N12" s="359">
        <v>166402.79999999999</v>
      </c>
      <c r="O12" s="360">
        <v>42254</v>
      </c>
      <c r="P12" s="427">
        <f t="shared" si="0"/>
        <v>75</v>
      </c>
      <c r="Q12" s="435" t="str">
        <f t="shared" si="1"/>
        <v/>
      </c>
      <c r="R12" s="362">
        <f t="shared" si="2"/>
        <v>0</v>
      </c>
      <c r="S12" s="362"/>
      <c r="T12" s="163"/>
    </row>
    <row r="13" spans="1:21" s="26" customFormat="1" collapsed="1">
      <c r="A13" s="400" t="s">
        <v>39</v>
      </c>
      <c r="B13" s="351"/>
      <c r="C13" s="345">
        <v>40361</v>
      </c>
      <c r="D13" s="345"/>
      <c r="E13" s="345"/>
      <c r="F13" s="424"/>
      <c r="G13" s="345"/>
      <c r="H13" s="949"/>
      <c r="I13" s="326">
        <v>1425198</v>
      </c>
      <c r="J13" s="407"/>
      <c r="K13" s="347"/>
      <c r="L13" s="348"/>
      <c r="M13" s="345"/>
      <c r="N13" s="405">
        <f>SUM(N14:N22)</f>
        <v>1425198</v>
      </c>
      <c r="O13" s="350"/>
      <c r="P13" s="408"/>
      <c r="Q13" s="352">
        <f>+IF(M13="",0,K13-N13)</f>
        <v>0</v>
      </c>
      <c r="R13" s="352">
        <f>SUM(R14:R22)</f>
        <v>0</v>
      </c>
      <c r="S13" s="352"/>
      <c r="T13" s="163"/>
    </row>
    <row r="14" spans="1:21" s="26" customFormat="1" hidden="1" outlineLevel="1">
      <c r="A14" s="332" t="s">
        <v>39</v>
      </c>
      <c r="B14" s="420"/>
      <c r="C14" s="410"/>
      <c r="D14" s="410"/>
      <c r="E14" s="410"/>
      <c r="F14" s="421"/>
      <c r="G14" s="410"/>
      <c r="H14" s="951"/>
      <c r="I14" s="484"/>
      <c r="J14" s="436"/>
      <c r="K14" s="402">
        <v>427559.4</v>
      </c>
      <c r="L14" s="348">
        <v>1</v>
      </c>
      <c r="M14" s="345">
        <v>40484</v>
      </c>
      <c r="N14" s="349">
        <v>427559.4</v>
      </c>
      <c r="O14" s="350">
        <v>40613</v>
      </c>
      <c r="P14" s="408">
        <f t="shared" ref="P14:P22" si="3">IF(O14="",$R$2-M14,O14-M14)</f>
        <v>129</v>
      </c>
      <c r="Q14" s="352">
        <f t="shared" ref="Q14:Q22" si="4">+IF(M14="",0,K14-N14)</f>
        <v>0</v>
      </c>
      <c r="R14" s="352">
        <f t="shared" ref="R14:R22" si="5">IF(M14="",K14-N14,0)</f>
        <v>0</v>
      </c>
      <c r="S14" s="352"/>
      <c r="T14" s="163"/>
    </row>
    <row r="15" spans="1:21" hidden="1" outlineLevel="1">
      <c r="A15" s="332" t="s">
        <v>39</v>
      </c>
      <c r="B15" s="333"/>
      <c r="C15" s="345"/>
      <c r="D15" s="345"/>
      <c r="E15" s="345"/>
      <c r="F15" s="424"/>
      <c r="G15" s="345"/>
      <c r="H15" s="949"/>
      <c r="I15" s="347"/>
      <c r="J15" s="353"/>
      <c r="K15" s="347">
        <v>94205.59</v>
      </c>
      <c r="L15" s="348">
        <v>2</v>
      </c>
      <c r="M15" s="345">
        <v>40763</v>
      </c>
      <c r="N15" s="349">
        <v>94205.59</v>
      </c>
      <c r="O15" s="350">
        <v>40828</v>
      </c>
      <c r="P15" s="408">
        <f t="shared" si="3"/>
        <v>65</v>
      </c>
      <c r="Q15" s="352">
        <f t="shared" si="4"/>
        <v>0</v>
      </c>
      <c r="R15" s="352">
        <f t="shared" si="5"/>
        <v>0</v>
      </c>
      <c r="S15" s="352"/>
      <c r="T15" s="163"/>
    </row>
    <row r="16" spans="1:21" hidden="1" outlineLevel="1">
      <c r="A16" s="332" t="s">
        <v>39</v>
      </c>
      <c r="B16" s="351"/>
      <c r="C16" s="345"/>
      <c r="D16" s="345"/>
      <c r="E16" s="345"/>
      <c r="F16" s="424"/>
      <c r="G16" s="345"/>
      <c r="H16" s="949"/>
      <c r="I16" s="347"/>
      <c r="J16" s="353"/>
      <c r="K16" s="347">
        <v>65131.54</v>
      </c>
      <c r="L16" s="348">
        <v>3</v>
      </c>
      <c r="M16" s="345">
        <v>40800</v>
      </c>
      <c r="N16" s="349">
        <v>65131.54</v>
      </c>
      <c r="O16" s="350">
        <v>40868</v>
      </c>
      <c r="P16" s="408">
        <f t="shared" si="3"/>
        <v>68</v>
      </c>
      <c r="Q16" s="352">
        <f t="shared" si="4"/>
        <v>0</v>
      </c>
      <c r="R16" s="352">
        <f t="shared" si="5"/>
        <v>0</v>
      </c>
      <c r="S16" s="352"/>
      <c r="T16" s="163"/>
    </row>
    <row r="17" spans="1:20" hidden="1" outlineLevel="1">
      <c r="A17" s="332" t="s">
        <v>39</v>
      </c>
      <c r="B17" s="351"/>
      <c r="C17" s="345"/>
      <c r="D17" s="345"/>
      <c r="E17" s="345"/>
      <c r="F17" s="424"/>
      <c r="G17" s="345"/>
      <c r="H17" s="949"/>
      <c r="I17" s="347"/>
      <c r="J17" s="353"/>
      <c r="K17" s="347">
        <v>151213.51</v>
      </c>
      <c r="L17" s="348">
        <v>4</v>
      </c>
      <c r="M17" s="345">
        <v>40826</v>
      </c>
      <c r="N17" s="349">
        <v>151213.51</v>
      </c>
      <c r="O17" s="350">
        <v>40871</v>
      </c>
      <c r="P17" s="408">
        <f t="shared" si="3"/>
        <v>45</v>
      </c>
      <c r="Q17" s="352">
        <f t="shared" si="4"/>
        <v>0</v>
      </c>
      <c r="R17" s="352">
        <f t="shared" si="5"/>
        <v>0</v>
      </c>
      <c r="S17" s="352"/>
      <c r="T17" s="163"/>
    </row>
    <row r="18" spans="1:20" hidden="1" outlineLevel="1">
      <c r="A18" s="332" t="s">
        <v>39</v>
      </c>
      <c r="B18" s="351"/>
      <c r="C18" s="345"/>
      <c r="D18" s="345"/>
      <c r="E18" s="345"/>
      <c r="F18" s="424"/>
      <c r="G18" s="345"/>
      <c r="H18" s="949"/>
      <c r="I18" s="347"/>
      <c r="J18" s="353"/>
      <c r="K18" s="347">
        <v>97483.55</v>
      </c>
      <c r="L18" s="348">
        <v>5</v>
      </c>
      <c r="M18" s="345">
        <v>40883</v>
      </c>
      <c r="N18" s="349">
        <v>97483.55</v>
      </c>
      <c r="O18" s="350">
        <v>40995</v>
      </c>
      <c r="P18" s="408">
        <f t="shared" si="3"/>
        <v>112</v>
      </c>
      <c r="Q18" s="352">
        <f t="shared" si="4"/>
        <v>0</v>
      </c>
      <c r="R18" s="352">
        <f t="shared" si="5"/>
        <v>0</v>
      </c>
      <c r="S18" s="352"/>
      <c r="T18" s="163"/>
    </row>
    <row r="19" spans="1:20" hidden="1" outlineLevel="1">
      <c r="A19" s="332" t="s">
        <v>39</v>
      </c>
      <c r="B19" s="351"/>
      <c r="C19" s="345"/>
      <c r="D19" s="345"/>
      <c r="E19" s="345"/>
      <c r="F19" s="424"/>
      <c r="G19" s="345"/>
      <c r="H19" s="949"/>
      <c r="I19" s="347"/>
      <c r="J19" s="353"/>
      <c r="K19" s="347">
        <v>99193.78</v>
      </c>
      <c r="L19" s="348">
        <v>6</v>
      </c>
      <c r="M19" s="345">
        <v>40945</v>
      </c>
      <c r="N19" s="349">
        <v>99193.78</v>
      </c>
      <c r="O19" s="350">
        <v>41023</v>
      </c>
      <c r="P19" s="408">
        <f t="shared" si="3"/>
        <v>78</v>
      </c>
      <c r="Q19" s="352">
        <f t="shared" si="4"/>
        <v>0</v>
      </c>
      <c r="R19" s="352">
        <f t="shared" si="5"/>
        <v>0</v>
      </c>
      <c r="S19" s="352"/>
      <c r="T19" s="163"/>
    </row>
    <row r="20" spans="1:20" hidden="1" outlineLevel="1">
      <c r="A20" s="332" t="s">
        <v>39</v>
      </c>
      <c r="B20" s="351"/>
      <c r="C20" s="345"/>
      <c r="D20" s="345"/>
      <c r="E20" s="345"/>
      <c r="F20" s="424"/>
      <c r="G20" s="345"/>
      <c r="H20" s="949"/>
      <c r="I20" s="347"/>
      <c r="J20" s="353"/>
      <c r="K20" s="347">
        <v>129693.01999999999</v>
      </c>
      <c r="L20" s="348">
        <v>7</v>
      </c>
      <c r="M20" s="345">
        <v>41038</v>
      </c>
      <c r="N20" s="349">
        <v>129693.01999999999</v>
      </c>
      <c r="O20" s="350">
        <v>41093</v>
      </c>
      <c r="P20" s="408">
        <f t="shared" si="3"/>
        <v>55</v>
      </c>
      <c r="Q20" s="352">
        <f t="shared" si="4"/>
        <v>0</v>
      </c>
      <c r="R20" s="352">
        <f t="shared" si="5"/>
        <v>0</v>
      </c>
      <c r="S20" s="352"/>
      <c r="T20" s="163"/>
    </row>
    <row r="21" spans="1:20" hidden="1" outlineLevel="1">
      <c r="A21" s="332" t="s">
        <v>39</v>
      </c>
      <c r="B21" s="351"/>
      <c r="C21" s="345"/>
      <c r="D21" s="345"/>
      <c r="E21" s="345"/>
      <c r="F21" s="424"/>
      <c r="G21" s="345"/>
      <c r="H21" s="949"/>
      <c r="I21" s="347"/>
      <c r="J21" s="353"/>
      <c r="K21" s="347">
        <v>75678.009999999995</v>
      </c>
      <c r="L21" s="348">
        <v>8</v>
      </c>
      <c r="M21" s="345">
        <v>41129</v>
      </c>
      <c r="N21" s="349">
        <v>75678.009999999995</v>
      </c>
      <c r="O21" s="350">
        <v>41185</v>
      </c>
      <c r="P21" s="408">
        <f t="shared" si="3"/>
        <v>56</v>
      </c>
      <c r="Q21" s="352">
        <f t="shared" si="4"/>
        <v>0</v>
      </c>
      <c r="R21" s="352">
        <f t="shared" si="5"/>
        <v>0</v>
      </c>
      <c r="S21" s="352"/>
      <c r="T21" s="163"/>
    </row>
    <row r="22" spans="1:20" hidden="1" outlineLevel="1">
      <c r="A22" s="332" t="s">
        <v>39</v>
      </c>
      <c r="B22" s="351"/>
      <c r="C22" s="345"/>
      <c r="D22" s="345"/>
      <c r="E22" s="345"/>
      <c r="F22" s="424"/>
      <c r="G22" s="345"/>
      <c r="H22" s="949"/>
      <c r="I22" s="347"/>
      <c r="J22" s="353"/>
      <c r="K22" s="347">
        <v>285039.59999999998</v>
      </c>
      <c r="L22" s="348">
        <v>9</v>
      </c>
      <c r="M22" s="345">
        <v>41969</v>
      </c>
      <c r="N22" s="349">
        <v>285039.59999999998</v>
      </c>
      <c r="O22" s="350">
        <v>42153</v>
      </c>
      <c r="P22" s="408">
        <f t="shared" si="3"/>
        <v>184</v>
      </c>
      <c r="Q22" s="352">
        <f t="shared" si="4"/>
        <v>0</v>
      </c>
      <c r="R22" s="352">
        <f t="shared" si="5"/>
        <v>0</v>
      </c>
      <c r="S22" s="352"/>
      <c r="T22" s="163"/>
    </row>
    <row r="23" spans="1:20" s="107" customFormat="1" collapsed="1">
      <c r="A23" s="323" t="s">
        <v>40</v>
      </c>
      <c r="B23" s="330"/>
      <c r="C23" s="324">
        <v>39818</v>
      </c>
      <c r="D23" s="324">
        <f>DATE(YEAR(C23),MONTH(C23)+18,DAY(C23))</f>
        <v>40364</v>
      </c>
      <c r="E23" s="324"/>
      <c r="F23" s="422">
        <v>39986</v>
      </c>
      <c r="G23" s="324">
        <f>DATE(YEAR(C23)+4,MONTH(C23),DAY(C23))</f>
        <v>41279</v>
      </c>
      <c r="H23" s="952">
        <v>40749</v>
      </c>
      <c r="I23" s="326">
        <v>2766905</v>
      </c>
      <c r="J23" s="325"/>
      <c r="K23" s="326"/>
      <c r="L23" s="327"/>
      <c r="M23" s="324"/>
      <c r="N23" s="328">
        <f>SUM(N24:N33)</f>
        <v>2766905</v>
      </c>
      <c r="O23" s="329"/>
      <c r="P23" s="423"/>
      <c r="Q23" s="331">
        <f>SUM(Q24:Q33)</f>
        <v>0</v>
      </c>
      <c r="R23" s="331">
        <f>SUM(R24:R33)</f>
        <v>0</v>
      </c>
      <c r="S23" s="331"/>
      <c r="T23" s="163">
        <f>I23-(N23+Q23+R23)</f>
        <v>0</v>
      </c>
    </row>
    <row r="24" spans="1:20" s="26" customFormat="1" hidden="1" outlineLevel="1">
      <c r="A24" s="332" t="s">
        <v>40</v>
      </c>
      <c r="B24" s="351"/>
      <c r="C24" s="345"/>
      <c r="D24" s="345"/>
      <c r="E24" s="345"/>
      <c r="F24" s="424"/>
      <c r="G24" s="345"/>
      <c r="H24" s="949"/>
      <c r="I24" s="411"/>
      <c r="J24" s="346">
        <f>K24/$I$23</f>
        <v>0.3</v>
      </c>
      <c r="K24" s="347">
        <v>830071.5</v>
      </c>
      <c r="L24" s="348">
        <v>1</v>
      </c>
      <c r="M24" s="345">
        <v>40483</v>
      </c>
      <c r="N24" s="349">
        <v>830071.5</v>
      </c>
      <c r="O24" s="350">
        <v>40038</v>
      </c>
      <c r="P24" s="408"/>
      <c r="Q24" s="352" t="str">
        <f t="shared" ref="Q24:Q33" si="6">IF(N24="en attente",K24,"")</f>
        <v/>
      </c>
      <c r="R24" s="352">
        <f t="shared" ref="R24:R33" si="7">IF(M24="",K24-N24,0)</f>
        <v>0</v>
      </c>
      <c r="S24" s="352"/>
      <c r="T24" s="163"/>
    </row>
    <row r="25" spans="1:20" s="26" customFormat="1" hidden="1" outlineLevel="1">
      <c r="A25" s="332" t="s">
        <v>40</v>
      </c>
      <c r="B25" s="351"/>
      <c r="C25" s="345"/>
      <c r="D25" s="345"/>
      <c r="E25" s="345"/>
      <c r="F25" s="424"/>
      <c r="G25" s="345"/>
      <c r="H25" s="949"/>
      <c r="I25" s="411"/>
      <c r="J25" s="346">
        <f t="shared" ref="J25:J33" si="8">K25/$I$23+J24</f>
        <v>0.32679999855434139</v>
      </c>
      <c r="K25" s="347">
        <v>74153.05</v>
      </c>
      <c r="L25" s="348">
        <v>2</v>
      </c>
      <c r="M25" s="345">
        <v>40483</v>
      </c>
      <c r="N25" s="349">
        <v>74153.05</v>
      </c>
      <c r="O25" s="350">
        <v>40315</v>
      </c>
      <c r="P25" s="408"/>
      <c r="Q25" s="352" t="str">
        <f t="shared" si="6"/>
        <v/>
      </c>
      <c r="R25" s="352">
        <f t="shared" si="7"/>
        <v>0</v>
      </c>
      <c r="S25" s="352"/>
      <c r="T25" s="163"/>
    </row>
    <row r="26" spans="1:20" s="26" customFormat="1" hidden="1" outlineLevel="1">
      <c r="A26" s="332" t="s">
        <v>40</v>
      </c>
      <c r="B26" s="420"/>
      <c r="C26" s="410"/>
      <c r="D26" s="410"/>
      <c r="E26" s="410"/>
      <c r="F26" s="421"/>
      <c r="G26" s="410"/>
      <c r="H26" s="951"/>
      <c r="I26" s="411"/>
      <c r="J26" s="346">
        <f t="shared" si="8"/>
        <v>0.35899999819292672</v>
      </c>
      <c r="K26" s="347">
        <v>89094.34</v>
      </c>
      <c r="L26" s="348">
        <v>3</v>
      </c>
      <c r="M26" s="345">
        <v>40483</v>
      </c>
      <c r="N26" s="349">
        <v>89094.34</v>
      </c>
      <c r="O26" s="350">
        <v>40347</v>
      </c>
      <c r="P26" s="408"/>
      <c r="Q26" s="352" t="str">
        <f t="shared" si="6"/>
        <v/>
      </c>
      <c r="R26" s="352">
        <f t="shared" si="7"/>
        <v>0</v>
      </c>
      <c r="S26" s="352"/>
      <c r="T26" s="163"/>
    </row>
    <row r="27" spans="1:20" s="26" customFormat="1" hidden="1" outlineLevel="1">
      <c r="A27" s="332" t="s">
        <v>40</v>
      </c>
      <c r="B27" s="420"/>
      <c r="C27" s="410"/>
      <c r="D27" s="410"/>
      <c r="E27" s="410"/>
      <c r="F27" s="421"/>
      <c r="G27" s="410"/>
      <c r="H27" s="951"/>
      <c r="I27" s="411"/>
      <c r="J27" s="346">
        <f t="shared" si="8"/>
        <v>0.41320000144565855</v>
      </c>
      <c r="K27" s="347">
        <v>149966.26</v>
      </c>
      <c r="L27" s="348">
        <v>4</v>
      </c>
      <c r="M27" s="345">
        <v>40483</v>
      </c>
      <c r="N27" s="349">
        <v>149966.26</v>
      </c>
      <c r="O27" s="350">
        <v>40366</v>
      </c>
      <c r="P27" s="408"/>
      <c r="Q27" s="352" t="str">
        <f t="shared" si="6"/>
        <v/>
      </c>
      <c r="R27" s="352">
        <f t="shared" si="7"/>
        <v>0</v>
      </c>
      <c r="S27" s="352"/>
      <c r="T27" s="163"/>
    </row>
    <row r="28" spans="1:20" s="26" customFormat="1" hidden="1" outlineLevel="1">
      <c r="A28" s="332" t="s">
        <v>40</v>
      </c>
      <c r="B28" s="420"/>
      <c r="C28" s="410"/>
      <c r="D28" s="410"/>
      <c r="E28" s="410"/>
      <c r="F28" s="421"/>
      <c r="G28" s="410"/>
      <c r="H28" s="951"/>
      <c r="I28" s="411"/>
      <c r="J28" s="346">
        <f t="shared" si="8"/>
        <v>0.4773000012649512</v>
      </c>
      <c r="K28" s="347">
        <v>177358.61000000002</v>
      </c>
      <c r="L28" s="348">
        <v>5</v>
      </c>
      <c r="M28" s="345">
        <v>40483</v>
      </c>
      <c r="N28" s="349">
        <v>177358.61000000002</v>
      </c>
      <c r="O28" s="350">
        <v>40396</v>
      </c>
      <c r="P28" s="408"/>
      <c r="Q28" s="352" t="str">
        <f t="shared" si="6"/>
        <v/>
      </c>
      <c r="R28" s="352">
        <f t="shared" si="7"/>
        <v>0</v>
      </c>
      <c r="S28" s="352"/>
      <c r="T28" s="163"/>
    </row>
    <row r="29" spans="1:20" s="26" customFormat="1" hidden="1" outlineLevel="1">
      <c r="A29" s="332" t="s">
        <v>40</v>
      </c>
      <c r="B29" s="420"/>
      <c r="C29" s="410"/>
      <c r="D29" s="410"/>
      <c r="E29" s="410"/>
      <c r="F29" s="421"/>
      <c r="G29" s="410"/>
      <c r="H29" s="951"/>
      <c r="I29" s="411"/>
      <c r="J29" s="346">
        <f t="shared" si="8"/>
        <v>0.61120000144565845</v>
      </c>
      <c r="K29" s="347">
        <v>370488.57999999996</v>
      </c>
      <c r="L29" s="348">
        <v>6</v>
      </c>
      <c r="M29" s="345">
        <v>40483</v>
      </c>
      <c r="N29" s="349">
        <v>370488.57999999996</v>
      </c>
      <c r="O29" s="350">
        <v>40497</v>
      </c>
      <c r="P29" s="408"/>
      <c r="Q29" s="352" t="str">
        <f t="shared" si="6"/>
        <v/>
      </c>
      <c r="R29" s="352">
        <f t="shared" si="7"/>
        <v>0</v>
      </c>
      <c r="S29" s="352"/>
      <c r="T29" s="163"/>
    </row>
    <row r="30" spans="1:20" s="26" customFormat="1" hidden="1" outlineLevel="1">
      <c r="A30" s="332" t="s">
        <v>40</v>
      </c>
      <c r="B30" s="420"/>
      <c r="C30" s="410"/>
      <c r="D30" s="410"/>
      <c r="E30" s="410"/>
      <c r="F30" s="421"/>
      <c r="G30" s="410"/>
      <c r="H30" s="951"/>
      <c r="I30" s="411"/>
      <c r="J30" s="346">
        <f t="shared" si="8"/>
        <v>0.68710000162636575</v>
      </c>
      <c r="K30" s="347">
        <v>210008.09</v>
      </c>
      <c r="L30" s="348">
        <v>7</v>
      </c>
      <c r="M30" s="345">
        <v>40483</v>
      </c>
      <c r="N30" s="349">
        <v>210008.09</v>
      </c>
      <c r="O30" s="350">
        <v>40528</v>
      </c>
      <c r="P30" s="408"/>
      <c r="Q30" s="352" t="str">
        <f t="shared" si="6"/>
        <v/>
      </c>
      <c r="R30" s="352">
        <f t="shared" si="7"/>
        <v>0</v>
      </c>
      <c r="S30" s="352"/>
      <c r="T30" s="163"/>
    </row>
    <row r="31" spans="1:20" s="26" customFormat="1" hidden="1" outlineLevel="1">
      <c r="A31" s="332" t="s">
        <v>40</v>
      </c>
      <c r="B31" s="420"/>
      <c r="C31" s="410"/>
      <c r="D31" s="410"/>
      <c r="E31" s="410"/>
      <c r="F31" s="421"/>
      <c r="G31" s="410"/>
      <c r="H31" s="951"/>
      <c r="I31" s="411"/>
      <c r="J31" s="346">
        <f t="shared" si="8"/>
        <v>0.78140000108424379</v>
      </c>
      <c r="K31" s="347">
        <v>260919.13999999998</v>
      </c>
      <c r="L31" s="348">
        <v>8</v>
      </c>
      <c r="M31" s="345">
        <v>40591</v>
      </c>
      <c r="N31" s="349">
        <v>260919.13999999998</v>
      </c>
      <c r="O31" s="350">
        <v>40687</v>
      </c>
      <c r="P31" s="408">
        <f>IF(O31="",$R$2-M31,O31-M31)</f>
        <v>96</v>
      </c>
      <c r="Q31" s="352" t="str">
        <f t="shared" si="6"/>
        <v/>
      </c>
      <c r="R31" s="352">
        <f t="shared" si="7"/>
        <v>0</v>
      </c>
      <c r="S31" s="352"/>
      <c r="T31" s="163"/>
    </row>
    <row r="32" spans="1:20" s="26" customFormat="1" hidden="1" outlineLevel="1">
      <c r="A32" s="332" t="s">
        <v>40</v>
      </c>
      <c r="B32" s="420"/>
      <c r="C32" s="410"/>
      <c r="D32" s="410"/>
      <c r="E32" s="410"/>
      <c r="F32" s="421"/>
      <c r="G32" s="410"/>
      <c r="H32" s="951"/>
      <c r="I32" s="411"/>
      <c r="J32" s="346">
        <f t="shared" si="8"/>
        <v>0.79999999999999982</v>
      </c>
      <c r="K32" s="347">
        <v>51464.43</v>
      </c>
      <c r="L32" s="348">
        <v>9</v>
      </c>
      <c r="M32" s="345">
        <v>40641</v>
      </c>
      <c r="N32" s="349">
        <v>51464.43</v>
      </c>
      <c r="O32" s="350">
        <v>40716</v>
      </c>
      <c r="P32" s="408">
        <f>IF(O32="",$R$2-M32,O32-M32)</f>
        <v>75</v>
      </c>
      <c r="Q32" s="352" t="str">
        <f t="shared" si="6"/>
        <v/>
      </c>
      <c r="R32" s="352">
        <f t="shared" si="7"/>
        <v>0</v>
      </c>
      <c r="S32" s="352"/>
      <c r="T32" s="163"/>
    </row>
    <row r="33" spans="1:20" s="26" customFormat="1" hidden="1" outlineLevel="1">
      <c r="A33" s="332" t="s">
        <v>40</v>
      </c>
      <c r="B33" s="420"/>
      <c r="C33" s="410"/>
      <c r="D33" s="410"/>
      <c r="E33" s="410"/>
      <c r="F33" s="421"/>
      <c r="G33" s="410"/>
      <c r="H33" s="951"/>
      <c r="I33" s="411"/>
      <c r="J33" s="346">
        <f t="shared" si="8"/>
        <v>0.99999999999999978</v>
      </c>
      <c r="K33" s="347">
        <v>553381</v>
      </c>
      <c r="L33" s="348">
        <v>10</v>
      </c>
      <c r="M33" s="345">
        <v>42149</v>
      </c>
      <c r="N33" s="349">
        <v>553381</v>
      </c>
      <c r="O33" s="350">
        <v>42222</v>
      </c>
      <c r="P33" s="408">
        <f>IF(O33="",$R$2-M33,O33-M33)</f>
        <v>73</v>
      </c>
      <c r="Q33" s="352" t="str">
        <f t="shared" si="6"/>
        <v/>
      </c>
      <c r="R33" s="352">
        <f t="shared" si="7"/>
        <v>0</v>
      </c>
      <c r="S33" s="352"/>
      <c r="T33" s="163"/>
    </row>
    <row r="34" spans="1:20" s="107" customFormat="1" collapsed="1">
      <c r="A34" s="323" t="s">
        <v>44</v>
      </c>
      <c r="B34" s="330"/>
      <c r="C34" s="324">
        <v>40491</v>
      </c>
      <c r="D34" s="324">
        <f>DATE(YEAR(C34),MONTH(C34)+18,DAY(C34))</f>
        <v>41038</v>
      </c>
      <c r="E34" s="324"/>
      <c r="F34" s="422">
        <v>40945</v>
      </c>
      <c r="G34" s="324">
        <f>DATE(YEAR(C34)+4,MONTH(C34),DAY(C34))</f>
        <v>41952</v>
      </c>
      <c r="H34" s="952">
        <v>41670</v>
      </c>
      <c r="I34" s="326">
        <v>1269605</v>
      </c>
      <c r="J34" s="325"/>
      <c r="K34" s="326"/>
      <c r="L34" s="327"/>
      <c r="M34" s="324"/>
      <c r="N34" s="328">
        <f>SUM(N35:N43)</f>
        <v>1269605</v>
      </c>
      <c r="O34" s="329"/>
      <c r="P34" s="423"/>
      <c r="Q34" s="331">
        <f>SUM(Q35:Q43)</f>
        <v>0</v>
      </c>
      <c r="R34" s="331">
        <f>SUM(R35:R43)</f>
        <v>0</v>
      </c>
      <c r="S34" s="331"/>
      <c r="T34" s="163">
        <f>I34-(N34+Q34+R34)</f>
        <v>0</v>
      </c>
    </row>
    <row r="35" spans="1:20" s="26" customFormat="1" hidden="1" outlineLevel="1">
      <c r="A35" s="332" t="s">
        <v>44</v>
      </c>
      <c r="B35" s="351"/>
      <c r="C35" s="345"/>
      <c r="D35" s="345"/>
      <c r="E35" s="345"/>
      <c r="F35" s="424"/>
      <c r="G35" s="345"/>
      <c r="H35" s="949"/>
      <c r="I35" s="411"/>
      <c r="J35" s="346">
        <f>K35/$I$34</f>
        <v>0.3</v>
      </c>
      <c r="K35" s="347">
        <v>380881.5</v>
      </c>
      <c r="L35" s="348">
        <v>1</v>
      </c>
      <c r="M35" s="345">
        <v>40966</v>
      </c>
      <c r="N35" s="349">
        <v>380881.5</v>
      </c>
      <c r="O35" s="350">
        <v>41092</v>
      </c>
      <c r="P35" s="408">
        <f t="shared" ref="P35:P43" si="9">IF(O35="",$R$2-M35,O35-M35)</f>
        <v>126</v>
      </c>
      <c r="Q35" s="352" t="str">
        <f t="shared" ref="Q35:Q43" si="10">IF(N35="en attente",K35,"")</f>
        <v/>
      </c>
      <c r="R35" s="352">
        <f t="shared" ref="R35:R43" si="11">IF(M35="",K35-N35,0)</f>
        <v>0</v>
      </c>
      <c r="S35" s="352"/>
      <c r="T35" s="163"/>
    </row>
    <row r="36" spans="1:20" s="26" customFormat="1" hidden="1" outlineLevel="1">
      <c r="A36" s="332" t="s">
        <v>44</v>
      </c>
      <c r="B36" s="351"/>
      <c r="C36" s="345"/>
      <c r="D36" s="345"/>
      <c r="E36" s="345"/>
      <c r="F36" s="424"/>
      <c r="G36" s="345"/>
      <c r="H36" s="949"/>
      <c r="I36" s="411"/>
      <c r="J36" s="346">
        <f t="shared" ref="J36:J43" si="12">K36/$I$34+J35</f>
        <v>0.33439999842470691</v>
      </c>
      <c r="K36" s="347">
        <v>43674.409999999996</v>
      </c>
      <c r="L36" s="348">
        <v>2</v>
      </c>
      <c r="M36" s="345">
        <v>41211</v>
      </c>
      <c r="N36" s="349">
        <v>43674.409999999996</v>
      </c>
      <c r="O36" s="350">
        <v>41243</v>
      </c>
      <c r="P36" s="408">
        <f t="shared" si="9"/>
        <v>32</v>
      </c>
      <c r="Q36" s="352" t="str">
        <f t="shared" si="10"/>
        <v/>
      </c>
      <c r="R36" s="352">
        <f t="shared" si="11"/>
        <v>0</v>
      </c>
      <c r="S36" s="352"/>
      <c r="T36" s="163"/>
    </row>
    <row r="37" spans="1:20" s="26" customFormat="1" hidden="1" outlineLevel="1">
      <c r="A37" s="332" t="s">
        <v>44</v>
      </c>
      <c r="B37" s="351"/>
      <c r="C37" s="345"/>
      <c r="D37" s="345"/>
      <c r="E37" s="345"/>
      <c r="F37" s="424"/>
      <c r="G37" s="345"/>
      <c r="H37" s="949"/>
      <c r="I37" s="411"/>
      <c r="J37" s="346">
        <f t="shared" si="12"/>
        <v>0.40370000118146987</v>
      </c>
      <c r="K37" s="347">
        <v>87983.63</v>
      </c>
      <c r="L37" s="348">
        <v>3</v>
      </c>
      <c r="M37" s="345">
        <v>41240</v>
      </c>
      <c r="N37" s="349">
        <v>87983.63</v>
      </c>
      <c r="O37" s="350">
        <v>41391</v>
      </c>
      <c r="P37" s="408">
        <f t="shared" si="9"/>
        <v>151</v>
      </c>
      <c r="Q37" s="352" t="str">
        <f t="shared" si="10"/>
        <v/>
      </c>
      <c r="R37" s="352">
        <f t="shared" si="11"/>
        <v>0</v>
      </c>
      <c r="S37" s="352"/>
      <c r="T37" s="163"/>
    </row>
    <row r="38" spans="1:20" s="26" customFormat="1" hidden="1" outlineLevel="1">
      <c r="A38" s="332" t="s">
        <v>44</v>
      </c>
      <c r="B38" s="351"/>
      <c r="C38" s="345"/>
      <c r="D38" s="345"/>
      <c r="E38" s="345"/>
      <c r="F38" s="424"/>
      <c r="G38" s="345"/>
      <c r="H38" s="949"/>
      <c r="I38" s="411"/>
      <c r="J38" s="346">
        <f t="shared" si="12"/>
        <v>0.47900000393823278</v>
      </c>
      <c r="K38" s="347">
        <v>95601.26</v>
      </c>
      <c r="L38" s="348">
        <v>4</v>
      </c>
      <c r="M38" s="345">
        <v>41313</v>
      </c>
      <c r="N38" s="349">
        <v>95601.26</v>
      </c>
      <c r="O38" s="350">
        <v>41416</v>
      </c>
      <c r="P38" s="408">
        <f t="shared" si="9"/>
        <v>103</v>
      </c>
      <c r="Q38" s="352" t="str">
        <f t="shared" si="10"/>
        <v/>
      </c>
      <c r="R38" s="352">
        <f t="shared" si="11"/>
        <v>0</v>
      </c>
      <c r="S38" s="352"/>
      <c r="T38" s="163"/>
    </row>
    <row r="39" spans="1:20" s="26" customFormat="1" hidden="1" outlineLevel="1">
      <c r="A39" s="332" t="s">
        <v>44</v>
      </c>
      <c r="B39" s="351"/>
      <c r="C39" s="345"/>
      <c r="D39" s="345"/>
      <c r="E39" s="345"/>
      <c r="F39" s="424"/>
      <c r="G39" s="345"/>
      <c r="H39" s="949"/>
      <c r="I39" s="411"/>
      <c r="J39" s="346">
        <f t="shared" si="12"/>
        <v>0.54780000078764657</v>
      </c>
      <c r="K39" s="347">
        <v>87348.819999999992</v>
      </c>
      <c r="L39" s="348">
        <v>5</v>
      </c>
      <c r="M39" s="345">
        <v>41360</v>
      </c>
      <c r="N39" s="349">
        <v>87348.819999999992</v>
      </c>
      <c r="O39" s="350">
        <v>41430</v>
      </c>
      <c r="P39" s="408">
        <f t="shared" si="9"/>
        <v>70</v>
      </c>
      <c r="Q39" s="352" t="str">
        <f t="shared" si="10"/>
        <v/>
      </c>
      <c r="R39" s="352">
        <f t="shared" si="11"/>
        <v>0</v>
      </c>
      <c r="S39" s="352"/>
      <c r="T39" s="163"/>
    </row>
    <row r="40" spans="1:20" s="26" customFormat="1" hidden="1" outlineLevel="1">
      <c r="A40" s="332" t="s">
        <v>44</v>
      </c>
      <c r="B40" s="351"/>
      <c r="C40" s="345"/>
      <c r="D40" s="345"/>
      <c r="E40" s="345"/>
      <c r="F40" s="424"/>
      <c r="G40" s="345"/>
      <c r="H40" s="949"/>
      <c r="I40" s="411"/>
      <c r="J40" s="346">
        <f t="shared" si="12"/>
        <v>0.61859999763706042</v>
      </c>
      <c r="K40" s="347">
        <v>89888.03</v>
      </c>
      <c r="L40" s="348">
        <v>6</v>
      </c>
      <c r="M40" s="345">
        <v>41422</v>
      </c>
      <c r="N40" s="349">
        <v>89888.03</v>
      </c>
      <c r="O40" s="350">
        <v>41473</v>
      </c>
      <c r="P40" s="408">
        <f t="shared" si="9"/>
        <v>51</v>
      </c>
      <c r="Q40" s="352" t="str">
        <f t="shared" si="10"/>
        <v/>
      </c>
      <c r="R40" s="352">
        <f t="shared" si="11"/>
        <v>0</v>
      </c>
      <c r="S40" s="352"/>
      <c r="T40" s="163"/>
    </row>
    <row r="41" spans="1:20" s="26" customFormat="1" hidden="1" outlineLevel="1">
      <c r="A41" s="332" t="s">
        <v>44</v>
      </c>
      <c r="B41" s="351"/>
      <c r="C41" s="345"/>
      <c r="D41" s="345"/>
      <c r="E41" s="345"/>
      <c r="F41" s="424"/>
      <c r="G41" s="345"/>
      <c r="H41" s="949"/>
      <c r="I41" s="411"/>
      <c r="J41" s="346">
        <f t="shared" si="12"/>
        <v>0.7272000031505863</v>
      </c>
      <c r="K41" s="347">
        <v>137879.11000000002</v>
      </c>
      <c r="L41" s="348">
        <v>7</v>
      </c>
      <c r="M41" s="345">
        <v>41466</v>
      </c>
      <c r="N41" s="349">
        <v>137879.11000000002</v>
      </c>
      <c r="O41" s="350">
        <v>41533</v>
      </c>
      <c r="P41" s="408">
        <f t="shared" si="9"/>
        <v>67</v>
      </c>
      <c r="Q41" s="352" t="str">
        <f t="shared" si="10"/>
        <v/>
      </c>
      <c r="R41" s="352">
        <f t="shared" si="11"/>
        <v>0</v>
      </c>
      <c r="S41" s="352"/>
      <c r="T41" s="163"/>
    </row>
    <row r="42" spans="1:20" s="26" customFormat="1" hidden="1" outlineLevel="1">
      <c r="A42" s="332" t="s">
        <v>44</v>
      </c>
      <c r="B42" s="351"/>
      <c r="C42" s="345"/>
      <c r="D42" s="345"/>
      <c r="E42" s="345"/>
      <c r="F42" s="424"/>
      <c r="G42" s="345"/>
      <c r="H42" s="949"/>
      <c r="I42" s="411"/>
      <c r="J42" s="346">
        <f t="shared" si="12"/>
        <v>0.8</v>
      </c>
      <c r="K42" s="347">
        <v>92427.24</v>
      </c>
      <c r="L42" s="348">
        <v>8</v>
      </c>
      <c r="M42" s="345">
        <v>41547</v>
      </c>
      <c r="N42" s="349">
        <v>92427.24</v>
      </c>
      <c r="O42" s="350">
        <v>41584</v>
      </c>
      <c r="P42" s="408">
        <f t="shared" si="9"/>
        <v>37</v>
      </c>
      <c r="Q42" s="352" t="str">
        <f t="shared" si="10"/>
        <v/>
      </c>
      <c r="R42" s="352">
        <f t="shared" si="11"/>
        <v>0</v>
      </c>
      <c r="S42" s="352"/>
      <c r="T42" s="163"/>
    </row>
    <row r="43" spans="1:20" s="26" customFormat="1" hidden="1" outlineLevel="1">
      <c r="A43" s="332" t="s">
        <v>44</v>
      </c>
      <c r="B43" s="351"/>
      <c r="C43" s="345"/>
      <c r="D43" s="345"/>
      <c r="E43" s="345"/>
      <c r="F43" s="424"/>
      <c r="G43" s="345"/>
      <c r="H43" s="949"/>
      <c r="I43" s="411"/>
      <c r="J43" s="346">
        <f t="shared" si="12"/>
        <v>1</v>
      </c>
      <c r="K43" s="347">
        <v>253921</v>
      </c>
      <c r="L43" s="348">
        <v>9</v>
      </c>
      <c r="M43" s="345">
        <v>42262</v>
      </c>
      <c r="N43" s="349">
        <v>253921</v>
      </c>
      <c r="O43" s="350">
        <v>42325</v>
      </c>
      <c r="P43" s="408">
        <f t="shared" si="9"/>
        <v>63</v>
      </c>
      <c r="Q43" s="352" t="str">
        <f t="shared" si="10"/>
        <v/>
      </c>
      <c r="R43" s="352">
        <f t="shared" si="11"/>
        <v>0</v>
      </c>
      <c r="S43" s="352"/>
      <c r="T43" s="163"/>
    </row>
    <row r="44" spans="1:20" s="107" customFormat="1" collapsed="1">
      <c r="A44" s="323" t="s">
        <v>45</v>
      </c>
      <c r="B44" s="330" t="s">
        <v>222</v>
      </c>
      <c r="C44" s="324">
        <v>40491</v>
      </c>
      <c r="D44" s="324">
        <f>DATE(YEAR(C44),MONTH(C44)+18,DAY(C44))</f>
        <v>41038</v>
      </c>
      <c r="E44" s="324">
        <v>40721</v>
      </c>
      <c r="F44" s="422">
        <v>40721</v>
      </c>
      <c r="G44" s="324">
        <f>DATE(YEAR(C44)+4,MONTH(C44),DAY(C44))</f>
        <v>41952</v>
      </c>
      <c r="H44" s="952">
        <v>41479</v>
      </c>
      <c r="I44" s="326">
        <v>1173028</v>
      </c>
      <c r="J44" s="325"/>
      <c r="K44" s="326"/>
      <c r="L44" s="327"/>
      <c r="M44" s="324"/>
      <c r="N44" s="328">
        <f>SUM(N45:N53)</f>
        <v>1173028</v>
      </c>
      <c r="O44" s="329"/>
      <c r="P44" s="423"/>
      <c r="Q44" s="331">
        <f>SUM(Q45:Q53)</f>
        <v>0</v>
      </c>
      <c r="R44" s="331">
        <f>SUM(R45:R53)</f>
        <v>0</v>
      </c>
      <c r="S44" s="331"/>
      <c r="T44" s="166">
        <f>I44-(N44+Q44+R44)</f>
        <v>0</v>
      </c>
    </row>
    <row r="45" spans="1:20" s="26" customFormat="1" hidden="1" outlineLevel="1">
      <c r="A45" s="332" t="s">
        <v>45</v>
      </c>
      <c r="B45" s="351"/>
      <c r="C45" s="410" t="s">
        <v>212</v>
      </c>
      <c r="D45" s="345"/>
      <c r="E45" s="345"/>
      <c r="F45" s="424"/>
      <c r="G45" s="345"/>
      <c r="H45" s="949"/>
      <c r="I45" s="411"/>
      <c r="J45" s="346">
        <f>K45/$I$44</f>
        <v>0.30000000000000004</v>
      </c>
      <c r="K45" s="347">
        <v>351908.4</v>
      </c>
      <c r="L45" s="348">
        <v>1</v>
      </c>
      <c r="M45" s="345">
        <v>40756</v>
      </c>
      <c r="N45" s="349">
        <v>351908.4</v>
      </c>
      <c r="O45" s="350">
        <v>40836</v>
      </c>
      <c r="P45" s="408">
        <f t="shared" ref="P45:P53" si="13">IF(O45="",$R$2-M45,O45-M45)</f>
        <v>80</v>
      </c>
      <c r="Q45" s="352" t="str">
        <f t="shared" ref="Q45:Q53" si="14">IF(N45="en attente",K45,"")</f>
        <v/>
      </c>
      <c r="R45" s="352">
        <f t="shared" ref="R45:R53" si="15">IF(M45="",K45-N45,0)</f>
        <v>0</v>
      </c>
      <c r="S45" s="352"/>
      <c r="T45" s="163"/>
    </row>
    <row r="46" spans="1:20" s="26" customFormat="1" hidden="1" outlineLevel="1">
      <c r="A46" s="332" t="s">
        <v>45</v>
      </c>
      <c r="B46" s="351"/>
      <c r="C46" s="345"/>
      <c r="D46" s="345"/>
      <c r="E46" s="345"/>
      <c r="F46" s="424"/>
      <c r="G46" s="345"/>
      <c r="H46" s="949"/>
      <c r="I46" s="411"/>
      <c r="J46" s="346">
        <f t="shared" ref="J46:J53" si="16">K46/$I$44+J45</f>
        <v>0.36240000238698483</v>
      </c>
      <c r="K46" s="347">
        <v>73196.95</v>
      </c>
      <c r="L46" s="348">
        <v>2</v>
      </c>
      <c r="M46" s="345">
        <v>41038</v>
      </c>
      <c r="N46" s="349">
        <v>73196.95</v>
      </c>
      <c r="O46" s="350">
        <v>41142</v>
      </c>
      <c r="P46" s="408">
        <f t="shared" si="13"/>
        <v>104</v>
      </c>
      <c r="Q46" s="352" t="str">
        <f t="shared" si="14"/>
        <v/>
      </c>
      <c r="R46" s="352">
        <f t="shared" si="15"/>
        <v>0</v>
      </c>
      <c r="S46" s="352"/>
      <c r="T46" s="163"/>
    </row>
    <row r="47" spans="1:20" s="26" customFormat="1" hidden="1" outlineLevel="1">
      <c r="A47" s="332" t="s">
        <v>45</v>
      </c>
      <c r="B47" s="351"/>
      <c r="C47" s="345"/>
      <c r="D47" s="345"/>
      <c r="E47" s="345"/>
      <c r="F47" s="424"/>
      <c r="G47" s="345"/>
      <c r="H47" s="949"/>
      <c r="I47" s="411"/>
      <c r="J47" s="346">
        <f t="shared" si="16"/>
        <v>0.42009999761301525</v>
      </c>
      <c r="K47" s="347">
        <v>67683.709999999992</v>
      </c>
      <c r="L47" s="348">
        <v>3</v>
      </c>
      <c r="M47" s="345">
        <v>41072</v>
      </c>
      <c r="N47" s="349">
        <v>67683.709999999992</v>
      </c>
      <c r="O47" s="350">
        <v>41142</v>
      </c>
      <c r="P47" s="408">
        <f t="shared" si="13"/>
        <v>70</v>
      </c>
      <c r="Q47" s="352" t="str">
        <f t="shared" si="14"/>
        <v/>
      </c>
      <c r="R47" s="352">
        <f t="shared" si="15"/>
        <v>0</v>
      </c>
      <c r="S47" s="352"/>
      <c r="T47" s="163"/>
    </row>
    <row r="48" spans="1:20" s="26" customFormat="1" hidden="1" outlineLevel="1">
      <c r="A48" s="332" t="s">
        <v>45</v>
      </c>
      <c r="B48" s="351"/>
      <c r="C48" s="345"/>
      <c r="D48" s="345"/>
      <c r="E48" s="345"/>
      <c r="F48" s="424"/>
      <c r="G48" s="345"/>
      <c r="H48" s="949"/>
      <c r="I48" s="411"/>
      <c r="J48" s="346">
        <f t="shared" si="16"/>
        <v>0.50420000204598703</v>
      </c>
      <c r="K48" s="347">
        <v>98651.66</v>
      </c>
      <c r="L48" s="348">
        <v>4</v>
      </c>
      <c r="M48" s="345">
        <v>41129</v>
      </c>
      <c r="N48" s="349">
        <v>98651.66</v>
      </c>
      <c r="O48" s="350">
        <v>41170</v>
      </c>
      <c r="P48" s="408">
        <f t="shared" si="13"/>
        <v>41</v>
      </c>
      <c r="Q48" s="352" t="str">
        <f t="shared" si="14"/>
        <v/>
      </c>
      <c r="R48" s="352">
        <f t="shared" si="15"/>
        <v>0</v>
      </c>
      <c r="S48" s="352"/>
      <c r="T48" s="163"/>
    </row>
    <row r="49" spans="1:20" s="26" customFormat="1" hidden="1" outlineLevel="1">
      <c r="A49" s="332" t="s">
        <v>45</v>
      </c>
      <c r="B49" s="351"/>
      <c r="C49" s="345"/>
      <c r="D49" s="345"/>
      <c r="E49" s="345"/>
      <c r="F49" s="424"/>
      <c r="G49" s="345"/>
      <c r="H49" s="949"/>
      <c r="I49" s="411"/>
      <c r="J49" s="346">
        <f t="shared" si="16"/>
        <v>0.57100000170498921</v>
      </c>
      <c r="K49" s="347">
        <v>78358.26999999999</v>
      </c>
      <c r="L49" s="348">
        <v>5</v>
      </c>
      <c r="M49" s="345">
        <v>41190</v>
      </c>
      <c r="N49" s="349">
        <v>78358.26999999999</v>
      </c>
      <c r="O49" s="350">
        <v>41219</v>
      </c>
      <c r="P49" s="408">
        <f t="shared" si="13"/>
        <v>29</v>
      </c>
      <c r="Q49" s="352" t="str">
        <f t="shared" si="14"/>
        <v/>
      </c>
      <c r="R49" s="352">
        <f t="shared" si="15"/>
        <v>0</v>
      </c>
      <c r="S49" s="352"/>
      <c r="T49" s="163"/>
    </row>
    <row r="50" spans="1:20" s="26" customFormat="1" hidden="1" outlineLevel="1">
      <c r="A50" s="332" t="s">
        <v>45</v>
      </c>
      <c r="B50" s="351"/>
      <c r="C50" s="345"/>
      <c r="D50" s="345"/>
      <c r="E50" s="345"/>
      <c r="F50" s="424"/>
      <c r="G50" s="345"/>
      <c r="H50" s="949"/>
      <c r="I50" s="411"/>
      <c r="J50" s="346">
        <f t="shared" si="16"/>
        <v>0.6235000017049892</v>
      </c>
      <c r="K50" s="347">
        <v>61583.969999999994</v>
      </c>
      <c r="L50" s="348">
        <v>6</v>
      </c>
      <c r="M50" s="345">
        <v>41360</v>
      </c>
      <c r="N50" s="349">
        <v>61583.969999999994</v>
      </c>
      <c r="O50" s="350">
        <v>41430</v>
      </c>
      <c r="P50" s="408">
        <f t="shared" si="13"/>
        <v>70</v>
      </c>
      <c r="Q50" s="352" t="str">
        <f t="shared" si="14"/>
        <v/>
      </c>
      <c r="R50" s="352">
        <f t="shared" si="15"/>
        <v>0</v>
      </c>
      <c r="S50" s="352"/>
      <c r="T50" s="163"/>
    </row>
    <row r="51" spans="1:20" s="26" customFormat="1" hidden="1" outlineLevel="1">
      <c r="A51" s="332" t="s">
        <v>45</v>
      </c>
      <c r="B51" s="351"/>
      <c r="C51" s="345"/>
      <c r="D51" s="345"/>
      <c r="E51" s="345"/>
      <c r="F51" s="424"/>
      <c r="G51" s="345"/>
      <c r="H51" s="949"/>
      <c r="I51" s="411"/>
      <c r="J51" s="346">
        <f t="shared" si="16"/>
        <v>0.7225999976130153</v>
      </c>
      <c r="K51" s="347">
        <v>116247.06999999999</v>
      </c>
      <c r="L51" s="348">
        <v>7</v>
      </c>
      <c r="M51" s="345">
        <v>41305</v>
      </c>
      <c r="N51" s="349">
        <v>116247.06999999999</v>
      </c>
      <c r="O51" s="350">
        <v>41444</v>
      </c>
      <c r="P51" s="408">
        <f t="shared" si="13"/>
        <v>139</v>
      </c>
      <c r="Q51" s="352" t="str">
        <f t="shared" si="14"/>
        <v/>
      </c>
      <c r="R51" s="352">
        <f t="shared" si="15"/>
        <v>0</v>
      </c>
      <c r="S51" s="352"/>
      <c r="T51" s="163"/>
    </row>
    <row r="52" spans="1:20" s="26" customFormat="1" hidden="1" outlineLevel="1">
      <c r="A52" s="332" t="s">
        <v>45</v>
      </c>
      <c r="B52" s="351"/>
      <c r="C52" s="345"/>
      <c r="D52" s="345"/>
      <c r="E52" s="345"/>
      <c r="F52" s="424"/>
      <c r="G52" s="345"/>
      <c r="H52" s="949"/>
      <c r="I52" s="411"/>
      <c r="J52" s="346">
        <f t="shared" si="16"/>
        <v>0.8</v>
      </c>
      <c r="K52" s="347">
        <v>90792.37</v>
      </c>
      <c r="L52" s="348">
        <v>8</v>
      </c>
      <c r="M52" s="345">
        <v>41463</v>
      </c>
      <c r="N52" s="349">
        <v>90792.37</v>
      </c>
      <c r="O52" s="350">
        <v>41505</v>
      </c>
      <c r="P52" s="408">
        <f t="shared" si="13"/>
        <v>42</v>
      </c>
      <c r="Q52" s="352" t="str">
        <f t="shared" si="14"/>
        <v/>
      </c>
      <c r="R52" s="352">
        <f t="shared" si="15"/>
        <v>0</v>
      </c>
      <c r="S52" s="352"/>
      <c r="T52" s="163"/>
    </row>
    <row r="53" spans="1:20" s="26" customFormat="1" hidden="1" outlineLevel="1">
      <c r="A53" s="354" t="s">
        <v>45</v>
      </c>
      <c r="B53" s="361"/>
      <c r="C53" s="356"/>
      <c r="D53" s="356"/>
      <c r="E53" s="356"/>
      <c r="F53" s="425"/>
      <c r="G53" s="356"/>
      <c r="H53" s="950"/>
      <c r="I53" s="411"/>
      <c r="J53" s="426">
        <f t="shared" si="16"/>
        <v>1</v>
      </c>
      <c r="K53" s="357">
        <v>234605.6</v>
      </c>
      <c r="L53" s="358">
        <v>9</v>
      </c>
      <c r="M53" s="356">
        <v>42166</v>
      </c>
      <c r="N53" s="359">
        <v>234605.6</v>
      </c>
      <c r="O53" s="360">
        <v>42614</v>
      </c>
      <c r="P53" s="408">
        <f t="shared" si="13"/>
        <v>448</v>
      </c>
      <c r="Q53" s="362" t="str">
        <f t="shared" si="14"/>
        <v/>
      </c>
      <c r="R53" s="362">
        <f t="shared" si="15"/>
        <v>0</v>
      </c>
      <c r="S53" s="362"/>
      <c r="T53" s="163"/>
    </row>
    <row r="54" spans="1:20" s="107" customFormat="1" collapsed="1">
      <c r="A54" s="400" t="s">
        <v>43</v>
      </c>
      <c r="B54" s="404" t="s">
        <v>224</v>
      </c>
      <c r="C54" s="412">
        <v>40730</v>
      </c>
      <c r="D54" s="324">
        <f>DATE(YEAR(C54),MONTH(C54)+18,DAY(C54))</f>
        <v>41280</v>
      </c>
      <c r="E54" s="412">
        <v>40889</v>
      </c>
      <c r="F54" s="417">
        <v>40939</v>
      </c>
      <c r="G54" s="324">
        <f>DATE(YEAR(C54)+4,MONTH(C54),DAY(C54))</f>
        <v>42191</v>
      </c>
      <c r="H54" s="952">
        <v>41689</v>
      </c>
      <c r="I54" s="326">
        <v>119398</v>
      </c>
      <c r="J54" s="407"/>
      <c r="K54" s="402"/>
      <c r="L54" s="413"/>
      <c r="M54" s="412"/>
      <c r="N54" s="405">
        <f>SUM(N55:N61)</f>
        <v>119398</v>
      </c>
      <c r="O54" s="418"/>
      <c r="P54" s="419"/>
      <c r="Q54" s="414">
        <f>SUM(Q55:Q61)</f>
        <v>0</v>
      </c>
      <c r="R54" s="414">
        <f>SUM(R55:R61)</f>
        <v>0</v>
      </c>
      <c r="S54" s="414"/>
      <c r="T54" s="163">
        <f>I54-(N54+Q54+R54)</f>
        <v>0</v>
      </c>
    </row>
    <row r="55" spans="1:20" s="31" customFormat="1" hidden="1" outlineLevel="1">
      <c r="A55" s="332" t="s">
        <v>43</v>
      </c>
      <c r="B55" s="420"/>
      <c r="C55" s="410" t="s">
        <v>212</v>
      </c>
      <c r="D55" s="410"/>
      <c r="E55" s="410"/>
      <c r="F55" s="421"/>
      <c r="G55" s="410"/>
      <c r="H55" s="951"/>
      <c r="I55" s="965"/>
      <c r="J55" s="346">
        <f>K55/I54</f>
        <v>0.3</v>
      </c>
      <c r="K55" s="347">
        <v>35819.4</v>
      </c>
      <c r="L55" s="348">
        <v>1</v>
      </c>
      <c r="M55" s="345">
        <v>40953</v>
      </c>
      <c r="N55" s="349">
        <v>35819.4</v>
      </c>
      <c r="O55" s="350">
        <v>41023</v>
      </c>
      <c r="P55" s="408">
        <f t="shared" ref="P55:P61" si="17">IF(O55="",$R$2-M55,O55-M55)</f>
        <v>70</v>
      </c>
      <c r="Q55" s="352" t="str">
        <f t="shared" ref="Q55:Q61" si="18">IF(N55="en attente",K55,"")</f>
        <v/>
      </c>
      <c r="R55" s="352">
        <f t="shared" ref="R55:R61" si="19">IF(M55="",K55-N55,0)</f>
        <v>0</v>
      </c>
      <c r="S55" s="352"/>
      <c r="T55" s="169"/>
    </row>
    <row r="56" spans="1:20" s="31" customFormat="1" hidden="1" outlineLevel="1">
      <c r="A56" s="332" t="s">
        <v>43</v>
      </c>
      <c r="B56" s="420"/>
      <c r="C56" s="410"/>
      <c r="D56" s="410"/>
      <c r="E56" s="410"/>
      <c r="F56" s="421"/>
      <c r="G56" s="410"/>
      <c r="H56" s="951"/>
      <c r="I56" s="965"/>
      <c r="J56" s="346">
        <f t="shared" ref="J56:J61" si="20">K56/$I$54+J55</f>
        <v>0.36399998324930061</v>
      </c>
      <c r="K56" s="347">
        <v>7641.4699999999993</v>
      </c>
      <c r="L56" s="348">
        <v>2</v>
      </c>
      <c r="M56" s="345">
        <v>41227</v>
      </c>
      <c r="N56" s="349">
        <v>7641.4699999999993</v>
      </c>
      <c r="O56" s="350">
        <v>41317</v>
      </c>
      <c r="P56" s="408">
        <f t="shared" si="17"/>
        <v>90</v>
      </c>
      <c r="Q56" s="352" t="str">
        <f t="shared" si="18"/>
        <v/>
      </c>
      <c r="R56" s="352">
        <f t="shared" si="19"/>
        <v>0</v>
      </c>
      <c r="S56" s="352"/>
      <c r="T56" s="169"/>
    </row>
    <row r="57" spans="1:20" s="31" customFormat="1" hidden="1" outlineLevel="1">
      <c r="A57" s="332" t="s">
        <v>43</v>
      </c>
      <c r="B57" s="420"/>
      <c r="C57" s="410"/>
      <c r="D57" s="410"/>
      <c r="E57" s="410"/>
      <c r="F57" s="421"/>
      <c r="G57" s="410"/>
      <c r="H57" s="951"/>
      <c r="I57" s="965"/>
      <c r="J57" s="346">
        <f t="shared" si="20"/>
        <v>0.49319996984874115</v>
      </c>
      <c r="K57" s="347">
        <v>15426.220000000001</v>
      </c>
      <c r="L57" s="348">
        <v>3</v>
      </c>
      <c r="M57" s="345">
        <v>41348</v>
      </c>
      <c r="N57" s="349">
        <v>15426.220000000001</v>
      </c>
      <c r="O57" s="350">
        <v>41416</v>
      </c>
      <c r="P57" s="408">
        <f t="shared" si="17"/>
        <v>68</v>
      </c>
      <c r="Q57" s="352" t="str">
        <f t="shared" si="18"/>
        <v/>
      </c>
      <c r="R57" s="352">
        <f t="shared" si="19"/>
        <v>0</v>
      </c>
      <c r="S57" s="352"/>
      <c r="T57" s="169"/>
    </row>
    <row r="58" spans="1:20" s="31" customFormat="1" hidden="1" outlineLevel="1">
      <c r="A58" s="332" t="s">
        <v>43</v>
      </c>
      <c r="B58" s="420"/>
      <c r="C58" s="410"/>
      <c r="D58" s="410"/>
      <c r="E58" s="410"/>
      <c r="F58" s="421"/>
      <c r="G58" s="410"/>
      <c r="H58" s="951"/>
      <c r="I58" s="965"/>
      <c r="J58" s="346">
        <f t="shared" si="20"/>
        <v>0.63489999832493005</v>
      </c>
      <c r="K58" s="347">
        <v>16918.7</v>
      </c>
      <c r="L58" s="348">
        <v>4</v>
      </c>
      <c r="M58" s="345">
        <v>41463</v>
      </c>
      <c r="N58" s="349">
        <v>16918.7</v>
      </c>
      <c r="O58" s="350">
        <v>41522</v>
      </c>
      <c r="P58" s="408">
        <f t="shared" si="17"/>
        <v>59</v>
      </c>
      <c r="Q58" s="352" t="str">
        <f t="shared" si="18"/>
        <v/>
      </c>
      <c r="R58" s="352">
        <f t="shared" si="19"/>
        <v>0</v>
      </c>
      <c r="S58" s="352"/>
      <c r="T58" s="169"/>
    </row>
    <row r="59" spans="1:20" s="31" customFormat="1" hidden="1" outlineLevel="1">
      <c r="A59" s="332" t="s">
        <v>43</v>
      </c>
      <c r="B59" s="420"/>
      <c r="C59" s="410"/>
      <c r="D59" s="410"/>
      <c r="E59" s="410"/>
      <c r="F59" s="421"/>
      <c r="G59" s="410"/>
      <c r="H59" s="951"/>
      <c r="I59" s="965"/>
      <c r="J59" s="346">
        <f t="shared" si="20"/>
        <v>0.72769996147339144</v>
      </c>
      <c r="K59" s="347">
        <v>11080.130000000001</v>
      </c>
      <c r="L59" s="348">
        <v>5</v>
      </c>
      <c r="M59" s="345">
        <v>41547</v>
      </c>
      <c r="N59" s="349">
        <v>11080.130000000001</v>
      </c>
      <c r="O59" s="350">
        <v>41582</v>
      </c>
      <c r="P59" s="408">
        <f t="shared" si="17"/>
        <v>35</v>
      </c>
      <c r="Q59" s="352" t="str">
        <f t="shared" si="18"/>
        <v/>
      </c>
      <c r="R59" s="352">
        <f t="shared" si="19"/>
        <v>0</v>
      </c>
      <c r="S59" s="352"/>
      <c r="T59" s="169"/>
    </row>
    <row r="60" spans="1:20" s="31" customFormat="1" hidden="1" outlineLevel="1">
      <c r="A60" s="332" t="s">
        <v>43</v>
      </c>
      <c r="B60" s="420"/>
      <c r="C60" s="410"/>
      <c r="D60" s="410"/>
      <c r="E60" s="410"/>
      <c r="F60" s="421"/>
      <c r="G60" s="410"/>
      <c r="H60" s="951"/>
      <c r="I60" s="965"/>
      <c r="J60" s="346">
        <f t="shared" si="20"/>
        <v>0.79999999999999993</v>
      </c>
      <c r="K60" s="347">
        <v>8632.48</v>
      </c>
      <c r="L60" s="348">
        <v>6</v>
      </c>
      <c r="M60" s="345">
        <v>41697</v>
      </c>
      <c r="N60" s="349">
        <v>8632.48</v>
      </c>
      <c r="O60" s="350">
        <v>41859</v>
      </c>
      <c r="P60" s="408">
        <f t="shared" si="17"/>
        <v>162</v>
      </c>
      <c r="Q60" s="352" t="str">
        <f t="shared" si="18"/>
        <v/>
      </c>
      <c r="R60" s="352">
        <f t="shared" si="19"/>
        <v>0</v>
      </c>
      <c r="S60" s="352"/>
      <c r="T60" s="169"/>
    </row>
    <row r="61" spans="1:20" s="31" customFormat="1" hidden="1" outlineLevel="1">
      <c r="A61" s="332" t="s">
        <v>43</v>
      </c>
      <c r="B61" s="420"/>
      <c r="C61" s="410"/>
      <c r="D61" s="410"/>
      <c r="E61" s="410"/>
      <c r="F61" s="421"/>
      <c r="G61" s="410"/>
      <c r="H61" s="951"/>
      <c r="I61" s="965"/>
      <c r="J61" s="346">
        <f t="shared" si="20"/>
        <v>0.99999999999999989</v>
      </c>
      <c r="K61" s="347">
        <f>I54-SUM(K55:K60)</f>
        <v>23879.599999999991</v>
      </c>
      <c r="L61" s="348">
        <v>7</v>
      </c>
      <c r="M61" s="345">
        <v>42423</v>
      </c>
      <c r="N61" s="349">
        <v>23879.599999999999</v>
      </c>
      <c r="O61" s="350">
        <v>42520</v>
      </c>
      <c r="P61" s="408">
        <f t="shared" si="17"/>
        <v>97</v>
      </c>
      <c r="Q61" s="352" t="str">
        <f t="shared" si="18"/>
        <v/>
      </c>
      <c r="R61" s="352">
        <f t="shared" si="19"/>
        <v>0</v>
      </c>
      <c r="S61" s="352"/>
      <c r="T61" s="169"/>
    </row>
    <row r="62" spans="1:20" s="8" customFormat="1" collapsed="1">
      <c r="A62" s="323" t="s">
        <v>43</v>
      </c>
      <c r="B62" s="396" t="s">
        <v>225</v>
      </c>
      <c r="C62" s="324">
        <v>40722</v>
      </c>
      <c r="D62" s="324">
        <f>DATE(YEAR(C62),MONTH(C62)+18,DAY(C62))</f>
        <v>41271</v>
      </c>
      <c r="E62" s="324">
        <v>40889</v>
      </c>
      <c r="F62" s="422">
        <v>40939</v>
      </c>
      <c r="G62" s="324">
        <f>DATE(YEAR(C62)+4,MONTH(C62),DAY(C62))</f>
        <v>42183</v>
      </c>
      <c r="H62" s="952">
        <v>41689</v>
      </c>
      <c r="I62" s="326">
        <v>380000</v>
      </c>
      <c r="J62" s="325"/>
      <c r="K62" s="326"/>
      <c r="L62" s="327"/>
      <c r="M62" s="330"/>
      <c r="N62" s="328">
        <f>SUM(N63:N69)</f>
        <v>380000</v>
      </c>
      <c r="O62" s="329"/>
      <c r="P62" s="423"/>
      <c r="Q62" s="331">
        <f>SUM(Q63:Q69)</f>
        <v>0</v>
      </c>
      <c r="R62" s="331">
        <f>SUM(R63:R69)</f>
        <v>0</v>
      </c>
      <c r="S62" s="331"/>
      <c r="T62" s="166">
        <f>I62-(N62+Q62+R62)</f>
        <v>0</v>
      </c>
    </row>
    <row r="63" spans="1:20" s="26" customFormat="1" hidden="1" outlineLevel="1">
      <c r="A63" s="332" t="s">
        <v>43</v>
      </c>
      <c r="B63" s="351"/>
      <c r="C63" s="410" t="s">
        <v>212</v>
      </c>
      <c r="D63" s="345"/>
      <c r="E63" s="345"/>
      <c r="F63" s="424"/>
      <c r="G63" s="345"/>
      <c r="H63" s="949"/>
      <c r="I63" s="411"/>
      <c r="J63" s="346">
        <f>K63/$I$62</f>
        <v>0.3</v>
      </c>
      <c r="K63" s="347">
        <v>114000</v>
      </c>
      <c r="L63" s="348">
        <v>1</v>
      </c>
      <c r="M63" s="345">
        <v>40953</v>
      </c>
      <c r="N63" s="349">
        <v>114000</v>
      </c>
      <c r="O63" s="350">
        <v>41023</v>
      </c>
      <c r="P63" s="408">
        <f t="shared" ref="P63:P69" si="21">IF(O63="",$R$2-M63,O63-M63)</f>
        <v>70</v>
      </c>
      <c r="Q63" s="352" t="str">
        <f t="shared" ref="Q63:Q69" si="22">IF(N63="en attente",K63,"")</f>
        <v/>
      </c>
      <c r="R63" s="352">
        <f t="shared" ref="R63:R69" si="23">IF(M63="",K63-N63,0)</f>
        <v>0</v>
      </c>
      <c r="S63" s="352"/>
      <c r="T63" s="163"/>
    </row>
    <row r="64" spans="1:20" s="26" customFormat="1" hidden="1" outlineLevel="1">
      <c r="A64" s="332" t="s">
        <v>43</v>
      </c>
      <c r="B64" s="351"/>
      <c r="C64" s="345"/>
      <c r="D64" s="345"/>
      <c r="E64" s="345"/>
      <c r="F64" s="424"/>
      <c r="G64" s="345"/>
      <c r="H64" s="949"/>
      <c r="I64" s="411"/>
      <c r="J64" s="346">
        <f t="shared" ref="J64:J69" si="24">K64/$I$62+J63</f>
        <v>0.36399999999999999</v>
      </c>
      <c r="K64" s="347">
        <v>24320</v>
      </c>
      <c r="L64" s="348">
        <v>2</v>
      </c>
      <c r="M64" s="345">
        <v>41227</v>
      </c>
      <c r="N64" s="349">
        <v>24320</v>
      </c>
      <c r="O64" s="350">
        <v>41317</v>
      </c>
      <c r="P64" s="408">
        <f t="shared" si="21"/>
        <v>90</v>
      </c>
      <c r="Q64" s="352" t="str">
        <f t="shared" si="22"/>
        <v/>
      </c>
      <c r="R64" s="352">
        <f t="shared" si="23"/>
        <v>0</v>
      </c>
      <c r="S64" s="352"/>
      <c r="T64" s="163"/>
    </row>
    <row r="65" spans="1:20" s="26" customFormat="1" hidden="1" outlineLevel="1">
      <c r="A65" s="332" t="s">
        <v>43</v>
      </c>
      <c r="B65" s="351"/>
      <c r="C65" s="345"/>
      <c r="D65" s="345"/>
      <c r="E65" s="345"/>
      <c r="F65" s="424"/>
      <c r="G65" s="345"/>
      <c r="H65" s="949"/>
      <c r="I65" s="411"/>
      <c r="J65" s="346">
        <f t="shared" si="24"/>
        <v>0.49670000000000003</v>
      </c>
      <c r="K65" s="347">
        <v>50426</v>
      </c>
      <c r="L65" s="348">
        <v>3</v>
      </c>
      <c r="M65" s="345">
        <v>41348</v>
      </c>
      <c r="N65" s="349">
        <v>50426</v>
      </c>
      <c r="O65" s="350">
        <v>41416</v>
      </c>
      <c r="P65" s="408">
        <f t="shared" si="21"/>
        <v>68</v>
      </c>
      <c r="Q65" s="352" t="str">
        <f t="shared" si="22"/>
        <v/>
      </c>
      <c r="R65" s="352">
        <f t="shared" si="23"/>
        <v>0</v>
      </c>
      <c r="S65" s="352"/>
      <c r="T65" s="163"/>
    </row>
    <row r="66" spans="1:20" s="26" customFormat="1" hidden="1" outlineLevel="1">
      <c r="A66" s="332" t="s">
        <v>43</v>
      </c>
      <c r="B66" s="351"/>
      <c r="C66" s="345"/>
      <c r="D66" s="345"/>
      <c r="E66" s="345"/>
      <c r="F66" s="424"/>
      <c r="G66" s="345"/>
      <c r="H66" s="949"/>
      <c r="I66" s="411"/>
      <c r="J66" s="346">
        <f t="shared" si="24"/>
        <v>0.63929999999999998</v>
      </c>
      <c r="K66" s="347">
        <v>54188</v>
      </c>
      <c r="L66" s="348">
        <v>4</v>
      </c>
      <c r="M66" s="345">
        <v>41463</v>
      </c>
      <c r="N66" s="349">
        <v>54188</v>
      </c>
      <c r="O66" s="350">
        <v>41522</v>
      </c>
      <c r="P66" s="408">
        <f t="shared" si="21"/>
        <v>59</v>
      </c>
      <c r="Q66" s="352" t="str">
        <f t="shared" si="22"/>
        <v/>
      </c>
      <c r="R66" s="352">
        <f t="shared" si="23"/>
        <v>0</v>
      </c>
      <c r="S66" s="352"/>
      <c r="T66" s="163"/>
    </row>
    <row r="67" spans="1:20" s="26" customFormat="1" hidden="1" outlineLevel="1">
      <c r="A67" s="332" t="s">
        <v>43</v>
      </c>
      <c r="B67" s="351"/>
      <c r="C67" s="345"/>
      <c r="D67" s="345"/>
      <c r="E67" s="345"/>
      <c r="F67" s="424"/>
      <c r="G67" s="345"/>
      <c r="H67" s="949"/>
      <c r="I67" s="411"/>
      <c r="J67" s="346">
        <f t="shared" si="24"/>
        <v>0.73280000000000001</v>
      </c>
      <c r="K67" s="347">
        <v>35530</v>
      </c>
      <c r="L67" s="348">
        <v>5</v>
      </c>
      <c r="M67" s="345">
        <v>41547</v>
      </c>
      <c r="N67" s="349">
        <v>35530</v>
      </c>
      <c r="O67" s="350">
        <v>41582</v>
      </c>
      <c r="P67" s="408">
        <f t="shared" si="21"/>
        <v>35</v>
      </c>
      <c r="Q67" s="352" t="str">
        <f t="shared" si="22"/>
        <v/>
      </c>
      <c r="R67" s="352">
        <f t="shared" si="23"/>
        <v>0</v>
      </c>
      <c r="S67" s="352"/>
      <c r="T67" s="163"/>
    </row>
    <row r="68" spans="1:20" s="26" customFormat="1" hidden="1" outlineLevel="1">
      <c r="A68" s="332" t="s">
        <v>43</v>
      </c>
      <c r="B68" s="351"/>
      <c r="C68" s="345"/>
      <c r="D68" s="345"/>
      <c r="E68" s="345"/>
      <c r="F68" s="424"/>
      <c r="G68" s="345"/>
      <c r="H68" s="949"/>
      <c r="I68" s="411"/>
      <c r="J68" s="346">
        <f t="shared" si="24"/>
        <v>0.8</v>
      </c>
      <c r="K68" s="347">
        <v>25536</v>
      </c>
      <c r="L68" s="348">
        <v>6</v>
      </c>
      <c r="M68" s="345">
        <v>41697</v>
      </c>
      <c r="N68" s="349">
        <v>25536</v>
      </c>
      <c r="O68" s="350">
        <v>41859</v>
      </c>
      <c r="P68" s="408">
        <f t="shared" si="21"/>
        <v>162</v>
      </c>
      <c r="Q68" s="352" t="str">
        <f t="shared" si="22"/>
        <v/>
      </c>
      <c r="R68" s="352">
        <f t="shared" si="23"/>
        <v>0</v>
      </c>
      <c r="S68" s="352"/>
      <c r="T68" s="163"/>
    </row>
    <row r="69" spans="1:20" s="26" customFormat="1" hidden="1" outlineLevel="1">
      <c r="A69" s="354" t="s">
        <v>43</v>
      </c>
      <c r="B69" s="361"/>
      <c r="C69" s="356"/>
      <c r="D69" s="356"/>
      <c r="E69" s="356"/>
      <c r="F69" s="425"/>
      <c r="G69" s="356"/>
      <c r="H69" s="950"/>
      <c r="I69" s="411"/>
      <c r="J69" s="426">
        <f t="shared" si="24"/>
        <v>1</v>
      </c>
      <c r="K69" s="357">
        <v>76000</v>
      </c>
      <c r="L69" s="358">
        <v>7</v>
      </c>
      <c r="M69" s="356">
        <v>42423</v>
      </c>
      <c r="N69" s="359">
        <v>76000</v>
      </c>
      <c r="O69" s="360">
        <v>42520</v>
      </c>
      <c r="P69" s="427">
        <f t="shared" si="21"/>
        <v>97</v>
      </c>
      <c r="Q69" s="362" t="str">
        <f t="shared" si="22"/>
        <v/>
      </c>
      <c r="R69" s="362">
        <f t="shared" si="23"/>
        <v>0</v>
      </c>
      <c r="S69" s="362"/>
      <c r="T69" s="163"/>
    </row>
    <row r="70" spans="1:20" s="107" customFormat="1" collapsed="1">
      <c r="A70" s="400" t="s">
        <v>46</v>
      </c>
      <c r="B70" s="404" t="s">
        <v>223</v>
      </c>
      <c r="C70" s="412">
        <v>40884</v>
      </c>
      <c r="D70" s="324">
        <f>DATE(YEAR(C70),MONTH(C70)+18,DAY(C70))</f>
        <v>41432</v>
      </c>
      <c r="E70" s="412">
        <v>40903</v>
      </c>
      <c r="F70" s="417">
        <v>40970</v>
      </c>
      <c r="G70" s="324">
        <f>DATE(YEAR(C70)+4,MONTH(C70),DAY(C70))</f>
        <v>42345</v>
      </c>
      <c r="H70" s="952">
        <v>41627</v>
      </c>
      <c r="I70" s="326">
        <v>620464</v>
      </c>
      <c r="J70" s="407"/>
      <c r="K70" s="402"/>
      <c r="L70" s="413"/>
      <c r="M70" s="412"/>
      <c r="N70" s="405">
        <f>SUM(N71:N77)</f>
        <v>620464</v>
      </c>
      <c r="O70" s="418"/>
      <c r="P70" s="419"/>
      <c r="Q70" s="414">
        <f>SUM(Q71:Q77)</f>
        <v>0</v>
      </c>
      <c r="R70" s="414">
        <f>SUM(R71:R77)</f>
        <v>0</v>
      </c>
      <c r="S70" s="414"/>
      <c r="T70" s="166">
        <f>I70-(N70+Q70+R70)</f>
        <v>0</v>
      </c>
    </row>
    <row r="71" spans="1:20" s="26" customFormat="1" hidden="1" outlineLevel="1">
      <c r="A71" s="332" t="s">
        <v>46</v>
      </c>
      <c r="B71" s="351"/>
      <c r="C71" s="410" t="s">
        <v>212</v>
      </c>
      <c r="D71" s="345"/>
      <c r="E71" s="345"/>
      <c r="F71" s="424"/>
      <c r="G71" s="345"/>
      <c r="H71" s="949"/>
      <c r="I71" s="411"/>
      <c r="J71" s="346">
        <f>K71/$I$70</f>
        <v>0.30000000000000004</v>
      </c>
      <c r="K71" s="347">
        <v>186139.2</v>
      </c>
      <c r="L71" s="348">
        <v>1</v>
      </c>
      <c r="M71" s="345">
        <v>41003</v>
      </c>
      <c r="N71" s="349">
        <v>186139.2</v>
      </c>
      <c r="O71" s="350">
        <v>41065</v>
      </c>
      <c r="P71" s="408">
        <f t="shared" ref="P71:P77" si="25">IF(O71="",$R$2-M71,O71-M71)</f>
        <v>62</v>
      </c>
      <c r="Q71" s="352" t="str">
        <f t="shared" ref="Q71:Q77" si="26">IF(N71="en attente",K71,"")</f>
        <v/>
      </c>
      <c r="R71" s="352">
        <f t="shared" ref="R71:R77" si="27">IF(M71="",K71-N71,0)</f>
        <v>0</v>
      </c>
      <c r="S71" s="352"/>
      <c r="T71" s="163"/>
    </row>
    <row r="72" spans="1:20" s="26" customFormat="1" hidden="1" outlineLevel="1">
      <c r="A72" s="332" t="s">
        <v>46</v>
      </c>
      <c r="B72" s="351"/>
      <c r="C72" s="345"/>
      <c r="D72" s="345"/>
      <c r="E72" s="345"/>
      <c r="F72" s="424"/>
      <c r="G72" s="345"/>
      <c r="H72" s="949"/>
      <c r="I72" s="411"/>
      <c r="J72" s="346">
        <f t="shared" ref="J72:J77" si="28">K72/$I$70+J71</f>
        <v>0.37989999419789067</v>
      </c>
      <c r="K72" s="347">
        <v>49575.07</v>
      </c>
      <c r="L72" s="348">
        <v>2</v>
      </c>
      <c r="M72" s="345">
        <v>41235</v>
      </c>
      <c r="N72" s="349">
        <v>49575.07</v>
      </c>
      <c r="O72" s="350">
        <v>41317</v>
      </c>
      <c r="P72" s="408">
        <f t="shared" si="25"/>
        <v>82</v>
      </c>
      <c r="Q72" s="352" t="str">
        <f t="shared" si="26"/>
        <v/>
      </c>
      <c r="R72" s="352">
        <f t="shared" si="27"/>
        <v>0</v>
      </c>
      <c r="S72" s="352"/>
      <c r="T72" s="163"/>
    </row>
    <row r="73" spans="1:20" s="26" customFormat="1" hidden="1" outlineLevel="1">
      <c r="A73" s="332" t="s">
        <v>46</v>
      </c>
      <c r="B73" s="351"/>
      <c r="C73" s="345"/>
      <c r="D73" s="345"/>
      <c r="E73" s="345"/>
      <c r="F73" s="424"/>
      <c r="G73" s="345"/>
      <c r="H73" s="949"/>
      <c r="I73" s="411"/>
      <c r="J73" s="346">
        <f t="shared" si="28"/>
        <v>0.52579999806596356</v>
      </c>
      <c r="K73" s="347">
        <v>90525.7</v>
      </c>
      <c r="L73" s="348">
        <v>3</v>
      </c>
      <c r="M73" s="345">
        <v>41313</v>
      </c>
      <c r="N73" s="349">
        <v>90525.7</v>
      </c>
      <c r="O73" s="350">
        <v>41388</v>
      </c>
      <c r="P73" s="408">
        <f t="shared" si="25"/>
        <v>75</v>
      </c>
      <c r="Q73" s="352" t="str">
        <f t="shared" si="26"/>
        <v/>
      </c>
      <c r="R73" s="352">
        <f t="shared" si="27"/>
        <v>0</v>
      </c>
      <c r="S73" s="352"/>
      <c r="T73" s="163"/>
    </row>
    <row r="74" spans="1:20" s="26" customFormat="1" hidden="1" outlineLevel="1">
      <c r="A74" s="332" t="s">
        <v>46</v>
      </c>
      <c r="B74" s="351"/>
      <c r="C74" s="345"/>
      <c r="D74" s="345"/>
      <c r="E74" s="345"/>
      <c r="F74" s="424"/>
      <c r="G74" s="345"/>
      <c r="H74" s="949"/>
      <c r="I74" s="411"/>
      <c r="J74" s="346">
        <f t="shared" si="28"/>
        <v>0.59159999613192715</v>
      </c>
      <c r="K74" s="347">
        <v>40826.53</v>
      </c>
      <c r="L74" s="348">
        <v>4</v>
      </c>
      <c r="M74" s="345">
        <v>41361</v>
      </c>
      <c r="N74" s="349">
        <v>40826.53</v>
      </c>
      <c r="O74" s="350">
        <v>41416</v>
      </c>
      <c r="P74" s="408">
        <f t="shared" si="25"/>
        <v>55</v>
      </c>
      <c r="Q74" s="352" t="str">
        <f t="shared" si="26"/>
        <v/>
      </c>
      <c r="R74" s="352">
        <f t="shared" si="27"/>
        <v>0</v>
      </c>
      <c r="S74" s="352"/>
      <c r="T74" s="163"/>
    </row>
    <row r="75" spans="1:20" s="26" customFormat="1" hidden="1" outlineLevel="1">
      <c r="A75" s="332" t="s">
        <v>46</v>
      </c>
      <c r="B75" s="351"/>
      <c r="C75" s="345"/>
      <c r="D75" s="345"/>
      <c r="E75" s="345"/>
      <c r="F75" s="424"/>
      <c r="G75" s="345"/>
      <c r="H75" s="949"/>
      <c r="I75" s="411"/>
      <c r="J75" s="346">
        <f t="shared" si="28"/>
        <v>0.69980000451275182</v>
      </c>
      <c r="K75" s="347">
        <v>67134.209999999992</v>
      </c>
      <c r="L75" s="348">
        <v>5</v>
      </c>
      <c r="M75" s="345">
        <v>41423</v>
      </c>
      <c r="N75" s="349">
        <v>67134.209999999992</v>
      </c>
      <c r="O75" s="350">
        <v>41473</v>
      </c>
      <c r="P75" s="408">
        <f t="shared" si="25"/>
        <v>50</v>
      </c>
      <c r="Q75" s="352" t="str">
        <f t="shared" si="26"/>
        <v/>
      </c>
      <c r="R75" s="352">
        <f t="shared" si="27"/>
        <v>0</v>
      </c>
      <c r="S75" s="352"/>
      <c r="T75" s="163"/>
    </row>
    <row r="76" spans="1:20" s="26" customFormat="1" hidden="1" outlineLevel="1">
      <c r="A76" s="332" t="s">
        <v>46</v>
      </c>
      <c r="B76" s="351"/>
      <c r="C76" s="345"/>
      <c r="D76" s="345"/>
      <c r="E76" s="345"/>
      <c r="F76" s="424"/>
      <c r="G76" s="345"/>
      <c r="H76" s="949"/>
      <c r="I76" s="411"/>
      <c r="J76" s="346">
        <f t="shared" si="28"/>
        <v>0.8</v>
      </c>
      <c r="K76" s="347">
        <v>62170.490000000005</v>
      </c>
      <c r="L76" s="348">
        <v>6</v>
      </c>
      <c r="M76" s="345">
        <v>41463</v>
      </c>
      <c r="N76" s="349">
        <v>62170.490000000005</v>
      </c>
      <c r="O76" s="350">
        <v>41522</v>
      </c>
      <c r="P76" s="408">
        <f t="shared" si="25"/>
        <v>59</v>
      </c>
      <c r="Q76" s="352" t="str">
        <f t="shared" si="26"/>
        <v/>
      </c>
      <c r="R76" s="352">
        <f t="shared" si="27"/>
        <v>0</v>
      </c>
      <c r="S76" s="352"/>
      <c r="T76" s="163"/>
    </row>
    <row r="77" spans="1:20" s="26" customFormat="1" hidden="1" outlineLevel="1">
      <c r="A77" s="332" t="s">
        <v>46</v>
      </c>
      <c r="B77" s="351"/>
      <c r="C77" s="345"/>
      <c r="D77" s="345"/>
      <c r="E77" s="345"/>
      <c r="F77" s="424"/>
      <c r="G77" s="345"/>
      <c r="H77" s="949"/>
      <c r="I77" s="411"/>
      <c r="J77" s="346">
        <f t="shared" si="28"/>
        <v>1</v>
      </c>
      <c r="K77" s="347">
        <v>124092.8</v>
      </c>
      <c r="L77" s="348">
        <v>7</v>
      </c>
      <c r="M77" s="345">
        <v>42318</v>
      </c>
      <c r="N77" s="349">
        <v>124092.8</v>
      </c>
      <c r="O77" s="350">
        <v>42558</v>
      </c>
      <c r="P77" s="408">
        <f t="shared" si="25"/>
        <v>240</v>
      </c>
      <c r="Q77" s="352" t="str">
        <f t="shared" si="26"/>
        <v/>
      </c>
      <c r="R77" s="352">
        <f t="shared" si="27"/>
        <v>0</v>
      </c>
      <c r="S77" s="352"/>
      <c r="T77" s="163"/>
    </row>
    <row r="78" spans="1:20" s="107" customFormat="1" collapsed="1">
      <c r="A78" s="323" t="s">
        <v>48</v>
      </c>
      <c r="B78" s="330"/>
      <c r="C78" s="324">
        <v>40848</v>
      </c>
      <c r="D78" s="324">
        <f>DATE(YEAR(C78),MONTH(C78)+18,DAY(C78))</f>
        <v>41395</v>
      </c>
      <c r="E78" s="324"/>
      <c r="F78" s="422">
        <v>40924</v>
      </c>
      <c r="G78" s="324">
        <f>DATE(YEAR(C78)+4,MONTH(C78),DAY(C78))</f>
        <v>42309</v>
      </c>
      <c r="H78" s="952">
        <v>41429</v>
      </c>
      <c r="I78" s="326">
        <v>355000</v>
      </c>
      <c r="J78" s="325"/>
      <c r="K78" s="326"/>
      <c r="L78" s="327"/>
      <c r="M78" s="324"/>
      <c r="N78" s="328">
        <f>SUM(N79:N83)</f>
        <v>355000</v>
      </c>
      <c r="O78" s="329"/>
      <c r="P78" s="423"/>
      <c r="Q78" s="331">
        <f>SUM(Q79:Q83)</f>
        <v>0</v>
      </c>
      <c r="R78" s="331">
        <f>SUM(R79:R83)</f>
        <v>0</v>
      </c>
      <c r="S78" s="331"/>
      <c r="T78" s="166">
        <f>I78-(N78+Q78+R78)</f>
        <v>0</v>
      </c>
    </row>
    <row r="79" spans="1:20" s="26" customFormat="1" hidden="1" outlineLevel="1">
      <c r="A79" s="332" t="s">
        <v>48</v>
      </c>
      <c r="B79" s="351"/>
      <c r="C79" s="345"/>
      <c r="D79" s="345"/>
      <c r="E79" s="345"/>
      <c r="F79" s="424"/>
      <c r="G79" s="345"/>
      <c r="H79" s="949"/>
      <c r="I79" s="411"/>
      <c r="J79" s="346">
        <f>K79/$I$78</f>
        <v>0.3</v>
      </c>
      <c r="K79" s="347">
        <v>106500</v>
      </c>
      <c r="L79" s="348">
        <v>1</v>
      </c>
      <c r="M79" s="345">
        <v>41052</v>
      </c>
      <c r="N79" s="349">
        <v>106500</v>
      </c>
      <c r="O79" s="350">
        <v>41102</v>
      </c>
      <c r="P79" s="408">
        <f>IF(O79="",$R$2-M79,O79-M79)</f>
        <v>50</v>
      </c>
      <c r="Q79" s="352" t="str">
        <f>IF(N79="en attente",K79,"")</f>
        <v/>
      </c>
      <c r="R79" s="352">
        <f>IF(M79="",K79-N79,0)</f>
        <v>0</v>
      </c>
      <c r="S79" s="352"/>
      <c r="T79" s="163"/>
    </row>
    <row r="80" spans="1:20" s="26" customFormat="1" hidden="1" outlineLevel="1">
      <c r="A80" s="332" t="s">
        <v>48</v>
      </c>
      <c r="B80" s="351"/>
      <c r="C80" s="345"/>
      <c r="D80" s="345"/>
      <c r="E80" s="345"/>
      <c r="F80" s="424"/>
      <c r="G80" s="345"/>
      <c r="H80" s="949"/>
      <c r="I80" s="411"/>
      <c r="J80" s="346">
        <f>K80/$I$78+J79</f>
        <v>0.55659999999999998</v>
      </c>
      <c r="K80" s="347">
        <v>91093</v>
      </c>
      <c r="L80" s="348">
        <v>2</v>
      </c>
      <c r="M80" s="345">
        <v>41200</v>
      </c>
      <c r="N80" s="349">
        <v>91093</v>
      </c>
      <c r="O80" s="350">
        <v>41243</v>
      </c>
      <c r="P80" s="408">
        <f>IF(O80="",$R$2-M80,O80-M80)</f>
        <v>43</v>
      </c>
      <c r="Q80" s="352" t="str">
        <f>IF(N80="en attente",K80,"")</f>
        <v/>
      </c>
      <c r="R80" s="352">
        <f>IF(M80="",K80-N80,0)</f>
        <v>0</v>
      </c>
      <c r="S80" s="352"/>
      <c r="T80" s="163"/>
    </row>
    <row r="81" spans="1:20" s="26" customFormat="1" hidden="1" outlineLevel="1">
      <c r="A81" s="332" t="s">
        <v>48</v>
      </c>
      <c r="B81" s="351"/>
      <c r="C81" s="345"/>
      <c r="D81" s="345"/>
      <c r="E81" s="345"/>
      <c r="F81" s="424"/>
      <c r="G81" s="345"/>
      <c r="H81" s="949"/>
      <c r="I81" s="411"/>
      <c r="J81" s="346">
        <f>K81/$I$78+J80</f>
        <v>0.65239999999999998</v>
      </c>
      <c r="K81" s="347">
        <v>34009</v>
      </c>
      <c r="L81" s="348">
        <v>3</v>
      </c>
      <c r="M81" s="345">
        <v>41362</v>
      </c>
      <c r="N81" s="349">
        <v>34009</v>
      </c>
      <c r="O81" s="350">
        <v>41444</v>
      </c>
      <c r="P81" s="408">
        <f>IF(O81="",$R$2-M81,O81-M81)</f>
        <v>82</v>
      </c>
      <c r="Q81" s="352" t="str">
        <f>IF(N81="en attente",K81,"")</f>
        <v/>
      </c>
      <c r="R81" s="352">
        <f>IF(M81="",K81-N81,0)</f>
        <v>0</v>
      </c>
      <c r="S81" s="352"/>
      <c r="T81" s="163"/>
    </row>
    <row r="82" spans="1:20" s="26" customFormat="1" hidden="1" outlineLevel="1">
      <c r="A82" s="332" t="s">
        <v>48</v>
      </c>
      <c r="B82" s="351"/>
      <c r="C82" s="345"/>
      <c r="D82" s="345"/>
      <c r="E82" s="345"/>
      <c r="F82" s="424"/>
      <c r="G82" s="345"/>
      <c r="H82" s="949"/>
      <c r="I82" s="411"/>
      <c r="J82" s="346">
        <f>K82/$I$78+J81</f>
        <v>0.8</v>
      </c>
      <c r="K82" s="347">
        <v>52398</v>
      </c>
      <c r="L82" s="348">
        <v>4</v>
      </c>
      <c r="M82" s="345">
        <v>41466</v>
      </c>
      <c r="N82" s="349">
        <v>52398</v>
      </c>
      <c r="O82" s="350">
        <v>41522</v>
      </c>
      <c r="P82" s="408">
        <f>IF(O82="",$R$2-M82,O82-M82)</f>
        <v>56</v>
      </c>
      <c r="Q82" s="352" t="str">
        <f>IF(N82="en attente",K82,"")</f>
        <v/>
      </c>
      <c r="R82" s="352">
        <f>IF(M82="",K82-N82,0)</f>
        <v>0</v>
      </c>
      <c r="S82" s="352"/>
      <c r="T82" s="163"/>
    </row>
    <row r="83" spans="1:20" s="26" customFormat="1" hidden="1" outlineLevel="1">
      <c r="A83" s="354" t="s">
        <v>48</v>
      </c>
      <c r="B83" s="361"/>
      <c r="C83" s="356"/>
      <c r="D83" s="356"/>
      <c r="E83" s="356"/>
      <c r="F83" s="425"/>
      <c r="G83" s="356"/>
      <c r="H83" s="950"/>
      <c r="I83" s="411"/>
      <c r="J83" s="426">
        <f>K83/$I$78+J82</f>
        <v>1</v>
      </c>
      <c r="K83" s="357">
        <v>71000</v>
      </c>
      <c r="L83" s="358">
        <v>5</v>
      </c>
      <c r="M83" s="356">
        <v>42271</v>
      </c>
      <c r="N83" s="359">
        <v>71000</v>
      </c>
      <c r="O83" s="360">
        <v>42325</v>
      </c>
      <c r="P83" s="427">
        <f>IF(O83="",$R$2-M83,O83-M83)</f>
        <v>54</v>
      </c>
      <c r="Q83" s="362" t="str">
        <f>IF(N83="en attente",K83,"")</f>
        <v/>
      </c>
      <c r="R83" s="362">
        <f>IF(M83="",K83-N83,0)</f>
        <v>0</v>
      </c>
      <c r="S83" s="362"/>
      <c r="T83" s="163"/>
    </row>
    <row r="84" spans="1:20" s="107" customFormat="1" collapsed="1">
      <c r="A84" s="400" t="s">
        <v>132</v>
      </c>
      <c r="B84" s="404"/>
      <c r="C84" s="412">
        <v>40848</v>
      </c>
      <c r="D84" s="324">
        <f>DATE(YEAR(C84),MONTH(C84)+18,DAY(C84))</f>
        <v>41395</v>
      </c>
      <c r="E84" s="412"/>
      <c r="F84" s="417">
        <v>40910</v>
      </c>
      <c r="G84" s="324">
        <f>DATE(YEAR(C84)+4,MONTH(C84),DAY(C84))</f>
        <v>42309</v>
      </c>
      <c r="H84" s="952">
        <v>41606</v>
      </c>
      <c r="I84" s="326">
        <v>300000</v>
      </c>
      <c r="J84" s="407"/>
      <c r="K84" s="402"/>
      <c r="L84" s="413"/>
      <c r="M84" s="412"/>
      <c r="N84" s="405">
        <f>SUM(N85:N88)</f>
        <v>300000</v>
      </c>
      <c r="O84" s="418"/>
      <c r="P84" s="428"/>
      <c r="Q84" s="414">
        <f>SUM(Q85:Q88)</f>
        <v>0</v>
      </c>
      <c r="R84" s="414">
        <f>SUM(R85:R88)</f>
        <v>0</v>
      </c>
      <c r="S84" s="414"/>
      <c r="T84" s="166">
        <f>I84-(N84+Q84+R84)</f>
        <v>0</v>
      </c>
    </row>
    <row r="85" spans="1:20" s="26" customFormat="1" hidden="1" outlineLevel="1">
      <c r="A85" s="332" t="s">
        <v>132</v>
      </c>
      <c r="B85" s="351"/>
      <c r="C85" s="345"/>
      <c r="D85" s="345"/>
      <c r="E85" s="345"/>
      <c r="F85" s="424"/>
      <c r="G85" s="345"/>
      <c r="H85" s="949"/>
      <c r="I85" s="411"/>
      <c r="J85" s="346">
        <f>K85/$I$84</f>
        <v>0.3</v>
      </c>
      <c r="K85" s="347">
        <v>90000</v>
      </c>
      <c r="L85" s="348">
        <v>1</v>
      </c>
      <c r="M85" s="345">
        <v>41038</v>
      </c>
      <c r="N85" s="349">
        <v>90000</v>
      </c>
      <c r="O85" s="350">
        <v>41102</v>
      </c>
      <c r="P85" s="408">
        <f>IF(O85="",$R$2-M85,O85-M85)</f>
        <v>64</v>
      </c>
      <c r="Q85" s="352" t="str">
        <f>IF(N85="en attente",K85,"")</f>
        <v/>
      </c>
      <c r="R85" s="352">
        <f>IF(M85="",K85-N85,0)</f>
        <v>0</v>
      </c>
      <c r="S85" s="352"/>
      <c r="T85" s="163"/>
    </row>
    <row r="86" spans="1:20" s="26" customFormat="1" hidden="1" outlineLevel="1">
      <c r="A86" s="332" t="s">
        <v>132</v>
      </c>
      <c r="B86" s="351"/>
      <c r="C86" s="345"/>
      <c r="D86" s="345"/>
      <c r="E86" s="345"/>
      <c r="F86" s="424"/>
      <c r="G86" s="345"/>
      <c r="H86" s="949"/>
      <c r="I86" s="411"/>
      <c r="J86" s="346">
        <f>K86/$I$84+J85</f>
        <v>0.60060000000000002</v>
      </c>
      <c r="K86" s="347">
        <v>90180</v>
      </c>
      <c r="L86" s="348">
        <v>2</v>
      </c>
      <c r="M86" s="345">
        <v>41240</v>
      </c>
      <c r="N86" s="349">
        <v>90180</v>
      </c>
      <c r="O86" s="350">
        <v>41416</v>
      </c>
      <c r="P86" s="408">
        <f>IF(O86="",$R$2-M86,O86-M86)</f>
        <v>176</v>
      </c>
      <c r="Q86" s="352" t="str">
        <f>IF(N86="en attente",K86,"")</f>
        <v/>
      </c>
      <c r="R86" s="352">
        <f>IF(M86="",K86-N86,0)</f>
        <v>0</v>
      </c>
      <c r="S86" s="352"/>
      <c r="T86" s="163"/>
    </row>
    <row r="87" spans="1:20" s="26" customFormat="1" hidden="1" outlineLevel="1">
      <c r="A87" s="332" t="s">
        <v>132</v>
      </c>
      <c r="B87" s="351"/>
      <c r="C87" s="345"/>
      <c r="D87" s="345"/>
      <c r="E87" s="345"/>
      <c r="F87" s="424"/>
      <c r="G87" s="345"/>
      <c r="H87" s="949"/>
      <c r="I87" s="411"/>
      <c r="J87" s="346">
        <f>K87/$I$84+J86</f>
        <v>0.8</v>
      </c>
      <c r="K87" s="347">
        <v>59820</v>
      </c>
      <c r="L87" s="348">
        <v>3</v>
      </c>
      <c r="M87" s="345">
        <v>41423</v>
      </c>
      <c r="N87" s="349">
        <v>59820</v>
      </c>
      <c r="O87" s="350">
        <v>41505</v>
      </c>
      <c r="P87" s="408">
        <f>IF(O87="",$R$2-M87,O87-M87)</f>
        <v>82</v>
      </c>
      <c r="Q87" s="352" t="str">
        <f>IF(N87="en attente",K87,"")</f>
        <v/>
      </c>
      <c r="R87" s="352">
        <f>IF(M87="",K87-N87,0)</f>
        <v>0</v>
      </c>
      <c r="S87" s="352"/>
      <c r="T87" s="163"/>
    </row>
    <row r="88" spans="1:20" s="26" customFormat="1" hidden="1" outlineLevel="1">
      <c r="A88" s="332" t="s">
        <v>132</v>
      </c>
      <c r="B88" s="351"/>
      <c r="C88" s="345"/>
      <c r="D88" s="345"/>
      <c r="E88" s="345"/>
      <c r="F88" s="424"/>
      <c r="G88" s="345"/>
      <c r="H88" s="949"/>
      <c r="I88" s="411"/>
      <c r="J88" s="346">
        <f>K88/$I$84+J87</f>
        <v>1</v>
      </c>
      <c r="K88" s="347">
        <v>60000</v>
      </c>
      <c r="L88" s="348">
        <v>4</v>
      </c>
      <c r="M88" s="345">
        <v>42278</v>
      </c>
      <c r="N88" s="349">
        <v>60000</v>
      </c>
      <c r="O88" s="350">
        <v>42325</v>
      </c>
      <c r="P88" s="408">
        <f>IF(O88="",$R$2-M88,O88-M88)</f>
        <v>47</v>
      </c>
      <c r="Q88" s="352" t="str">
        <f>IF(N88="en attente",K88,"")</f>
        <v/>
      </c>
      <c r="R88" s="352">
        <f>IF(M88="",K88-N88,0)</f>
        <v>0</v>
      </c>
      <c r="S88" s="352"/>
      <c r="T88" s="163"/>
    </row>
    <row r="89" spans="1:20" s="107" customFormat="1" collapsed="1">
      <c r="A89" s="323" t="s">
        <v>133</v>
      </c>
      <c r="B89" s="330"/>
      <c r="C89" s="324">
        <v>40848</v>
      </c>
      <c r="D89" s="324">
        <f>DATE(YEAR(C89),MONTH(C89)+18,DAY(C89))</f>
        <v>41395</v>
      </c>
      <c r="E89" s="324"/>
      <c r="F89" s="422">
        <v>40910</v>
      </c>
      <c r="G89" s="324">
        <f>DATE(YEAR(C89)+4,MONTH(C89),DAY(C89))</f>
        <v>42309</v>
      </c>
      <c r="H89" s="952">
        <v>41606</v>
      </c>
      <c r="I89" s="326">
        <v>100000</v>
      </c>
      <c r="J89" s="325"/>
      <c r="K89" s="326"/>
      <c r="L89" s="327"/>
      <c r="M89" s="324"/>
      <c r="N89" s="328">
        <f>SUM(N90:N93)</f>
        <v>100000</v>
      </c>
      <c r="O89" s="329"/>
      <c r="P89" s="423"/>
      <c r="Q89" s="331">
        <f>SUM(Q90:Q93)</f>
        <v>0</v>
      </c>
      <c r="R89" s="331">
        <f>SUM(R90:R93)</f>
        <v>0</v>
      </c>
      <c r="S89" s="331"/>
      <c r="T89" s="166">
        <f>I89-(N89+Q89+R89)</f>
        <v>0</v>
      </c>
    </row>
    <row r="90" spans="1:20" s="26" customFormat="1" hidden="1" outlineLevel="1">
      <c r="A90" s="332" t="s">
        <v>133</v>
      </c>
      <c r="B90" s="351"/>
      <c r="C90" s="345"/>
      <c r="D90" s="345"/>
      <c r="E90" s="345"/>
      <c r="F90" s="424"/>
      <c r="G90" s="345"/>
      <c r="H90" s="949"/>
      <c r="I90" s="411"/>
      <c r="J90" s="346">
        <f>K90/$I$89</f>
        <v>0.3</v>
      </c>
      <c r="K90" s="347">
        <v>30000</v>
      </c>
      <c r="L90" s="348">
        <v>1</v>
      </c>
      <c r="M90" s="345">
        <v>41038</v>
      </c>
      <c r="N90" s="349">
        <v>30000</v>
      </c>
      <c r="O90" s="350">
        <v>41102</v>
      </c>
      <c r="P90" s="408">
        <f>IF(O90="",$R$2-M90,O90-M90)</f>
        <v>64</v>
      </c>
      <c r="Q90" s="352" t="str">
        <f>IF(N90="en attente",K90,"")</f>
        <v/>
      </c>
      <c r="R90" s="352">
        <f>IF(M90="",K90-N90,0)</f>
        <v>0</v>
      </c>
      <c r="S90" s="352"/>
      <c r="T90" s="163"/>
    </row>
    <row r="91" spans="1:20" s="26" customFormat="1" hidden="1" outlineLevel="1">
      <c r="A91" s="332" t="s">
        <v>133</v>
      </c>
      <c r="B91" s="351"/>
      <c r="C91" s="345"/>
      <c r="D91" s="345"/>
      <c r="E91" s="345"/>
      <c r="F91" s="424"/>
      <c r="G91" s="345"/>
      <c r="H91" s="949"/>
      <c r="I91" s="411"/>
      <c r="J91" s="346">
        <f>K91/$I$89+J90</f>
        <v>0.60099999999999998</v>
      </c>
      <c r="K91" s="347">
        <v>30100</v>
      </c>
      <c r="L91" s="348">
        <v>2</v>
      </c>
      <c r="M91" s="345">
        <v>41240</v>
      </c>
      <c r="N91" s="349">
        <v>30100</v>
      </c>
      <c r="O91" s="350">
        <v>41416</v>
      </c>
      <c r="P91" s="408">
        <f>IF(O91="",$R$2-M91,O91-M91)</f>
        <v>176</v>
      </c>
      <c r="Q91" s="352" t="str">
        <f>IF(N91="en attente",K91,"")</f>
        <v/>
      </c>
      <c r="R91" s="352">
        <f>IF(M91="",K91-N91,0)</f>
        <v>0</v>
      </c>
      <c r="S91" s="352"/>
      <c r="T91" s="163"/>
    </row>
    <row r="92" spans="1:20" s="26" customFormat="1" hidden="1" outlineLevel="1">
      <c r="A92" s="332" t="s">
        <v>133</v>
      </c>
      <c r="B92" s="351"/>
      <c r="C92" s="345"/>
      <c r="D92" s="345"/>
      <c r="E92" s="345"/>
      <c r="F92" s="424"/>
      <c r="G92" s="345"/>
      <c r="H92" s="949"/>
      <c r="I92" s="411"/>
      <c r="J92" s="346">
        <f>K92/$I$89+J91</f>
        <v>0.8</v>
      </c>
      <c r="K92" s="347">
        <v>19900</v>
      </c>
      <c r="L92" s="348">
        <v>3</v>
      </c>
      <c r="M92" s="345">
        <v>41423</v>
      </c>
      <c r="N92" s="349">
        <v>19900</v>
      </c>
      <c r="O92" s="350">
        <v>41505</v>
      </c>
      <c r="P92" s="408">
        <f>IF(O92="",$R$2-M92,O92-M92)</f>
        <v>82</v>
      </c>
      <c r="Q92" s="352" t="str">
        <f>IF(N92="en attente",K92,"")</f>
        <v/>
      </c>
      <c r="R92" s="352">
        <f>IF(M92="",K92-N92,0)</f>
        <v>0</v>
      </c>
      <c r="S92" s="352"/>
      <c r="T92" s="163"/>
    </row>
    <row r="93" spans="1:20" s="26" customFormat="1" hidden="1" outlineLevel="1">
      <c r="A93" s="354" t="s">
        <v>133</v>
      </c>
      <c r="B93" s="361"/>
      <c r="C93" s="356"/>
      <c r="D93" s="356"/>
      <c r="E93" s="356"/>
      <c r="F93" s="425"/>
      <c r="G93" s="356"/>
      <c r="H93" s="950"/>
      <c r="I93" s="411"/>
      <c r="J93" s="426">
        <f>K93/$I$89+J92</f>
        <v>1</v>
      </c>
      <c r="K93" s="357">
        <v>20000</v>
      </c>
      <c r="L93" s="358">
        <v>4</v>
      </c>
      <c r="M93" s="356">
        <v>42278</v>
      </c>
      <c r="N93" s="359">
        <v>20000</v>
      </c>
      <c r="O93" s="360">
        <v>42312</v>
      </c>
      <c r="P93" s="427">
        <f>IF(O93="",$R$2-M93,O93-M93)</f>
        <v>34</v>
      </c>
      <c r="Q93" s="362" t="str">
        <f>IF(N93="en attente",K93,"")</f>
        <v/>
      </c>
      <c r="R93" s="362">
        <f>IF(M93="",K93-N93,0)</f>
        <v>0</v>
      </c>
      <c r="S93" s="362"/>
      <c r="T93" s="163"/>
    </row>
    <row r="94" spans="1:20" s="8" customFormat="1" collapsed="1">
      <c r="A94" s="323" t="s">
        <v>41</v>
      </c>
      <c r="B94" s="330" t="s">
        <v>181</v>
      </c>
      <c r="C94" s="324">
        <v>41081</v>
      </c>
      <c r="D94" s="324">
        <f>DATE(YEAR(C94),MONTH(C94)+18,DAY(C94))</f>
        <v>41629</v>
      </c>
      <c r="E94" s="324">
        <v>41253</v>
      </c>
      <c r="F94" s="422">
        <v>41309</v>
      </c>
      <c r="G94" s="324">
        <f>DATE(YEAR(C94)+4,MONTH(C94),DAY(C94))</f>
        <v>42542</v>
      </c>
      <c r="H94" s="952">
        <v>41992</v>
      </c>
      <c r="I94" s="326">
        <v>60000</v>
      </c>
      <c r="J94" s="325"/>
      <c r="K94" s="326"/>
      <c r="L94" s="327"/>
      <c r="M94" s="330"/>
      <c r="N94" s="328">
        <f>SUM(N95:N97)</f>
        <v>60000</v>
      </c>
      <c r="O94" s="329"/>
      <c r="P94" s="423"/>
      <c r="Q94" s="331">
        <f>SUM(Q95:Q97)</f>
        <v>0</v>
      </c>
      <c r="R94" s="331">
        <f>SUM(R95:R97)</f>
        <v>0</v>
      </c>
      <c r="S94" s="331"/>
      <c r="T94" s="166">
        <f>I94-(N94+Q94+R94)</f>
        <v>0</v>
      </c>
    </row>
    <row r="95" spans="1:20" s="26" customFormat="1" hidden="1" outlineLevel="1">
      <c r="A95" s="332" t="s">
        <v>41</v>
      </c>
      <c r="B95" s="351"/>
      <c r="C95" s="410" t="s">
        <v>212</v>
      </c>
      <c r="D95" s="345"/>
      <c r="E95" s="345"/>
      <c r="F95" s="424"/>
      <c r="G95" s="345"/>
      <c r="H95" s="949"/>
      <c r="I95" s="411"/>
      <c r="J95" s="346">
        <f>K95/I94</f>
        <v>0.3</v>
      </c>
      <c r="K95" s="347">
        <v>18000</v>
      </c>
      <c r="L95" s="348">
        <v>1</v>
      </c>
      <c r="M95" s="345">
        <v>41313</v>
      </c>
      <c r="N95" s="349">
        <v>18000</v>
      </c>
      <c r="O95" s="350">
        <v>41388</v>
      </c>
      <c r="P95" s="408">
        <f>IF(O95="",$R$2-M95,O95-M95)</f>
        <v>75</v>
      </c>
      <c r="Q95" s="414" t="str">
        <f>IF(N95="en attente",K95,"")</f>
        <v/>
      </c>
      <c r="R95" s="352">
        <f>IF(M95="",K95-N95,0)</f>
        <v>0</v>
      </c>
      <c r="S95" s="455" t="s">
        <v>277</v>
      </c>
      <c r="T95" s="163"/>
    </row>
    <row r="96" spans="1:20" s="26" customFormat="1" hidden="1" outlineLevel="1">
      <c r="A96" s="332" t="s">
        <v>41</v>
      </c>
      <c r="B96" s="351"/>
      <c r="C96" s="410"/>
      <c r="D96" s="345"/>
      <c r="E96" s="345"/>
      <c r="F96" s="424"/>
      <c r="G96" s="345"/>
      <c r="H96" s="949"/>
      <c r="I96" s="411"/>
      <c r="J96" s="346">
        <v>0.8</v>
      </c>
      <c r="K96" s="347">
        <f>I94*J96-K95</f>
        <v>30000</v>
      </c>
      <c r="L96" s="348">
        <v>2</v>
      </c>
      <c r="M96" s="345">
        <v>42803</v>
      </c>
      <c r="N96" s="349">
        <v>30000</v>
      </c>
      <c r="O96" s="350">
        <v>42886</v>
      </c>
      <c r="P96" s="408">
        <f>IF(O96="",$R$2-M96,O96-M96)</f>
        <v>83</v>
      </c>
      <c r="Q96" s="352" t="str">
        <f>IF(N96="en attente",K96,"")</f>
        <v/>
      </c>
      <c r="R96" s="352">
        <f>IF(M96="",K96-N96,0)</f>
        <v>0</v>
      </c>
      <c r="S96" s="455"/>
      <c r="T96" s="163"/>
    </row>
    <row r="97" spans="1:20" s="26" customFormat="1" hidden="1" outlineLevel="1">
      <c r="A97" s="332" t="s">
        <v>41</v>
      </c>
      <c r="B97" s="351"/>
      <c r="C97" s="345"/>
      <c r="D97" s="345"/>
      <c r="E97" s="345"/>
      <c r="F97" s="424"/>
      <c r="G97" s="345"/>
      <c r="H97" s="949"/>
      <c r="I97" s="411"/>
      <c r="J97" s="346">
        <v>1</v>
      </c>
      <c r="K97" s="347">
        <f>I94-K95-K96</f>
        <v>12000</v>
      </c>
      <c r="L97" s="348">
        <v>3</v>
      </c>
      <c r="M97" s="345">
        <v>43077</v>
      </c>
      <c r="N97" s="349">
        <v>12000</v>
      </c>
      <c r="O97" s="360">
        <v>43186</v>
      </c>
      <c r="P97" s="408"/>
      <c r="Q97" s="414" t="str">
        <f>IF(N97="en attente",K97,"")</f>
        <v/>
      </c>
      <c r="R97" s="352">
        <f>IF(M97="",K97-N97,0)</f>
        <v>0</v>
      </c>
      <c r="S97" s="455"/>
      <c r="T97" s="163"/>
    </row>
    <row r="98" spans="1:20" s="107" customFormat="1">
      <c r="A98" s="323" t="s">
        <v>41</v>
      </c>
      <c r="B98" s="330" t="s">
        <v>180</v>
      </c>
      <c r="C98" s="324">
        <v>41053</v>
      </c>
      <c r="D98" s="324">
        <f>DATE(YEAR(C98),MONTH(C98)+18,DAY(C98))</f>
        <v>41602</v>
      </c>
      <c r="E98" s="324">
        <v>41253</v>
      </c>
      <c r="F98" s="422">
        <v>41309</v>
      </c>
      <c r="G98" s="324">
        <f>DATE(YEAR(C98)+4,MONTH(C98),DAY(C98))</f>
        <v>42514</v>
      </c>
      <c r="H98" s="952">
        <v>41992</v>
      </c>
      <c r="I98" s="326">
        <v>1</v>
      </c>
      <c r="J98" s="325"/>
      <c r="K98" s="326"/>
      <c r="L98" s="327"/>
      <c r="M98" s="324"/>
      <c r="N98" s="328">
        <f>SUM(N99)</f>
        <v>0</v>
      </c>
      <c r="O98" s="329"/>
      <c r="P98" s="423"/>
      <c r="Q98" s="331">
        <f>SUM(Q99)</f>
        <v>0</v>
      </c>
      <c r="R98" s="331">
        <f>SUM(R99)</f>
        <v>0</v>
      </c>
      <c r="S98" s="331"/>
      <c r="T98" s="163">
        <f>I98-(N98+Q98+R98)</f>
        <v>1</v>
      </c>
    </row>
    <row r="99" spans="1:20" s="31" customFormat="1">
      <c r="A99" s="332" t="s">
        <v>41</v>
      </c>
      <c r="B99" s="420"/>
      <c r="C99" s="410" t="s">
        <v>212</v>
      </c>
      <c r="D99" s="410"/>
      <c r="E99" s="410"/>
      <c r="F99" s="421"/>
      <c r="G99" s="410"/>
      <c r="H99" s="951"/>
      <c r="I99" s="484"/>
      <c r="J99" s="436"/>
      <c r="K99" s="347">
        <v>1</v>
      </c>
      <c r="L99" s="348">
        <v>1</v>
      </c>
      <c r="M99" s="345">
        <v>43077</v>
      </c>
      <c r="N99" s="349" t="s">
        <v>373</v>
      </c>
      <c r="O99" s="350"/>
      <c r="P99" s="408"/>
      <c r="Q99" s="414" t="str">
        <f>IF(N99="en attente",K99,"")</f>
        <v/>
      </c>
      <c r="R99" s="352">
        <f>IF(M99="",K99-N99,0)</f>
        <v>0</v>
      </c>
      <c r="S99" s="352"/>
      <c r="T99" s="169"/>
    </row>
    <row r="100" spans="1:20" s="107" customFormat="1" collapsed="1">
      <c r="A100" s="323" t="s">
        <v>8</v>
      </c>
      <c r="B100" s="330" t="s">
        <v>226</v>
      </c>
      <c r="C100" s="324">
        <v>41177</v>
      </c>
      <c r="D100" s="324">
        <f>DATE(YEAR(C100),MONTH(C100)+18,DAY(C100))</f>
        <v>41723</v>
      </c>
      <c r="E100" s="324">
        <v>41256</v>
      </c>
      <c r="F100" s="422">
        <v>41295</v>
      </c>
      <c r="G100" s="324">
        <f>DATE(YEAR(C100)+4,MONTH(C100),DAY(C100))</f>
        <v>42638</v>
      </c>
      <c r="H100" s="952">
        <v>42326</v>
      </c>
      <c r="I100" s="326">
        <v>558000</v>
      </c>
      <c r="J100" s="325"/>
      <c r="K100" s="326"/>
      <c r="L100" s="327"/>
      <c r="M100" s="324"/>
      <c r="N100" s="328">
        <f>SUM(N101:N107)</f>
        <v>558000</v>
      </c>
      <c r="O100" s="329"/>
      <c r="P100" s="423"/>
      <c r="Q100" s="331">
        <f>SUM(Q101:Q107)</f>
        <v>0</v>
      </c>
      <c r="R100" s="331">
        <f>SUM(R101:R107)</f>
        <v>0</v>
      </c>
      <c r="S100" s="331"/>
      <c r="T100" s="166">
        <f>I100-(N100+Q100+R100)</f>
        <v>0</v>
      </c>
    </row>
    <row r="101" spans="1:20" s="26" customFormat="1" hidden="1" outlineLevel="1">
      <c r="A101" s="332" t="s">
        <v>8</v>
      </c>
      <c r="B101" s="351"/>
      <c r="C101" s="410" t="s">
        <v>212</v>
      </c>
      <c r="D101" s="345"/>
      <c r="E101" s="345"/>
      <c r="F101" s="424"/>
      <c r="G101" s="345"/>
      <c r="H101" s="949"/>
      <c r="I101" s="411"/>
      <c r="J101" s="346">
        <f>K101/$I$100</f>
        <v>0.3</v>
      </c>
      <c r="K101" s="347">
        <v>167400</v>
      </c>
      <c r="L101" s="348">
        <v>1</v>
      </c>
      <c r="M101" s="345">
        <v>41281</v>
      </c>
      <c r="N101" s="349">
        <v>167400</v>
      </c>
      <c r="O101" s="350">
        <v>41415</v>
      </c>
      <c r="P101" s="408">
        <f t="shared" ref="P101:P130" si="29">IF(O101="",$R$2-M101,O101-M101)</f>
        <v>134</v>
      </c>
      <c r="Q101" s="414" t="str">
        <f t="shared" ref="Q101:Q107" si="30">IF(N101="en attente",K101,"")</f>
        <v/>
      </c>
      <c r="R101" s="352">
        <f t="shared" ref="R101:R112" si="31">IF(M101="",K101-N101,0)</f>
        <v>0</v>
      </c>
      <c r="S101" s="352"/>
      <c r="T101" s="163"/>
    </row>
    <row r="102" spans="1:20" s="26" customFormat="1" hidden="1" outlineLevel="1">
      <c r="A102" s="332" t="s">
        <v>8</v>
      </c>
      <c r="B102" s="351"/>
      <c r="C102" s="345"/>
      <c r="D102" s="345"/>
      <c r="E102" s="345"/>
      <c r="F102" s="424"/>
      <c r="G102" s="345"/>
      <c r="H102" s="949"/>
      <c r="I102" s="411"/>
      <c r="J102" s="346">
        <f t="shared" ref="J102:J107" si="32">K102/$I$100+J101</f>
        <v>0.35589999999999999</v>
      </c>
      <c r="K102" s="347">
        <v>31192.2</v>
      </c>
      <c r="L102" s="348">
        <v>2</v>
      </c>
      <c r="M102" s="345">
        <v>41281</v>
      </c>
      <c r="N102" s="349">
        <v>31192.2</v>
      </c>
      <c r="O102" s="350">
        <v>41745</v>
      </c>
      <c r="P102" s="408">
        <f t="shared" si="29"/>
        <v>464</v>
      </c>
      <c r="Q102" s="414" t="str">
        <f t="shared" si="30"/>
        <v/>
      </c>
      <c r="R102" s="352">
        <f t="shared" si="31"/>
        <v>0</v>
      </c>
      <c r="S102" s="352"/>
      <c r="T102" s="163"/>
    </row>
    <row r="103" spans="1:20" s="26" customFormat="1" hidden="1" outlineLevel="1">
      <c r="A103" s="332" t="s">
        <v>8</v>
      </c>
      <c r="B103" s="351"/>
      <c r="C103" s="345"/>
      <c r="D103" s="345"/>
      <c r="E103" s="345"/>
      <c r="F103" s="424"/>
      <c r="G103" s="345"/>
      <c r="H103" s="949"/>
      <c r="I103" s="411"/>
      <c r="J103" s="346">
        <f t="shared" si="32"/>
        <v>0.4375</v>
      </c>
      <c r="K103" s="347">
        <v>45532.800000000003</v>
      </c>
      <c r="L103" s="348">
        <v>3</v>
      </c>
      <c r="M103" s="345">
        <v>41702</v>
      </c>
      <c r="N103" s="349">
        <v>45532.800000000003</v>
      </c>
      <c r="O103" s="350">
        <v>41745</v>
      </c>
      <c r="P103" s="408">
        <f t="shared" si="29"/>
        <v>43</v>
      </c>
      <c r="Q103" s="414" t="str">
        <f t="shared" si="30"/>
        <v/>
      </c>
      <c r="R103" s="352">
        <f t="shared" si="31"/>
        <v>0</v>
      </c>
      <c r="S103" s="352"/>
      <c r="T103" s="163"/>
    </row>
    <row r="104" spans="1:20" s="26" customFormat="1" hidden="1" outlineLevel="1">
      <c r="A104" s="332" t="s">
        <v>8</v>
      </c>
      <c r="B104" s="351"/>
      <c r="C104" s="345"/>
      <c r="D104" s="345"/>
      <c r="E104" s="345"/>
      <c r="F104" s="424"/>
      <c r="G104" s="345"/>
      <c r="H104" s="949"/>
      <c r="I104" s="411"/>
      <c r="J104" s="346">
        <f t="shared" si="32"/>
        <v>0.50639999999999996</v>
      </c>
      <c r="K104" s="347">
        <v>38446.199999999997</v>
      </c>
      <c r="L104" s="348">
        <v>4</v>
      </c>
      <c r="M104" s="345">
        <v>41778</v>
      </c>
      <c r="N104" s="349">
        <v>38446.199999999997</v>
      </c>
      <c r="O104" s="350">
        <v>41863</v>
      </c>
      <c r="P104" s="408">
        <f t="shared" si="29"/>
        <v>85</v>
      </c>
      <c r="Q104" s="414" t="str">
        <f t="shared" si="30"/>
        <v/>
      </c>
      <c r="R104" s="352">
        <f t="shared" si="31"/>
        <v>0</v>
      </c>
      <c r="S104" s="352"/>
      <c r="T104" s="163"/>
    </row>
    <row r="105" spans="1:20" s="26" customFormat="1" hidden="1" outlineLevel="1">
      <c r="A105" s="332" t="s">
        <v>8</v>
      </c>
      <c r="B105" s="351"/>
      <c r="C105" s="345"/>
      <c r="D105" s="345"/>
      <c r="E105" s="345"/>
      <c r="F105" s="424"/>
      <c r="G105" s="345"/>
      <c r="H105" s="949"/>
      <c r="I105" s="411"/>
      <c r="J105" s="346">
        <f t="shared" si="32"/>
        <v>0.57089999999999996</v>
      </c>
      <c r="K105" s="347">
        <v>35991</v>
      </c>
      <c r="L105" s="348">
        <v>5</v>
      </c>
      <c r="M105" s="345">
        <v>41865</v>
      </c>
      <c r="N105" s="349">
        <v>35991</v>
      </c>
      <c r="O105" s="350">
        <v>41921</v>
      </c>
      <c r="P105" s="408">
        <f t="shared" si="29"/>
        <v>56</v>
      </c>
      <c r="Q105" s="414" t="str">
        <f t="shared" si="30"/>
        <v/>
      </c>
      <c r="R105" s="352">
        <f t="shared" si="31"/>
        <v>0</v>
      </c>
      <c r="S105" s="352"/>
      <c r="T105" s="163"/>
    </row>
    <row r="106" spans="1:20" s="26" customFormat="1" hidden="1" outlineLevel="1">
      <c r="A106" s="332" t="s">
        <v>8</v>
      </c>
      <c r="B106" s="351"/>
      <c r="C106" s="345"/>
      <c r="D106" s="345"/>
      <c r="E106" s="345"/>
      <c r="F106" s="424"/>
      <c r="G106" s="345"/>
      <c r="H106" s="949"/>
      <c r="I106" s="411"/>
      <c r="J106" s="548">
        <f t="shared" si="32"/>
        <v>0.78709999999999991</v>
      </c>
      <c r="K106" s="347">
        <v>120639.6</v>
      </c>
      <c r="L106" s="348">
        <v>6</v>
      </c>
      <c r="M106" s="345">
        <v>42221</v>
      </c>
      <c r="N106" s="349">
        <v>120639.6</v>
      </c>
      <c r="O106" s="350">
        <v>42303</v>
      </c>
      <c r="P106" s="408">
        <f t="shared" si="29"/>
        <v>82</v>
      </c>
      <c r="Q106" s="414" t="str">
        <f t="shared" si="30"/>
        <v/>
      </c>
      <c r="R106" s="352">
        <f t="shared" si="31"/>
        <v>0</v>
      </c>
      <c r="S106" s="352" t="s">
        <v>129</v>
      </c>
      <c r="T106" s="163"/>
    </row>
    <row r="107" spans="1:20" s="26" customFormat="1" hidden="1" outlineLevel="1">
      <c r="A107" s="354" t="s">
        <v>8</v>
      </c>
      <c r="B107" s="361"/>
      <c r="C107" s="356"/>
      <c r="D107" s="356"/>
      <c r="E107" s="356"/>
      <c r="F107" s="425"/>
      <c r="G107" s="356"/>
      <c r="H107" s="950"/>
      <c r="I107" s="411"/>
      <c r="J107" s="346">
        <f t="shared" si="32"/>
        <v>0.99999999999999989</v>
      </c>
      <c r="K107" s="357">
        <v>118798.2</v>
      </c>
      <c r="L107" s="358">
        <v>6</v>
      </c>
      <c r="M107" s="356">
        <v>42696</v>
      </c>
      <c r="N107" s="359">
        <v>118798.2</v>
      </c>
      <c r="O107" s="360">
        <v>42920</v>
      </c>
      <c r="P107" s="427">
        <f t="shared" si="29"/>
        <v>224</v>
      </c>
      <c r="Q107" s="414" t="str">
        <f t="shared" si="30"/>
        <v/>
      </c>
      <c r="R107" s="362">
        <f t="shared" si="31"/>
        <v>0</v>
      </c>
      <c r="S107" s="362"/>
      <c r="T107" s="163"/>
    </row>
    <row r="108" spans="1:20" s="107" customFormat="1" collapsed="1">
      <c r="A108" s="400" t="s">
        <v>47</v>
      </c>
      <c r="B108" s="404" t="s">
        <v>182</v>
      </c>
      <c r="C108" s="412">
        <v>41170</v>
      </c>
      <c r="D108" s="324">
        <f>DATE(YEAR(C108),MONTH(C108)+18,DAY(C108))</f>
        <v>41716</v>
      </c>
      <c r="E108" s="412">
        <v>41253</v>
      </c>
      <c r="F108" s="417">
        <v>41309</v>
      </c>
      <c r="G108" s="611">
        <v>43360</v>
      </c>
      <c r="H108" s="952">
        <v>42788</v>
      </c>
      <c r="I108" s="326">
        <v>254997</v>
      </c>
      <c r="J108" s="326"/>
      <c r="K108" s="402"/>
      <c r="L108" s="413"/>
      <c r="M108" s="412"/>
      <c r="N108" s="414">
        <f>SUM(N109:N114)</f>
        <v>254997</v>
      </c>
      <c r="O108" s="418"/>
      <c r="P108" s="428"/>
      <c r="Q108" s="415">
        <f>SUM(Q109:Q114)</f>
        <v>0</v>
      </c>
      <c r="R108" s="414">
        <f>SUM(R109:R114)</f>
        <v>0</v>
      </c>
      <c r="S108" s="414"/>
      <c r="T108" s="166">
        <f>I108-(N108+Q108+R108)</f>
        <v>0</v>
      </c>
    </row>
    <row r="109" spans="1:20" s="26" customFormat="1" hidden="1" outlineLevel="1">
      <c r="A109" s="332" t="s">
        <v>47</v>
      </c>
      <c r="B109" s="351"/>
      <c r="C109" s="410" t="s">
        <v>212</v>
      </c>
      <c r="D109" s="345"/>
      <c r="E109" s="345"/>
      <c r="F109" s="424"/>
      <c r="G109" s="410" t="s">
        <v>246</v>
      </c>
      <c r="H109" s="949"/>
      <c r="I109" s="411"/>
      <c r="J109" s="346">
        <f>K109/$I$108</f>
        <v>0.30000000000000004</v>
      </c>
      <c r="K109" s="347">
        <v>76499.100000000006</v>
      </c>
      <c r="L109" s="348">
        <v>1</v>
      </c>
      <c r="M109" s="345">
        <v>41313</v>
      </c>
      <c r="N109" s="349">
        <v>76499.100000000006</v>
      </c>
      <c r="O109" s="350">
        <v>41388</v>
      </c>
      <c r="P109" s="408">
        <f t="shared" si="29"/>
        <v>75</v>
      </c>
      <c r="Q109" s="414" t="str">
        <f>IF(N109="en attente",K109,"")</f>
        <v/>
      </c>
      <c r="R109" s="352">
        <f t="shared" si="31"/>
        <v>0</v>
      </c>
      <c r="S109" s="352"/>
      <c r="T109" s="166"/>
    </row>
    <row r="110" spans="1:20" s="26" customFormat="1" hidden="1" outlineLevel="1">
      <c r="A110" s="332" t="s">
        <v>47</v>
      </c>
      <c r="B110" s="351"/>
      <c r="C110" s="345"/>
      <c r="D110" s="345"/>
      <c r="E110" s="345"/>
      <c r="F110" s="424"/>
      <c r="G110" s="345"/>
      <c r="H110" s="949"/>
      <c r="I110" s="411"/>
      <c r="J110" s="346">
        <f>K110/$I$108+J109</f>
        <v>0.4772000062745837</v>
      </c>
      <c r="K110" s="347">
        <v>45185.47</v>
      </c>
      <c r="L110" s="348">
        <v>2</v>
      </c>
      <c r="M110" s="345">
        <v>41913</v>
      </c>
      <c r="N110" s="349">
        <v>45185.47</v>
      </c>
      <c r="O110" s="350">
        <v>41941</v>
      </c>
      <c r="P110" s="408">
        <f t="shared" si="29"/>
        <v>28</v>
      </c>
      <c r="Q110" s="414" t="str">
        <f>IF(N110="en attente",K110,"")</f>
        <v/>
      </c>
      <c r="R110" s="352">
        <f t="shared" si="31"/>
        <v>0</v>
      </c>
      <c r="S110" s="352"/>
      <c r="T110" s="166"/>
    </row>
    <row r="111" spans="1:20" s="26" customFormat="1" hidden="1" outlineLevel="1">
      <c r="A111" s="332" t="s">
        <v>47</v>
      </c>
      <c r="B111" s="351"/>
      <c r="C111" s="345"/>
      <c r="D111" s="345"/>
      <c r="E111" s="345"/>
      <c r="F111" s="424"/>
      <c r="G111" s="345"/>
      <c r="H111" s="949"/>
      <c r="I111" s="411"/>
      <c r="J111" s="433">
        <f>K111/$I$108+J110</f>
        <v>0.67169998078408777</v>
      </c>
      <c r="K111" s="347">
        <v>49596.91</v>
      </c>
      <c r="L111" s="348">
        <v>3</v>
      </c>
      <c r="M111" s="345">
        <v>42221</v>
      </c>
      <c r="N111" s="349">
        <v>49596.91</v>
      </c>
      <c r="O111" s="350">
        <v>42278</v>
      </c>
      <c r="P111" s="408">
        <f t="shared" si="29"/>
        <v>57</v>
      </c>
      <c r="Q111" s="414" t="str">
        <f>IF(N111="en attente",K111,"")</f>
        <v/>
      </c>
      <c r="R111" s="352">
        <f t="shared" si="31"/>
        <v>0</v>
      </c>
      <c r="S111" s="352"/>
      <c r="T111" s="166" t="s">
        <v>249</v>
      </c>
    </row>
    <row r="112" spans="1:20" s="26" customFormat="1" hidden="1" outlineLevel="1">
      <c r="A112" s="332" t="s">
        <v>47</v>
      </c>
      <c r="B112" s="351"/>
      <c r="C112" s="345"/>
      <c r="D112" s="345"/>
      <c r="E112" s="345"/>
      <c r="F112" s="424"/>
      <c r="G112" s="345"/>
      <c r="H112" s="949"/>
      <c r="I112" s="411"/>
      <c r="J112" s="548">
        <f>K112/$I$108+J111</f>
        <v>0.75013227606599309</v>
      </c>
      <c r="K112" s="347">
        <v>20000</v>
      </c>
      <c r="L112" s="1033">
        <v>4</v>
      </c>
      <c r="M112" s="1047">
        <v>43011</v>
      </c>
      <c r="N112" s="1049">
        <v>83715.520000000004</v>
      </c>
      <c r="O112" s="350"/>
      <c r="P112" s="408"/>
      <c r="Q112" s="414" t="str">
        <f>IF(N112="en attente",K112,"")</f>
        <v/>
      </c>
      <c r="R112" s="352">
        <f t="shared" si="31"/>
        <v>0</v>
      </c>
      <c r="S112" s="352"/>
      <c r="T112" s="166"/>
    </row>
    <row r="113" spans="1:20" s="26" customFormat="1" ht="12" hidden="1" customHeight="1" outlineLevel="1">
      <c r="A113" s="332" t="s">
        <v>47</v>
      </c>
      <c r="B113" s="351"/>
      <c r="C113" s="345"/>
      <c r="D113" s="345"/>
      <c r="E113" s="345"/>
      <c r="F113" s="424"/>
      <c r="G113" s="345"/>
      <c r="H113" s="949"/>
      <c r="I113" s="411"/>
      <c r="J113" s="346">
        <f>K113/$I$108+J112</f>
        <v>0.80000000000000016</v>
      </c>
      <c r="K113" s="347">
        <f>I108*0.8-SUM(K109:K112)</f>
        <v>12716.119999999995</v>
      </c>
      <c r="L113" s="1033"/>
      <c r="M113" s="1048"/>
      <c r="N113" s="1048"/>
      <c r="O113" s="350">
        <v>43059</v>
      </c>
      <c r="P113" s="408"/>
      <c r="Q113" s="612"/>
      <c r="R113" s="352"/>
      <c r="S113" s="352"/>
      <c r="T113" s="166"/>
    </row>
    <row r="114" spans="1:20" s="26" customFormat="1" ht="12" hidden="1" customHeight="1" outlineLevel="1">
      <c r="A114" s="332" t="s">
        <v>47</v>
      </c>
      <c r="B114" s="351"/>
      <c r="C114" s="345"/>
      <c r="D114" s="345"/>
      <c r="E114" s="345"/>
      <c r="F114" s="424"/>
      <c r="G114" s="345"/>
      <c r="H114" s="949"/>
      <c r="I114" s="411"/>
      <c r="J114" s="346">
        <f>K114/$I$108+J113</f>
        <v>1.0000000000000002</v>
      </c>
      <c r="K114" s="347">
        <f>0.2*I108</f>
        <v>50999.4</v>
      </c>
      <c r="L114" s="1034"/>
      <c r="M114" s="1039"/>
      <c r="N114" s="1039"/>
      <c r="O114" s="350"/>
      <c r="P114" s="408"/>
      <c r="Q114" s="610"/>
      <c r="R114" s="352"/>
      <c r="S114" s="352"/>
      <c r="T114" s="166"/>
    </row>
    <row r="115" spans="1:20" s="107" customFormat="1" collapsed="1">
      <c r="A115" s="323" t="s">
        <v>49</v>
      </c>
      <c r="B115" s="330" t="s">
        <v>183</v>
      </c>
      <c r="C115" s="324">
        <v>41094</v>
      </c>
      <c r="D115" s="324">
        <f>DATE(YEAR(C115),MONTH(C115)+18,DAY(C115))</f>
        <v>41643</v>
      </c>
      <c r="E115" s="324">
        <v>41271</v>
      </c>
      <c r="F115" s="422">
        <v>41428</v>
      </c>
      <c r="G115" s="324">
        <f>DATE(YEAR(C115)+4,MONTH(C115),DAY(C115))</f>
        <v>42555</v>
      </c>
      <c r="H115" s="952">
        <v>42332</v>
      </c>
      <c r="I115" s="326">
        <v>995000</v>
      </c>
      <c r="J115" s="325"/>
      <c r="K115" s="326"/>
      <c r="L115" s="327"/>
      <c r="M115" s="324"/>
      <c r="N115" s="328">
        <f>SUM(N116:N122)</f>
        <v>995000</v>
      </c>
      <c r="O115" s="329"/>
      <c r="P115" s="423"/>
      <c r="Q115" s="331">
        <f>SUM(Q116:Q122)</f>
        <v>0</v>
      </c>
      <c r="R115" s="331">
        <f>SUM(R116:R122)</f>
        <v>0</v>
      </c>
      <c r="S115" s="331"/>
      <c r="T115" s="166">
        <f>I115-(N115+Q115+R115)</f>
        <v>0</v>
      </c>
    </row>
    <row r="116" spans="1:20" s="26" customFormat="1" hidden="1" outlineLevel="1">
      <c r="A116" s="332" t="s">
        <v>49</v>
      </c>
      <c r="B116" s="351"/>
      <c r="C116" s="410" t="s">
        <v>212</v>
      </c>
      <c r="D116" s="345"/>
      <c r="E116" s="345"/>
      <c r="F116" s="424"/>
      <c r="G116" s="345"/>
      <c r="H116" s="949"/>
      <c r="I116" s="411"/>
      <c r="J116" s="346">
        <f>K116/$I$115</f>
        <v>0.3</v>
      </c>
      <c r="K116" s="347">
        <v>298500</v>
      </c>
      <c r="L116" s="348">
        <v>1</v>
      </c>
      <c r="M116" s="345">
        <v>41463</v>
      </c>
      <c r="N116" s="349">
        <v>298500</v>
      </c>
      <c r="O116" s="350">
        <v>41533</v>
      </c>
      <c r="P116" s="408">
        <f t="shared" si="29"/>
        <v>70</v>
      </c>
      <c r="Q116" s="414" t="str">
        <f t="shared" ref="Q116:Q122" si="33">IF(N116="en attente",K116,"")</f>
        <v/>
      </c>
      <c r="R116" s="352">
        <f>IF(M116="",K116-N116,0)</f>
        <v>0</v>
      </c>
      <c r="S116" s="455"/>
      <c r="T116" s="163"/>
    </row>
    <row r="117" spans="1:20" s="26" customFormat="1" hidden="1" outlineLevel="1">
      <c r="A117" s="332" t="s">
        <v>49</v>
      </c>
      <c r="B117" s="351"/>
      <c r="C117" s="345"/>
      <c r="D117" s="345"/>
      <c r="E117" s="345"/>
      <c r="F117" s="424"/>
      <c r="G117" s="345"/>
      <c r="H117" s="949"/>
      <c r="I117" s="411"/>
      <c r="J117" s="346">
        <f t="shared" ref="J117:J122" si="34">K117/$I$115+J116</f>
        <v>0.36899999999999999</v>
      </c>
      <c r="K117" s="347">
        <v>68655</v>
      </c>
      <c r="L117" s="348">
        <v>2</v>
      </c>
      <c r="M117" s="345">
        <v>41717</v>
      </c>
      <c r="N117" s="349">
        <v>68655</v>
      </c>
      <c r="O117" s="350">
        <v>41744</v>
      </c>
      <c r="P117" s="408">
        <f t="shared" si="29"/>
        <v>27</v>
      </c>
      <c r="Q117" s="414" t="str">
        <f t="shared" si="33"/>
        <v/>
      </c>
      <c r="R117" s="352">
        <f t="shared" ref="R117:R141" si="35">IF(M117="",K117-N117,0)</f>
        <v>0</v>
      </c>
      <c r="S117" s="455"/>
      <c r="T117" s="163"/>
    </row>
    <row r="118" spans="1:20" s="26" customFormat="1" hidden="1" outlineLevel="1">
      <c r="A118" s="332" t="s">
        <v>49</v>
      </c>
      <c r="B118" s="351"/>
      <c r="C118" s="345"/>
      <c r="D118" s="345"/>
      <c r="E118" s="345"/>
      <c r="F118" s="424"/>
      <c r="G118" s="345"/>
      <c r="H118" s="949"/>
      <c r="I118" s="411"/>
      <c r="J118" s="346">
        <f t="shared" si="34"/>
        <v>0.45</v>
      </c>
      <c r="K118" s="347">
        <v>80595</v>
      </c>
      <c r="L118" s="348">
        <v>3</v>
      </c>
      <c r="M118" s="345">
        <v>41778</v>
      </c>
      <c r="N118" s="349">
        <v>80595</v>
      </c>
      <c r="O118" s="350">
        <v>41803</v>
      </c>
      <c r="P118" s="408">
        <f t="shared" si="29"/>
        <v>25</v>
      </c>
      <c r="Q118" s="414" t="str">
        <f t="shared" si="33"/>
        <v/>
      </c>
      <c r="R118" s="352">
        <f t="shared" si="35"/>
        <v>0</v>
      </c>
      <c r="S118" s="455"/>
      <c r="T118" s="163"/>
    </row>
    <row r="119" spans="1:20" s="26" customFormat="1" hidden="1" outlineLevel="1">
      <c r="A119" s="332" t="s">
        <v>49</v>
      </c>
      <c r="B119" s="351"/>
      <c r="C119" s="345"/>
      <c r="D119" s="345"/>
      <c r="E119" s="345"/>
      <c r="F119" s="424"/>
      <c r="G119" s="345"/>
      <c r="H119" s="949"/>
      <c r="I119" s="411"/>
      <c r="J119" s="346">
        <f t="shared" si="34"/>
        <v>0.53559999999999997</v>
      </c>
      <c r="K119" s="347">
        <v>85172</v>
      </c>
      <c r="L119" s="348">
        <v>4</v>
      </c>
      <c r="M119" s="345">
        <v>41855</v>
      </c>
      <c r="N119" s="349">
        <v>85172</v>
      </c>
      <c r="O119" s="350">
        <v>41884</v>
      </c>
      <c r="P119" s="408">
        <f t="shared" si="29"/>
        <v>29</v>
      </c>
      <c r="Q119" s="414" t="str">
        <f t="shared" si="33"/>
        <v/>
      </c>
      <c r="R119" s="352">
        <f t="shared" si="35"/>
        <v>0</v>
      </c>
      <c r="S119" s="352"/>
      <c r="T119" s="163"/>
    </row>
    <row r="120" spans="1:20" s="26" customFormat="1" hidden="1" outlineLevel="1">
      <c r="A120" s="332" t="s">
        <v>49</v>
      </c>
      <c r="B120" s="351"/>
      <c r="C120" s="345"/>
      <c r="D120" s="345"/>
      <c r="E120" s="345"/>
      <c r="F120" s="424"/>
      <c r="G120" s="345"/>
      <c r="H120" s="949"/>
      <c r="I120" s="411"/>
      <c r="J120" s="346">
        <f t="shared" si="34"/>
        <v>0.59460000000000002</v>
      </c>
      <c r="K120" s="347">
        <v>58705</v>
      </c>
      <c r="L120" s="348">
        <v>5</v>
      </c>
      <c r="M120" s="345">
        <v>41915</v>
      </c>
      <c r="N120" s="349">
        <v>58705</v>
      </c>
      <c r="O120" s="350">
        <v>41941</v>
      </c>
      <c r="P120" s="408">
        <f t="shared" si="29"/>
        <v>26</v>
      </c>
      <c r="Q120" s="414" t="str">
        <f t="shared" si="33"/>
        <v/>
      </c>
      <c r="R120" s="352">
        <f t="shared" si="35"/>
        <v>0</v>
      </c>
      <c r="S120" s="352"/>
      <c r="T120" s="163"/>
    </row>
    <row r="121" spans="1:20" s="26" customFormat="1" hidden="1" outlineLevel="1">
      <c r="A121" s="332" t="s">
        <v>49</v>
      </c>
      <c r="B121" s="351"/>
      <c r="C121" s="345"/>
      <c r="D121" s="345"/>
      <c r="E121" s="345"/>
      <c r="F121" s="424"/>
      <c r="G121" s="345"/>
      <c r="H121" s="949"/>
      <c r="I121" s="411"/>
      <c r="J121" s="346">
        <f t="shared" si="34"/>
        <v>0.8</v>
      </c>
      <c r="K121" s="347">
        <v>204373</v>
      </c>
      <c r="L121" s="348">
        <v>6</v>
      </c>
      <c r="M121" s="345">
        <v>42278</v>
      </c>
      <c r="N121" s="349">
        <v>204373</v>
      </c>
      <c r="O121" s="350">
        <v>42325</v>
      </c>
      <c r="P121" s="408">
        <f t="shared" si="29"/>
        <v>47</v>
      </c>
      <c r="Q121" s="414" t="str">
        <f t="shared" si="33"/>
        <v/>
      </c>
      <c r="R121" s="352">
        <f t="shared" si="35"/>
        <v>0</v>
      </c>
      <c r="S121" s="352"/>
      <c r="T121" s="163"/>
    </row>
    <row r="122" spans="1:20" s="26" customFormat="1" hidden="1" outlineLevel="1">
      <c r="A122" s="332" t="s">
        <v>49</v>
      </c>
      <c r="B122" s="351"/>
      <c r="C122" s="345"/>
      <c r="D122" s="345"/>
      <c r="E122" s="345"/>
      <c r="F122" s="424"/>
      <c r="G122" s="345"/>
      <c r="H122" s="949"/>
      <c r="I122" s="411"/>
      <c r="J122" s="346">
        <f t="shared" si="34"/>
        <v>1</v>
      </c>
      <c r="K122" s="347">
        <v>199000</v>
      </c>
      <c r="L122" s="348">
        <v>7</v>
      </c>
      <c r="M122" s="345">
        <v>42985</v>
      </c>
      <c r="N122" s="349">
        <v>199000</v>
      </c>
      <c r="O122" s="350">
        <v>43018</v>
      </c>
      <c r="P122" s="408">
        <f t="shared" si="29"/>
        <v>33</v>
      </c>
      <c r="Q122" s="414" t="str">
        <f t="shared" si="33"/>
        <v/>
      </c>
      <c r="R122" s="352">
        <f t="shared" si="35"/>
        <v>0</v>
      </c>
      <c r="S122" s="352"/>
      <c r="T122" s="163"/>
    </row>
    <row r="123" spans="1:20" s="107" customFormat="1" collapsed="1">
      <c r="A123" s="323" t="s">
        <v>52</v>
      </c>
      <c r="B123" s="330" t="s">
        <v>184</v>
      </c>
      <c r="C123" s="324">
        <v>41094</v>
      </c>
      <c r="D123" s="324">
        <f>DATE(YEAR(C123),MONTH(C123)+18,DAY(C123))</f>
        <v>41643</v>
      </c>
      <c r="E123" s="324">
        <v>41253</v>
      </c>
      <c r="F123" s="422">
        <v>41309</v>
      </c>
      <c r="G123" s="324">
        <f>DATE(YEAR(C123)+4,MONTH(C123),DAY(C123))</f>
        <v>42555</v>
      </c>
      <c r="H123" s="952">
        <v>42144</v>
      </c>
      <c r="I123" s="326">
        <v>663000</v>
      </c>
      <c r="J123" s="325"/>
      <c r="K123" s="326"/>
      <c r="L123" s="327"/>
      <c r="M123" s="324"/>
      <c r="N123" s="328">
        <f>SUM(N124:N130)</f>
        <v>663000</v>
      </c>
      <c r="O123" s="329"/>
      <c r="P123" s="423"/>
      <c r="Q123" s="331">
        <f>SUM(Q124:Q130)</f>
        <v>0</v>
      </c>
      <c r="R123" s="331">
        <f>SUM(R124:R130)</f>
        <v>0</v>
      </c>
      <c r="S123" s="331"/>
      <c r="T123" s="166">
        <f>I123-(N123+Q123+R123)</f>
        <v>0</v>
      </c>
    </row>
    <row r="124" spans="1:20" s="26" customFormat="1" hidden="1" outlineLevel="1">
      <c r="A124" s="332" t="s">
        <v>52</v>
      </c>
      <c r="B124" s="351"/>
      <c r="C124" s="410" t="s">
        <v>212</v>
      </c>
      <c r="D124" s="345"/>
      <c r="E124" s="345"/>
      <c r="F124" s="424"/>
      <c r="G124" s="345"/>
      <c r="H124" s="949"/>
      <c r="I124" s="411"/>
      <c r="J124" s="346">
        <f>K124/$I$123</f>
        <v>0.3</v>
      </c>
      <c r="K124" s="347">
        <v>198900</v>
      </c>
      <c r="L124" s="348">
        <v>1</v>
      </c>
      <c r="M124" s="345">
        <v>41361</v>
      </c>
      <c r="N124" s="349">
        <v>198900</v>
      </c>
      <c r="O124" s="350">
        <v>41428</v>
      </c>
      <c r="P124" s="408">
        <f t="shared" si="29"/>
        <v>67</v>
      </c>
      <c r="Q124" s="414" t="str">
        <f t="shared" ref="Q124:Q130" si="36">IF(N124="en attente",K124,"")</f>
        <v/>
      </c>
      <c r="R124" s="352">
        <f t="shared" ref="R124:R133" si="37">IF(M124="",K124-N124,0)</f>
        <v>0</v>
      </c>
      <c r="S124" s="455"/>
      <c r="T124" s="163"/>
    </row>
    <row r="125" spans="1:20" s="26" customFormat="1" hidden="1" outlineLevel="1">
      <c r="A125" s="332" t="s">
        <v>52</v>
      </c>
      <c r="B125" s="351"/>
      <c r="C125" s="345"/>
      <c r="D125" s="345"/>
      <c r="E125" s="345"/>
      <c r="F125" s="424"/>
      <c r="G125" s="345"/>
      <c r="H125" s="949"/>
      <c r="I125" s="411"/>
      <c r="J125" s="346">
        <f t="shared" ref="J125:J130" si="38">K125/$I$123+J124</f>
        <v>0.4425</v>
      </c>
      <c r="K125" s="347">
        <v>94477.5</v>
      </c>
      <c r="L125" s="348">
        <v>2</v>
      </c>
      <c r="M125" s="345">
        <v>41582</v>
      </c>
      <c r="N125" s="349">
        <v>94477.5</v>
      </c>
      <c r="O125" s="350">
        <v>41610</v>
      </c>
      <c r="P125" s="408">
        <f t="shared" si="29"/>
        <v>28</v>
      </c>
      <c r="Q125" s="414" t="str">
        <f t="shared" si="36"/>
        <v/>
      </c>
      <c r="R125" s="352">
        <f t="shared" si="37"/>
        <v>0</v>
      </c>
      <c r="S125" s="352"/>
      <c r="T125" s="163"/>
    </row>
    <row r="126" spans="1:20" s="26" customFormat="1" hidden="1" outlineLevel="1">
      <c r="A126" s="332" t="s">
        <v>52</v>
      </c>
      <c r="B126" s="351"/>
      <c r="C126" s="345"/>
      <c r="D126" s="345"/>
      <c r="E126" s="345"/>
      <c r="F126" s="424"/>
      <c r="G126" s="345"/>
      <c r="H126" s="949"/>
      <c r="I126" s="411"/>
      <c r="J126" s="346">
        <f t="shared" si="38"/>
        <v>0.56440000000000001</v>
      </c>
      <c r="K126" s="347">
        <v>80819.7</v>
      </c>
      <c r="L126" s="348">
        <v>3</v>
      </c>
      <c r="M126" s="345">
        <v>41646</v>
      </c>
      <c r="N126" s="349">
        <v>80819.7</v>
      </c>
      <c r="O126" s="350">
        <v>41687</v>
      </c>
      <c r="P126" s="408">
        <f t="shared" si="29"/>
        <v>41</v>
      </c>
      <c r="Q126" s="414" t="str">
        <f t="shared" si="36"/>
        <v/>
      </c>
      <c r="R126" s="352">
        <f t="shared" si="37"/>
        <v>0</v>
      </c>
      <c r="S126" s="352"/>
      <c r="T126" s="163"/>
    </row>
    <row r="127" spans="1:20" s="26" customFormat="1" hidden="1" outlineLevel="1">
      <c r="A127" s="332" t="s">
        <v>52</v>
      </c>
      <c r="B127" s="351"/>
      <c r="C127" s="345"/>
      <c r="D127" s="345"/>
      <c r="E127" s="345"/>
      <c r="F127" s="424"/>
      <c r="G127" s="345"/>
      <c r="H127" s="949"/>
      <c r="I127" s="411"/>
      <c r="J127" s="346">
        <f t="shared" si="38"/>
        <v>0.64610000000000001</v>
      </c>
      <c r="K127" s="347">
        <v>54167.1</v>
      </c>
      <c r="L127" s="348">
        <v>4</v>
      </c>
      <c r="M127" s="345">
        <v>41702</v>
      </c>
      <c r="N127" s="349">
        <v>54167.1</v>
      </c>
      <c r="O127" s="350">
        <v>41736</v>
      </c>
      <c r="P127" s="408">
        <f t="shared" si="29"/>
        <v>34</v>
      </c>
      <c r="Q127" s="414" t="str">
        <f t="shared" si="36"/>
        <v/>
      </c>
      <c r="R127" s="352">
        <f t="shared" si="37"/>
        <v>0</v>
      </c>
      <c r="S127" s="352"/>
      <c r="T127" s="163"/>
    </row>
    <row r="128" spans="1:20" s="26" customFormat="1" hidden="1" outlineLevel="1">
      <c r="A128" s="332" t="s">
        <v>52</v>
      </c>
      <c r="B128" s="351"/>
      <c r="C128" s="345"/>
      <c r="D128" s="345"/>
      <c r="E128" s="345"/>
      <c r="F128" s="424"/>
      <c r="G128" s="345"/>
      <c r="H128" s="949"/>
      <c r="I128" s="411"/>
      <c r="J128" s="346">
        <f t="shared" si="38"/>
        <v>0.73929999999999996</v>
      </c>
      <c r="K128" s="347">
        <v>61791.6</v>
      </c>
      <c r="L128" s="348">
        <v>5</v>
      </c>
      <c r="M128" s="345">
        <v>41758</v>
      </c>
      <c r="N128" s="349">
        <v>61791.6</v>
      </c>
      <c r="O128" s="350">
        <v>41801</v>
      </c>
      <c r="P128" s="408">
        <f t="shared" si="29"/>
        <v>43</v>
      </c>
      <c r="Q128" s="414" t="str">
        <f t="shared" si="36"/>
        <v/>
      </c>
      <c r="R128" s="352">
        <f t="shared" si="37"/>
        <v>0</v>
      </c>
      <c r="S128" s="352"/>
      <c r="T128" s="163"/>
    </row>
    <row r="129" spans="1:20" s="26" customFormat="1" hidden="1" outlineLevel="1">
      <c r="A129" s="332" t="s">
        <v>52</v>
      </c>
      <c r="B129" s="351"/>
      <c r="C129" s="345"/>
      <c r="D129" s="345"/>
      <c r="E129" s="345"/>
      <c r="F129" s="424"/>
      <c r="G129" s="345"/>
      <c r="H129" s="949"/>
      <c r="I129" s="411"/>
      <c r="J129" s="346">
        <f t="shared" si="38"/>
        <v>0.79999999999999993</v>
      </c>
      <c r="K129" s="347">
        <v>40244.1</v>
      </c>
      <c r="L129" s="348">
        <v>6</v>
      </c>
      <c r="M129" s="345">
        <v>41807</v>
      </c>
      <c r="N129" s="349">
        <v>40244.1</v>
      </c>
      <c r="O129" s="350">
        <v>41849</v>
      </c>
      <c r="P129" s="408">
        <f t="shared" si="29"/>
        <v>42</v>
      </c>
      <c r="Q129" s="414" t="str">
        <f t="shared" si="36"/>
        <v/>
      </c>
      <c r="R129" s="352">
        <f t="shared" si="37"/>
        <v>0</v>
      </c>
      <c r="S129" s="352"/>
      <c r="T129" s="163"/>
    </row>
    <row r="130" spans="1:20" s="26" customFormat="1" hidden="1" outlineLevel="1">
      <c r="A130" s="354" t="s">
        <v>52</v>
      </c>
      <c r="B130" s="361"/>
      <c r="C130" s="356"/>
      <c r="D130" s="356"/>
      <c r="E130" s="356"/>
      <c r="F130" s="425"/>
      <c r="G130" s="356"/>
      <c r="H130" s="950"/>
      <c r="I130" s="411"/>
      <c r="J130" s="426">
        <f t="shared" si="38"/>
        <v>1</v>
      </c>
      <c r="K130" s="357">
        <v>132600</v>
      </c>
      <c r="L130" s="358">
        <v>7</v>
      </c>
      <c r="M130" s="356">
        <v>42766</v>
      </c>
      <c r="N130" s="359">
        <v>132600</v>
      </c>
      <c r="O130" s="360">
        <v>42829</v>
      </c>
      <c r="P130" s="427">
        <f t="shared" si="29"/>
        <v>63</v>
      </c>
      <c r="Q130" s="414" t="str">
        <f t="shared" si="36"/>
        <v/>
      </c>
      <c r="R130" s="362">
        <f t="shared" si="37"/>
        <v>0</v>
      </c>
      <c r="S130" s="362"/>
      <c r="T130" s="163"/>
    </row>
    <row r="131" spans="1:20" s="107" customFormat="1" collapsed="1">
      <c r="A131" s="400" t="s">
        <v>53</v>
      </c>
      <c r="B131" s="404" t="s">
        <v>179</v>
      </c>
      <c r="C131" s="412">
        <v>41170</v>
      </c>
      <c r="D131" s="324">
        <f>DATE(YEAR(C131),MONTH(C131)+18,DAY(C131))</f>
        <v>41716</v>
      </c>
      <c r="E131" s="412">
        <v>41257</v>
      </c>
      <c r="F131" s="417">
        <v>41309</v>
      </c>
      <c r="G131" s="324">
        <f>DATE(YEAR(C131)+4,MONTH(C131),DAY(C131))</f>
        <v>42631</v>
      </c>
      <c r="H131" s="952">
        <v>41940</v>
      </c>
      <c r="I131" s="326">
        <v>89905</v>
      </c>
      <c r="J131" s="407"/>
      <c r="K131" s="402"/>
      <c r="L131" s="413"/>
      <c r="M131" s="412"/>
      <c r="N131" s="405">
        <f>SUM(N132:N136)</f>
        <v>89905</v>
      </c>
      <c r="O131" s="418"/>
      <c r="P131" s="428"/>
      <c r="Q131" s="415">
        <f>SUM(Q132:Q136)</f>
        <v>0</v>
      </c>
      <c r="R131" s="415">
        <f>SUM(R132:R136)</f>
        <v>0</v>
      </c>
      <c r="S131" s="414"/>
      <c r="T131" s="166">
        <f>I131-(N131+Q131+R131)</f>
        <v>0</v>
      </c>
    </row>
    <row r="132" spans="1:20" s="26" customFormat="1" hidden="1" outlineLevel="1">
      <c r="A132" s="332" t="s">
        <v>53</v>
      </c>
      <c r="B132" s="351"/>
      <c r="C132" s="410" t="s">
        <v>212</v>
      </c>
      <c r="D132" s="345"/>
      <c r="E132" s="345"/>
      <c r="F132" s="424"/>
      <c r="G132" s="345"/>
      <c r="H132" s="949"/>
      <c r="I132" s="411"/>
      <c r="J132" s="346">
        <f>K132/$I$131</f>
        <v>0.3</v>
      </c>
      <c r="K132" s="347">
        <v>26971.5</v>
      </c>
      <c r="L132" s="348">
        <v>1</v>
      </c>
      <c r="M132" s="345">
        <v>41313</v>
      </c>
      <c r="N132" s="349">
        <v>26971.5</v>
      </c>
      <c r="O132" s="350">
        <v>41416</v>
      </c>
      <c r="P132" s="408">
        <f>IF(O132="",$R$2-M132,O132-M132)</f>
        <v>103</v>
      </c>
      <c r="Q132" s="414" t="str">
        <f>IF(N132="en attente",K132,"")</f>
        <v/>
      </c>
      <c r="R132" s="512">
        <f t="shared" si="37"/>
        <v>0</v>
      </c>
      <c r="S132" s="455"/>
      <c r="T132" s="163"/>
    </row>
    <row r="133" spans="1:20" s="26" customFormat="1" hidden="1" outlineLevel="1">
      <c r="A133" s="332" t="s">
        <v>53</v>
      </c>
      <c r="B133" s="351"/>
      <c r="C133" s="345"/>
      <c r="D133" s="345"/>
      <c r="E133" s="345"/>
      <c r="F133" s="424"/>
      <c r="G133" s="345"/>
      <c r="H133" s="949"/>
      <c r="I133" s="411"/>
      <c r="J133" s="346">
        <f>K133/$I$131+J132</f>
        <v>0.58310005005283361</v>
      </c>
      <c r="K133" s="347">
        <v>25452.11</v>
      </c>
      <c r="L133" s="348">
        <v>2</v>
      </c>
      <c r="M133" s="345">
        <v>41645</v>
      </c>
      <c r="N133" s="349">
        <v>25452.11</v>
      </c>
      <c r="O133" s="350">
        <v>41687</v>
      </c>
      <c r="P133" s="408">
        <f>IF(O133="",$R$2-M133,O133-M133)</f>
        <v>42</v>
      </c>
      <c r="Q133" s="414" t="str">
        <f>IF(N133="en attente",K133,"")</f>
        <v/>
      </c>
      <c r="R133" s="352">
        <f t="shared" si="37"/>
        <v>0</v>
      </c>
      <c r="S133" s="352"/>
      <c r="T133" s="163"/>
    </row>
    <row r="134" spans="1:20" s="26" customFormat="1" hidden="1" outlineLevel="1">
      <c r="A134" s="332" t="s">
        <v>53</v>
      </c>
      <c r="B134" s="351"/>
      <c r="C134" s="345"/>
      <c r="D134" s="345"/>
      <c r="E134" s="345"/>
      <c r="F134" s="424"/>
      <c r="G134" s="345"/>
      <c r="H134" s="949"/>
      <c r="I134" s="411"/>
      <c r="J134" s="346">
        <f>K134/$I$131+J133</f>
        <v>0.68970001668427794</v>
      </c>
      <c r="K134" s="347">
        <v>9583.869999999999</v>
      </c>
      <c r="L134" s="348">
        <v>3</v>
      </c>
      <c r="M134" s="345">
        <v>41703</v>
      </c>
      <c r="N134" s="349">
        <v>9583.869999999999</v>
      </c>
      <c r="O134" s="350">
        <v>41729</v>
      </c>
      <c r="P134" s="408">
        <f>IF(O134="",$R$2-M134,O134-M134)</f>
        <v>26</v>
      </c>
      <c r="Q134" s="414" t="str">
        <f>IF(N134="en attente",K134,"")</f>
        <v/>
      </c>
      <c r="R134" s="352">
        <f t="shared" si="35"/>
        <v>0</v>
      </c>
      <c r="S134" s="352"/>
      <c r="T134" s="163"/>
    </row>
    <row r="135" spans="1:20" s="26" customFormat="1" hidden="1" outlineLevel="1">
      <c r="A135" s="332" t="s">
        <v>53</v>
      </c>
      <c r="B135" s="351"/>
      <c r="C135" s="345"/>
      <c r="D135" s="345"/>
      <c r="E135" s="345"/>
      <c r="F135" s="424"/>
      <c r="G135" s="345"/>
      <c r="H135" s="949"/>
      <c r="I135" s="411"/>
      <c r="J135" s="346">
        <f>K135/$I$131+J134</f>
        <v>0.8</v>
      </c>
      <c r="K135" s="347">
        <v>9916.52</v>
      </c>
      <c r="L135" s="348">
        <v>4</v>
      </c>
      <c r="M135" s="345">
        <v>41758</v>
      </c>
      <c r="N135" s="349">
        <v>9916.52</v>
      </c>
      <c r="O135" s="350">
        <v>41801</v>
      </c>
      <c r="P135" s="408">
        <f>IF(O135="",$R$2-M135,O135-M135)</f>
        <v>43</v>
      </c>
      <c r="Q135" s="414" t="str">
        <f>IF(N135="en attente",K135,"")</f>
        <v/>
      </c>
      <c r="R135" s="352">
        <f t="shared" si="35"/>
        <v>0</v>
      </c>
      <c r="S135" s="352"/>
      <c r="T135" s="163"/>
    </row>
    <row r="136" spans="1:20" s="26" customFormat="1" hidden="1" outlineLevel="1">
      <c r="A136" s="332" t="s">
        <v>53</v>
      </c>
      <c r="B136" s="351"/>
      <c r="C136" s="345"/>
      <c r="D136" s="345"/>
      <c r="E136" s="345"/>
      <c r="F136" s="424"/>
      <c r="G136" s="345"/>
      <c r="H136" s="949"/>
      <c r="I136" s="411"/>
      <c r="J136" s="346">
        <f>K136/$I$131+J135</f>
        <v>1</v>
      </c>
      <c r="K136" s="347">
        <v>17981</v>
      </c>
      <c r="L136" s="348">
        <v>5</v>
      </c>
      <c r="M136" s="345">
        <v>42704</v>
      </c>
      <c r="N136" s="349">
        <v>17981</v>
      </c>
      <c r="O136" s="350">
        <v>42906</v>
      </c>
      <c r="P136" s="408">
        <f>IF(O136="",$R$2-M136,O136-M136)</f>
        <v>202</v>
      </c>
      <c r="Q136" s="414" t="str">
        <f>IF(N136="en attente",K136,"")</f>
        <v/>
      </c>
      <c r="R136" s="352">
        <f t="shared" si="35"/>
        <v>0</v>
      </c>
      <c r="S136" s="352"/>
      <c r="T136" s="163"/>
    </row>
    <row r="137" spans="1:20" s="107" customFormat="1" collapsed="1">
      <c r="A137" s="323" t="s">
        <v>54</v>
      </c>
      <c r="B137" s="330" t="s">
        <v>178</v>
      </c>
      <c r="C137" s="324">
        <v>41094</v>
      </c>
      <c r="D137" s="324">
        <f>DATE(YEAR(C137),MONTH(C137)+18,DAY(C137))</f>
        <v>41643</v>
      </c>
      <c r="E137" s="324">
        <v>41253</v>
      </c>
      <c r="F137" s="422">
        <v>41303</v>
      </c>
      <c r="G137" s="324">
        <v>43284</v>
      </c>
      <c r="H137" s="952">
        <v>42954</v>
      </c>
      <c r="I137" s="326">
        <v>790394</v>
      </c>
      <c r="J137" s="325"/>
      <c r="K137" s="326"/>
      <c r="L137" s="327"/>
      <c r="M137" s="324"/>
      <c r="N137" s="328">
        <f>SUM(N138:N142)</f>
        <v>790394</v>
      </c>
      <c r="O137" s="329"/>
      <c r="P137" s="423"/>
      <c r="Q137" s="331">
        <f>SUM(Q138:Q142)</f>
        <v>0</v>
      </c>
      <c r="R137" s="331">
        <f>SUM(R138:R142)</f>
        <v>0</v>
      </c>
      <c r="S137" s="331"/>
      <c r="T137" s="166">
        <f>I137-(N137+Q137+R137)</f>
        <v>0</v>
      </c>
    </row>
    <row r="138" spans="1:20" s="26" customFormat="1" hidden="1" outlineLevel="1">
      <c r="A138" s="332" t="s">
        <v>54</v>
      </c>
      <c r="B138" s="351"/>
      <c r="C138" s="410" t="s">
        <v>212</v>
      </c>
      <c r="D138" s="345"/>
      <c r="E138" s="345"/>
      <c r="F138" s="424"/>
      <c r="G138" s="345" t="s">
        <v>241</v>
      </c>
      <c r="H138" s="949"/>
      <c r="I138" s="411"/>
      <c r="J138" s="346">
        <f>K138/$I$137</f>
        <v>0.3</v>
      </c>
      <c r="K138" s="347">
        <v>237118.2</v>
      </c>
      <c r="L138" s="348">
        <v>1</v>
      </c>
      <c r="M138" s="345">
        <v>41360</v>
      </c>
      <c r="N138" s="349">
        <v>237118.2</v>
      </c>
      <c r="O138" s="350">
        <v>41428</v>
      </c>
      <c r="P138" s="408">
        <f>IF(O138="",$R$2-M138,O138-M138)</f>
        <v>68</v>
      </c>
      <c r="Q138" s="414" t="str">
        <f t="shared" ref="Q138:Q242" si="39">IF(N138="en attente",K138,"")</f>
        <v/>
      </c>
      <c r="R138" s="352">
        <f t="shared" si="35"/>
        <v>0</v>
      </c>
      <c r="S138" s="352"/>
      <c r="T138" s="163"/>
    </row>
    <row r="139" spans="1:20" s="26" customFormat="1" hidden="1" outlineLevel="1">
      <c r="A139" s="332" t="s">
        <v>54</v>
      </c>
      <c r="B139" s="351"/>
      <c r="C139" s="345"/>
      <c r="D139" s="345"/>
      <c r="E139" s="345"/>
      <c r="F139" s="424"/>
      <c r="G139" s="345"/>
      <c r="H139" s="949"/>
      <c r="I139" s="411"/>
      <c r="J139" s="346">
        <f>K139/$I$137+J138</f>
        <v>0.47089999418011774</v>
      </c>
      <c r="K139" s="347">
        <v>135078.33000000002</v>
      </c>
      <c r="L139" s="348">
        <v>2</v>
      </c>
      <c r="M139" s="345">
        <v>41913</v>
      </c>
      <c r="N139" s="349">
        <v>135078.33000000002</v>
      </c>
      <c r="O139" s="350">
        <v>41943</v>
      </c>
      <c r="P139" s="408">
        <f>IF(O139="",$R$2-M139,O139-M139)</f>
        <v>30</v>
      </c>
      <c r="Q139" s="414" t="str">
        <f t="shared" si="39"/>
        <v/>
      </c>
      <c r="R139" s="352">
        <f t="shared" si="35"/>
        <v>0</v>
      </c>
      <c r="S139" s="352"/>
      <c r="T139" s="163"/>
    </row>
    <row r="140" spans="1:20" s="26" customFormat="1" hidden="1" outlineLevel="1">
      <c r="A140" s="332" t="s">
        <v>54</v>
      </c>
      <c r="B140" s="351"/>
      <c r="C140" s="345"/>
      <c r="D140" s="345"/>
      <c r="E140" s="345"/>
      <c r="F140" s="424"/>
      <c r="G140" s="345"/>
      <c r="H140" s="949"/>
      <c r="I140" s="411"/>
      <c r="J140" s="346">
        <f>K140/$I$137+J139</f>
        <v>0.696199996457463</v>
      </c>
      <c r="K140" s="347">
        <v>178075.77</v>
      </c>
      <c r="L140" s="348">
        <v>3</v>
      </c>
      <c r="M140" s="345">
        <v>42215</v>
      </c>
      <c r="N140" s="349">
        <v>178075.77</v>
      </c>
      <c r="O140" s="350">
        <v>42303</v>
      </c>
      <c r="P140" s="408">
        <f>IF(O140="",$R$2-M140,O140-M140)</f>
        <v>88</v>
      </c>
      <c r="Q140" s="414" t="str">
        <f t="shared" si="39"/>
        <v/>
      </c>
      <c r="R140" s="352">
        <f t="shared" si="35"/>
        <v>0</v>
      </c>
      <c r="S140" s="352"/>
      <c r="T140" s="163"/>
    </row>
    <row r="141" spans="1:20" s="26" customFormat="1" hidden="1" outlineLevel="1">
      <c r="A141" s="332" t="s">
        <v>54</v>
      </c>
      <c r="B141" s="351"/>
      <c r="C141" s="345"/>
      <c r="D141" s="345"/>
      <c r="E141" s="345"/>
      <c r="F141" s="424"/>
      <c r="G141" s="345"/>
      <c r="H141" s="949"/>
      <c r="I141" s="411"/>
      <c r="J141" s="346">
        <v>0.78920000000000001</v>
      </c>
      <c r="K141" s="347">
        <v>73506.64</v>
      </c>
      <c r="L141" s="348">
        <v>4</v>
      </c>
      <c r="M141" s="345">
        <v>42383</v>
      </c>
      <c r="N141" s="349">
        <v>73506.64</v>
      </c>
      <c r="O141" s="350">
        <v>42431</v>
      </c>
      <c r="P141" s="408">
        <f>IF(O141="",$R$2-M141,O141-M141)</f>
        <v>48</v>
      </c>
      <c r="Q141" s="414" t="str">
        <f t="shared" si="39"/>
        <v/>
      </c>
      <c r="R141" s="352">
        <f t="shared" si="35"/>
        <v>0</v>
      </c>
      <c r="S141" s="352"/>
      <c r="T141" s="163"/>
    </row>
    <row r="142" spans="1:20" s="26" customFormat="1" hidden="1" outlineLevel="1">
      <c r="A142" s="354" t="s">
        <v>54</v>
      </c>
      <c r="B142" s="361"/>
      <c r="C142" s="356"/>
      <c r="D142" s="356"/>
      <c r="E142" s="356"/>
      <c r="F142" s="425"/>
      <c r="G142" s="356"/>
      <c r="H142" s="950"/>
      <c r="I142" s="411"/>
      <c r="J142" s="426">
        <v>1</v>
      </c>
      <c r="K142" s="357">
        <f>I137-(K138+K139+K140+K141)</f>
        <v>166615.05999999994</v>
      </c>
      <c r="L142" s="348">
        <v>5</v>
      </c>
      <c r="M142" s="356">
        <v>43242</v>
      </c>
      <c r="N142" s="359">
        <v>166615.06</v>
      </c>
      <c r="O142" s="360">
        <v>43294</v>
      </c>
      <c r="P142" s="427">
        <f>IF(O142="",$R$2-M142,O142-M142)</f>
        <v>52</v>
      </c>
      <c r="Q142" s="414" t="str">
        <f t="shared" si="39"/>
        <v/>
      </c>
      <c r="R142" s="362">
        <f>IF(M142="",K142-N142,0)</f>
        <v>0</v>
      </c>
      <c r="S142" s="362"/>
      <c r="T142" s="163"/>
    </row>
    <row r="143" spans="1:20" s="107" customFormat="1" collapsed="1">
      <c r="A143" s="323" t="s">
        <v>57</v>
      </c>
      <c r="B143" s="330" t="s">
        <v>176</v>
      </c>
      <c r="C143" s="324">
        <v>41171</v>
      </c>
      <c r="D143" s="324">
        <f>DATE(YEAR(C143),MONTH(C143)+18,DAY(C143))</f>
        <v>41717</v>
      </c>
      <c r="E143" s="324">
        <v>41257</v>
      </c>
      <c r="F143" s="422">
        <v>41400</v>
      </c>
      <c r="G143" s="324">
        <f>DATE(YEAR(C143)+4,MONTH(C143),DAY(C143))</f>
        <v>42632</v>
      </c>
      <c r="H143" s="952">
        <v>41831</v>
      </c>
      <c r="I143" s="326">
        <v>177688</v>
      </c>
      <c r="J143" s="325"/>
      <c r="K143" s="326"/>
      <c r="L143" s="327"/>
      <c r="M143" s="324"/>
      <c r="N143" s="328">
        <f>SUM(N144:N147)</f>
        <v>177688.00000000003</v>
      </c>
      <c r="O143" s="329"/>
      <c r="P143" s="423"/>
      <c r="Q143" s="331">
        <f>SUM(Q144:Q147)</f>
        <v>0</v>
      </c>
      <c r="R143" s="331">
        <f>SUM(R144:R147)</f>
        <v>0</v>
      </c>
      <c r="S143" s="331"/>
      <c r="T143" s="166">
        <f>I143-(N143+Q143+R143)</f>
        <v>0</v>
      </c>
    </row>
    <row r="144" spans="1:20" s="26" customFormat="1" hidden="1" outlineLevel="1">
      <c r="A144" s="332" t="s">
        <v>57</v>
      </c>
      <c r="B144" s="351"/>
      <c r="C144" s="410" t="s">
        <v>212</v>
      </c>
      <c r="D144" s="345"/>
      <c r="E144" s="345"/>
      <c r="F144" s="424"/>
      <c r="G144" s="345"/>
      <c r="H144" s="949"/>
      <c r="I144" s="411"/>
      <c r="J144" s="346">
        <f>K144/$I$143</f>
        <v>0.3</v>
      </c>
      <c r="K144" s="347">
        <v>53306.400000000001</v>
      </c>
      <c r="L144" s="348">
        <v>1</v>
      </c>
      <c r="M144" s="345">
        <v>41466</v>
      </c>
      <c r="N144" s="349">
        <v>53306.400000000001</v>
      </c>
      <c r="O144" s="350">
        <v>41522</v>
      </c>
      <c r="P144" s="408">
        <f>IF(O144="",$R$2-M144,O144-M144)</f>
        <v>56</v>
      </c>
      <c r="Q144" s="352" t="str">
        <f>IF(N144="en attente",K144,"")</f>
        <v/>
      </c>
      <c r="R144" s="352">
        <f>IF(M144="",K144-N144,0)</f>
        <v>0</v>
      </c>
      <c r="S144" s="352"/>
      <c r="T144" s="163"/>
    </row>
    <row r="145" spans="1:20" s="26" customFormat="1" hidden="1" outlineLevel="1">
      <c r="A145" s="332" t="s">
        <v>57</v>
      </c>
      <c r="B145" s="351"/>
      <c r="C145" s="345"/>
      <c r="D145" s="345"/>
      <c r="E145" s="345"/>
      <c r="F145" s="424"/>
      <c r="G145" s="345"/>
      <c r="H145" s="949"/>
      <c r="I145" s="411"/>
      <c r="J145" s="346">
        <f>K145/$I$143+J144</f>
        <v>0.49159999549772637</v>
      </c>
      <c r="K145" s="347">
        <v>34045.020000000004</v>
      </c>
      <c r="L145" s="348">
        <v>2</v>
      </c>
      <c r="M145" s="345">
        <v>41717</v>
      </c>
      <c r="N145" s="349">
        <v>34045.020000000004</v>
      </c>
      <c r="O145" s="350">
        <v>41744</v>
      </c>
      <c r="P145" s="408">
        <f>IF(O145="",$R$2-M145,O145-M145)</f>
        <v>27</v>
      </c>
      <c r="Q145" s="352" t="str">
        <f>IF(N145="en attente",K145,"")</f>
        <v/>
      </c>
      <c r="R145" s="352">
        <f>IF(M145="",K145-N145,0)</f>
        <v>0</v>
      </c>
      <c r="S145" s="352"/>
      <c r="T145" s="163"/>
    </row>
    <row r="146" spans="1:20" s="26" customFormat="1" hidden="1" outlineLevel="1">
      <c r="A146" s="332" t="s">
        <v>57</v>
      </c>
      <c r="B146" s="351"/>
      <c r="C146" s="345"/>
      <c r="D146" s="345"/>
      <c r="E146" s="345"/>
      <c r="F146" s="424"/>
      <c r="G146" s="345"/>
      <c r="H146" s="949"/>
      <c r="I146" s="411"/>
      <c r="J146" s="346">
        <f>K146/$I$143+J145</f>
        <v>0.8</v>
      </c>
      <c r="K146" s="347">
        <v>54798.98</v>
      </c>
      <c r="L146" s="348">
        <v>3</v>
      </c>
      <c r="M146" s="345">
        <v>41855</v>
      </c>
      <c r="N146" s="349">
        <v>54798.98</v>
      </c>
      <c r="O146" s="350">
        <v>41884</v>
      </c>
      <c r="P146" s="408">
        <f>IF(O146="",$R$2-M146,O146-M146)</f>
        <v>29</v>
      </c>
      <c r="Q146" s="352" t="str">
        <f>IF(N146="en attente",K146,"")</f>
        <v/>
      </c>
      <c r="R146" s="352">
        <f>IF(M146="",K146-N146,0)</f>
        <v>0</v>
      </c>
      <c r="S146" s="352"/>
      <c r="T146" s="163"/>
    </row>
    <row r="147" spans="1:20" s="26" customFormat="1" hidden="1" outlineLevel="1">
      <c r="A147" s="354" t="s">
        <v>57</v>
      </c>
      <c r="B147" s="361"/>
      <c r="C147" s="356"/>
      <c r="D147" s="356"/>
      <c r="E147" s="356"/>
      <c r="F147" s="425"/>
      <c r="G147" s="356"/>
      <c r="H147" s="950"/>
      <c r="I147" s="411"/>
      <c r="J147" s="426">
        <f>K147/$I$143+J146</f>
        <v>1</v>
      </c>
      <c r="K147" s="357">
        <v>35537.599999999999</v>
      </c>
      <c r="L147" s="358">
        <v>4</v>
      </c>
      <c r="M147" s="356">
        <v>42411</v>
      </c>
      <c r="N147" s="359">
        <v>35537.599999999999</v>
      </c>
      <c r="O147" s="360">
        <v>42593</v>
      </c>
      <c r="P147" s="427"/>
      <c r="Q147" s="362" t="str">
        <f>IF(N147="en attente",K147,"")</f>
        <v/>
      </c>
      <c r="R147" s="362">
        <f>IF(M147="",K147-N147,0)</f>
        <v>0</v>
      </c>
      <c r="S147" s="362" t="s">
        <v>76</v>
      </c>
      <c r="T147" s="163"/>
    </row>
    <row r="148" spans="1:20" s="107" customFormat="1" collapsed="1">
      <c r="A148" s="400" t="s">
        <v>9</v>
      </c>
      <c r="B148" s="404" t="s">
        <v>175</v>
      </c>
      <c r="C148" s="412">
        <v>41170</v>
      </c>
      <c r="D148" s="324">
        <f>DATE(YEAR(C148),MONTH(C148)+18,DAY(C148))</f>
        <v>41716</v>
      </c>
      <c r="E148" s="412">
        <v>41253</v>
      </c>
      <c r="F148" s="417">
        <v>41554</v>
      </c>
      <c r="G148" s="324">
        <v>43360</v>
      </c>
      <c r="H148" s="952">
        <v>42633</v>
      </c>
      <c r="I148" s="326">
        <v>264000</v>
      </c>
      <c r="J148" s="407"/>
      <c r="K148" s="402"/>
      <c r="L148" s="413"/>
      <c r="M148" s="412"/>
      <c r="N148" s="405">
        <f>SUM(N149:N152)</f>
        <v>264000</v>
      </c>
      <c r="O148" s="418"/>
      <c r="P148" s="428"/>
      <c r="Q148" s="414">
        <f>SUM(Q149:Q152)</f>
        <v>0</v>
      </c>
      <c r="R148" s="414">
        <f>SUM(R149:R152)</f>
        <v>0</v>
      </c>
      <c r="S148" s="414"/>
      <c r="T148" s="166">
        <f>I148-(N148+Q148+R148)</f>
        <v>0</v>
      </c>
    </row>
    <row r="149" spans="1:20" s="26" customFormat="1" hidden="1" outlineLevel="1">
      <c r="A149" s="332" t="s">
        <v>9</v>
      </c>
      <c r="B149" s="351"/>
      <c r="C149" s="410" t="s">
        <v>212</v>
      </c>
      <c r="D149" s="345"/>
      <c r="E149" s="345"/>
      <c r="F149" s="424"/>
      <c r="G149" s="345" t="s">
        <v>245</v>
      </c>
      <c r="H149" s="953"/>
      <c r="I149" s="411"/>
      <c r="J149" s="346">
        <f>K149/$I$148</f>
        <v>0.3</v>
      </c>
      <c r="K149" s="347">
        <v>79200</v>
      </c>
      <c r="L149" s="348">
        <v>1</v>
      </c>
      <c r="M149" s="345">
        <v>41582</v>
      </c>
      <c r="N149" s="349">
        <v>79200</v>
      </c>
      <c r="O149" s="350">
        <v>41618</v>
      </c>
      <c r="P149" s="408">
        <f>IF(O149="",$R$2-M149,O149-M149)</f>
        <v>36</v>
      </c>
      <c r="Q149" s="414" t="str">
        <f t="shared" si="39"/>
        <v/>
      </c>
      <c r="R149" s="352">
        <f>IF(M149="",K149-N149,0)</f>
        <v>0</v>
      </c>
      <c r="S149" s="352"/>
      <c r="T149" s="163"/>
    </row>
    <row r="150" spans="1:20" s="107" customFormat="1" hidden="1" outlineLevel="1">
      <c r="A150" s="332" t="s">
        <v>9</v>
      </c>
      <c r="B150" s="404"/>
      <c r="C150" s="412"/>
      <c r="D150" s="412"/>
      <c r="E150" s="412"/>
      <c r="F150" s="417"/>
      <c r="G150" s="654"/>
      <c r="H150" s="954"/>
      <c r="I150" s="406"/>
      <c r="J150" s="346">
        <f>K150/$I$148+J149</f>
        <v>0.61050000000000004</v>
      </c>
      <c r="K150" s="347">
        <v>81972</v>
      </c>
      <c r="L150" s="348">
        <v>2</v>
      </c>
      <c r="M150" s="345">
        <v>42178</v>
      </c>
      <c r="N150" s="349">
        <v>81972</v>
      </c>
      <c r="O150" s="350">
        <v>42237</v>
      </c>
      <c r="P150" s="408">
        <f>IF(O150="",$R$2-M150,O150-M150)</f>
        <v>59</v>
      </c>
      <c r="Q150" s="414" t="str">
        <f t="shared" si="39"/>
        <v/>
      </c>
      <c r="R150" s="414">
        <f>IF(M150="",K150-N150,0)</f>
        <v>0</v>
      </c>
      <c r="S150" s="414"/>
      <c r="T150" s="163"/>
    </row>
    <row r="151" spans="1:20" s="26" customFormat="1" hidden="1" outlineLevel="1">
      <c r="A151" s="332" t="s">
        <v>9</v>
      </c>
      <c r="B151" s="351"/>
      <c r="C151" s="345"/>
      <c r="D151" s="345"/>
      <c r="E151" s="345"/>
      <c r="F151" s="424"/>
      <c r="G151" s="410"/>
      <c r="H151" s="949"/>
      <c r="I151" s="411"/>
      <c r="J151" s="433">
        <v>0.76859999999999995</v>
      </c>
      <c r="K151" s="347">
        <v>41738.400000000001</v>
      </c>
      <c r="L151" s="348">
        <v>3</v>
      </c>
      <c r="M151" s="345">
        <v>42376</v>
      </c>
      <c r="N151" s="349">
        <v>41738.400000000001</v>
      </c>
      <c r="O151" s="350">
        <v>42438</v>
      </c>
      <c r="P151" s="408">
        <f>IF(O151="",$R$2-M151,O151-M151)</f>
        <v>62</v>
      </c>
      <c r="Q151" s="414" t="str">
        <f t="shared" si="39"/>
        <v/>
      </c>
      <c r="R151" s="352">
        <f>IF(M151="",K151-N151,0)</f>
        <v>0</v>
      </c>
      <c r="S151" s="352"/>
      <c r="T151" s="163"/>
    </row>
    <row r="152" spans="1:20" s="26" customFormat="1" hidden="1" outlineLevel="1">
      <c r="A152" s="332" t="s">
        <v>9</v>
      </c>
      <c r="B152" s="351"/>
      <c r="C152" s="345"/>
      <c r="D152" s="345"/>
      <c r="E152" s="345"/>
      <c r="F152" s="424"/>
      <c r="G152" s="410"/>
      <c r="H152" s="949"/>
      <c r="I152" s="411"/>
      <c r="J152" s="346">
        <v>1</v>
      </c>
      <c r="K152" s="347">
        <f>I148-(K149+K150+K151)</f>
        <v>61089.600000000006</v>
      </c>
      <c r="L152" s="348">
        <v>4</v>
      </c>
      <c r="M152" s="345">
        <v>43025</v>
      </c>
      <c r="N152" s="349">
        <v>61089.599999999999</v>
      </c>
      <c r="O152" s="350">
        <v>43252</v>
      </c>
      <c r="P152" s="408"/>
      <c r="Q152" s="414" t="str">
        <f t="shared" si="39"/>
        <v/>
      </c>
      <c r="R152" s="352">
        <f>IF(M152="",K152-N152,0)</f>
        <v>0</v>
      </c>
      <c r="S152" s="352"/>
      <c r="T152" s="163"/>
    </row>
    <row r="153" spans="1:20" s="107" customFormat="1" collapsed="1">
      <c r="A153" s="323" t="s">
        <v>101</v>
      </c>
      <c r="B153" s="330" t="s">
        <v>174</v>
      </c>
      <c r="C153" s="324">
        <v>41179</v>
      </c>
      <c r="D153" s="324">
        <f>DATE(YEAR(C153),MONTH(C153)+18,DAY(C153))</f>
        <v>41725</v>
      </c>
      <c r="E153" s="324">
        <v>41253</v>
      </c>
      <c r="F153" s="422">
        <v>41452</v>
      </c>
      <c r="G153" s="324">
        <f>DATE(YEAR(C153)+4,MONTH(C153),DAY(C153))</f>
        <v>42640</v>
      </c>
      <c r="H153" s="952">
        <v>42275</v>
      </c>
      <c r="I153" s="326">
        <v>165000</v>
      </c>
      <c r="J153" s="325"/>
      <c r="K153" s="326"/>
      <c r="L153" s="327"/>
      <c r="M153" s="324"/>
      <c r="N153" s="328">
        <f>SUM(N154:N157)</f>
        <v>165000</v>
      </c>
      <c r="O153" s="329"/>
      <c r="P153" s="423"/>
      <c r="Q153" s="331">
        <f>SUM(Q154:Q157)</f>
        <v>0</v>
      </c>
      <c r="R153" s="331">
        <f>SUM(R154:R157)</f>
        <v>0</v>
      </c>
      <c r="S153" s="331"/>
      <c r="T153" s="166">
        <f>I153-(N153+Q153+R153)</f>
        <v>0</v>
      </c>
    </row>
    <row r="154" spans="1:20" s="26" customFormat="1" hidden="1" outlineLevel="1">
      <c r="A154" s="332" t="s">
        <v>101</v>
      </c>
      <c r="B154" s="351"/>
      <c r="C154" s="410" t="s">
        <v>212</v>
      </c>
      <c r="D154" s="345"/>
      <c r="E154" s="345"/>
      <c r="F154" s="424"/>
      <c r="G154" s="345"/>
      <c r="H154" s="949"/>
      <c r="I154" s="411"/>
      <c r="J154" s="346">
        <f>K154/$I$153</f>
        <v>0.3</v>
      </c>
      <c r="K154" s="347">
        <v>49500</v>
      </c>
      <c r="L154" s="348">
        <v>1</v>
      </c>
      <c r="M154" s="345">
        <v>41485</v>
      </c>
      <c r="N154" s="349">
        <v>49500</v>
      </c>
      <c r="O154" s="350">
        <v>41551</v>
      </c>
      <c r="P154" s="408">
        <f>IF(O154="",$R$2-M154,O154-M154)</f>
        <v>66</v>
      </c>
      <c r="Q154" s="414" t="str">
        <f t="shared" si="39"/>
        <v/>
      </c>
      <c r="R154" s="352">
        <f>IF(M154="",K154-N154,0)</f>
        <v>0</v>
      </c>
      <c r="S154" s="352"/>
      <c r="T154" s="163"/>
    </row>
    <row r="155" spans="1:20" s="26" customFormat="1" hidden="1" outlineLevel="1">
      <c r="A155" s="332" t="s">
        <v>101</v>
      </c>
      <c r="B155" s="351"/>
      <c r="C155" s="345"/>
      <c r="D155" s="345"/>
      <c r="E155" s="345"/>
      <c r="F155" s="424"/>
      <c r="G155" s="345"/>
      <c r="H155" s="949"/>
      <c r="I155" s="411"/>
      <c r="J155" s="346">
        <f>K155/$I$153+J154</f>
        <v>0.54269999999999996</v>
      </c>
      <c r="K155" s="347">
        <v>40045.5</v>
      </c>
      <c r="L155" s="348">
        <v>2</v>
      </c>
      <c r="M155" s="345">
        <v>41855</v>
      </c>
      <c r="N155" s="349">
        <v>40045.5</v>
      </c>
      <c r="O155" s="350">
        <v>41921</v>
      </c>
      <c r="P155" s="408">
        <f>IF(O155="",$R$2-M155,O155-M155)</f>
        <v>66</v>
      </c>
      <c r="Q155" s="414" t="str">
        <f t="shared" si="39"/>
        <v/>
      </c>
      <c r="R155" s="352">
        <f>IF(M155="",K155-N155,0)</f>
        <v>0</v>
      </c>
      <c r="S155" s="352"/>
      <c r="T155" s="163"/>
    </row>
    <row r="156" spans="1:20" s="26" customFormat="1" hidden="1" outlineLevel="1">
      <c r="A156" s="332" t="s">
        <v>101</v>
      </c>
      <c r="B156" s="351"/>
      <c r="C156" s="345"/>
      <c r="D156" s="345"/>
      <c r="E156" s="345"/>
      <c r="F156" s="424"/>
      <c r="G156" s="345"/>
      <c r="H156" s="949"/>
      <c r="I156" s="411"/>
      <c r="J156" s="346">
        <f>K156/$I$153+J155</f>
        <v>0.77839999999999998</v>
      </c>
      <c r="K156" s="347">
        <v>38890.5</v>
      </c>
      <c r="L156" s="348">
        <v>3</v>
      </c>
      <c r="M156" s="345">
        <v>42221</v>
      </c>
      <c r="N156" s="349">
        <v>38890.5</v>
      </c>
      <c r="O156" s="350">
        <v>42243</v>
      </c>
      <c r="P156" s="408">
        <f>IF(O156="",$R$2-M156,O156-M156)</f>
        <v>22</v>
      </c>
      <c r="Q156" s="414" t="str">
        <f t="shared" si="39"/>
        <v/>
      </c>
      <c r="R156" s="352">
        <f>IF(M156="",K156-N156,0)</f>
        <v>0</v>
      </c>
      <c r="S156" s="352"/>
      <c r="T156" s="163"/>
    </row>
    <row r="157" spans="1:20" s="26" customFormat="1" hidden="1" outlineLevel="1">
      <c r="A157" s="354" t="s">
        <v>101</v>
      </c>
      <c r="B157" s="361"/>
      <c r="C157" s="356"/>
      <c r="D157" s="356"/>
      <c r="E157" s="356"/>
      <c r="F157" s="425"/>
      <c r="G157" s="356"/>
      <c r="H157" s="950"/>
      <c r="I157" s="411"/>
      <c r="J157" s="426">
        <f>K157/$I$153+J156</f>
        <v>1</v>
      </c>
      <c r="K157" s="357">
        <v>36564</v>
      </c>
      <c r="L157" s="358">
        <v>4</v>
      </c>
      <c r="M157" s="356">
        <v>42656</v>
      </c>
      <c r="N157" s="359">
        <v>36564</v>
      </c>
      <c r="O157" s="360">
        <v>42859</v>
      </c>
      <c r="P157" s="427"/>
      <c r="Q157" s="414" t="str">
        <f t="shared" si="39"/>
        <v/>
      </c>
      <c r="R157" s="362">
        <f>IF(M157="",K157-N157,0)</f>
        <v>0</v>
      </c>
      <c r="S157" s="362"/>
      <c r="T157" s="163"/>
    </row>
    <row r="158" spans="1:20" s="8" customFormat="1" collapsed="1">
      <c r="A158" s="323" t="s">
        <v>42</v>
      </c>
      <c r="B158" s="396" t="s">
        <v>167</v>
      </c>
      <c r="C158" s="324">
        <v>41515</v>
      </c>
      <c r="D158" s="324">
        <f>DATE(YEAR(C158),MONTH(C158)+18,DAY(C158))</f>
        <v>42064</v>
      </c>
      <c r="E158" s="324">
        <v>41712</v>
      </c>
      <c r="F158" s="422">
        <v>41835</v>
      </c>
      <c r="G158" s="324">
        <f>DATE(YEAR(C158)+4,MONTH(C158),DAY(C158))</f>
        <v>42976</v>
      </c>
      <c r="H158" s="952">
        <v>42333</v>
      </c>
      <c r="I158" s="326">
        <v>500000</v>
      </c>
      <c r="J158" s="325"/>
      <c r="K158" s="326"/>
      <c r="L158" s="327"/>
      <c r="M158" s="330"/>
      <c r="N158" s="328">
        <f>SUM(N159:N162)</f>
        <v>500000</v>
      </c>
      <c r="O158" s="329"/>
      <c r="P158" s="423"/>
      <c r="Q158" s="331">
        <f>SUM(Q159:Q162)</f>
        <v>0</v>
      </c>
      <c r="R158" s="331">
        <f>SUM(R159:R162)</f>
        <v>0</v>
      </c>
      <c r="S158" s="331"/>
      <c r="T158" s="166">
        <f>I158-(N158+Q158+R158)</f>
        <v>0</v>
      </c>
    </row>
    <row r="159" spans="1:20" s="26" customFormat="1" hidden="1" outlineLevel="1">
      <c r="A159" s="332" t="s">
        <v>42</v>
      </c>
      <c r="B159" s="351"/>
      <c r="C159" s="410" t="s">
        <v>212</v>
      </c>
      <c r="D159" s="345"/>
      <c r="E159" s="345"/>
      <c r="F159" s="424"/>
      <c r="G159" s="345"/>
      <c r="H159" s="949"/>
      <c r="I159" s="411"/>
      <c r="J159" s="346">
        <f>K159/I158</f>
        <v>0.3</v>
      </c>
      <c r="K159" s="347">
        <v>150000</v>
      </c>
      <c r="L159" s="348">
        <v>1</v>
      </c>
      <c r="M159" s="345">
        <v>41939</v>
      </c>
      <c r="N159" s="349">
        <v>150000</v>
      </c>
      <c r="O159" s="350">
        <v>41984</v>
      </c>
      <c r="P159" s="408">
        <f>IF(O159="",$R$2-M159,O159-M159)</f>
        <v>45</v>
      </c>
      <c r="Q159" s="414" t="str">
        <f t="shared" si="39"/>
        <v/>
      </c>
      <c r="R159" s="352">
        <f>IF(M159="",K159-N159,0)</f>
        <v>0</v>
      </c>
      <c r="S159" s="455"/>
      <c r="T159" s="163"/>
    </row>
    <row r="160" spans="1:20" s="26" customFormat="1" hidden="1" outlineLevel="1">
      <c r="A160" s="332" t="s">
        <v>42</v>
      </c>
      <c r="B160" s="351"/>
      <c r="C160" s="345"/>
      <c r="D160" s="345"/>
      <c r="E160" s="345"/>
      <c r="F160" s="424"/>
      <c r="G160" s="345"/>
      <c r="H160" s="949"/>
      <c r="I160" s="411"/>
      <c r="J160" s="346">
        <f>K160/$I$158+$J$159</f>
        <v>0.55289999999999995</v>
      </c>
      <c r="K160" s="347">
        <v>126450</v>
      </c>
      <c r="L160" s="348">
        <v>2</v>
      </c>
      <c r="M160" s="345">
        <v>42187</v>
      </c>
      <c r="N160" s="349">
        <v>126450</v>
      </c>
      <c r="O160" s="350">
        <v>42234</v>
      </c>
      <c r="P160" s="408">
        <f>IF(O160="",$R$2-M160,O160-M160)</f>
        <v>47</v>
      </c>
      <c r="Q160" s="414" t="str">
        <f t="shared" si="39"/>
        <v/>
      </c>
      <c r="R160" s="352">
        <f>IF(M160="",K160-N160,0)</f>
        <v>0</v>
      </c>
      <c r="S160" s="352"/>
      <c r="T160" s="163"/>
    </row>
    <row r="161" spans="1:20" s="26" customFormat="1" hidden="1" outlineLevel="1">
      <c r="A161" s="332" t="s">
        <v>42</v>
      </c>
      <c r="B161" s="351"/>
      <c r="C161" s="345"/>
      <c r="D161" s="345"/>
      <c r="E161" s="345"/>
      <c r="F161" s="424"/>
      <c r="G161" s="345"/>
      <c r="H161" s="949"/>
      <c r="I161" s="411"/>
      <c r="J161" s="433">
        <v>0.74490000000000001</v>
      </c>
      <c r="K161" s="347">
        <v>96000</v>
      </c>
      <c r="L161" s="348">
        <v>3</v>
      </c>
      <c r="M161" s="345">
        <v>42314</v>
      </c>
      <c r="N161" s="349">
        <v>96000</v>
      </c>
      <c r="O161" s="350">
        <v>42341</v>
      </c>
      <c r="P161" s="408">
        <f>IF(O161="",$R$2-M161,O161-M161)</f>
        <v>27</v>
      </c>
      <c r="Q161" s="414" t="str">
        <f t="shared" si="39"/>
        <v/>
      </c>
      <c r="R161" s="352">
        <f>IF(M161="",K161-N161,0)</f>
        <v>0</v>
      </c>
      <c r="S161" s="352"/>
      <c r="T161" s="163"/>
    </row>
    <row r="162" spans="1:20" s="26" customFormat="1" hidden="1" outlineLevel="1">
      <c r="A162" s="354" t="s">
        <v>42</v>
      </c>
      <c r="B162" s="361"/>
      <c r="C162" s="356"/>
      <c r="D162" s="356"/>
      <c r="E162" s="356"/>
      <c r="F162" s="425"/>
      <c r="G162" s="356"/>
      <c r="H162" s="950"/>
      <c r="I162" s="411"/>
      <c r="J162" s="426">
        <v>1</v>
      </c>
      <c r="K162" s="357">
        <f>I158-(K159+K160+K161)</f>
        <v>127550</v>
      </c>
      <c r="L162" s="358">
        <v>4</v>
      </c>
      <c r="M162" s="356">
        <v>42900</v>
      </c>
      <c r="N162" s="359">
        <v>127550</v>
      </c>
      <c r="O162" s="360">
        <v>43011</v>
      </c>
      <c r="P162" s="427"/>
      <c r="Q162" s="414" t="str">
        <f t="shared" si="39"/>
        <v/>
      </c>
      <c r="R162" s="352">
        <f>IF(M162="",K162-N162,0)</f>
        <v>0</v>
      </c>
      <c r="S162" s="362"/>
      <c r="T162" s="163"/>
    </row>
    <row r="163" spans="1:20" s="107" customFormat="1" collapsed="1">
      <c r="A163" s="323" t="s">
        <v>50</v>
      </c>
      <c r="B163" s="330" t="s">
        <v>173</v>
      </c>
      <c r="C163" s="324">
        <v>41486</v>
      </c>
      <c r="D163" s="324">
        <f>DATE(YEAR(C163),MONTH(C163)+18,DAY(C163))</f>
        <v>42035</v>
      </c>
      <c r="E163" s="324">
        <v>41621</v>
      </c>
      <c r="F163" s="422">
        <v>41900</v>
      </c>
      <c r="G163" s="324">
        <f>DATE(YEAR(C163)+4,MONTH(C163),DAY(C163))</f>
        <v>42947</v>
      </c>
      <c r="H163" s="952">
        <v>42576</v>
      </c>
      <c r="I163" s="326">
        <v>225000</v>
      </c>
      <c r="J163" s="325"/>
      <c r="K163" s="326"/>
      <c r="L163" s="327"/>
      <c r="M163" s="324"/>
      <c r="N163" s="328">
        <f>SUM(N164:N167)</f>
        <v>225000</v>
      </c>
      <c r="O163" s="329"/>
      <c r="P163" s="423"/>
      <c r="Q163" s="331">
        <f>SUM(Q164:Q167)</f>
        <v>0</v>
      </c>
      <c r="R163" s="331">
        <f>SUM(R164:R167)</f>
        <v>0</v>
      </c>
      <c r="S163" s="331"/>
      <c r="T163" s="166">
        <f>I163-(N163+Q163+R163)</f>
        <v>0</v>
      </c>
    </row>
    <row r="164" spans="1:20" s="26" customFormat="1" hidden="1" outlineLevel="1">
      <c r="A164" s="332" t="s">
        <v>50</v>
      </c>
      <c r="B164" s="351"/>
      <c r="C164" s="410" t="s">
        <v>212</v>
      </c>
      <c r="D164" s="345"/>
      <c r="E164" s="345"/>
      <c r="F164" s="424"/>
      <c r="G164" s="345"/>
      <c r="H164" s="949"/>
      <c r="I164" s="411"/>
      <c r="J164" s="346">
        <f>K164/$I$163</f>
        <v>0.3</v>
      </c>
      <c r="K164" s="347">
        <v>67500</v>
      </c>
      <c r="L164" s="348">
        <v>1</v>
      </c>
      <c r="M164" s="345">
        <v>41925</v>
      </c>
      <c r="N164" s="349">
        <v>67500</v>
      </c>
      <c r="O164" s="350">
        <v>41955</v>
      </c>
      <c r="P164" s="408">
        <f>IF(O164="",$R$2-M164,O164-M164)</f>
        <v>30</v>
      </c>
      <c r="Q164" s="414" t="str">
        <f t="shared" si="39"/>
        <v/>
      </c>
      <c r="R164" s="352">
        <f>IF(M164="",K164-N164,0)</f>
        <v>0</v>
      </c>
      <c r="S164" s="455"/>
      <c r="T164" s="163"/>
    </row>
    <row r="165" spans="1:20" s="26" customFormat="1" hidden="1" outlineLevel="1">
      <c r="A165" s="332" t="s">
        <v>50</v>
      </c>
      <c r="B165" s="351"/>
      <c r="C165" s="345"/>
      <c r="D165" s="345"/>
      <c r="E165" s="345"/>
      <c r="F165" s="424"/>
      <c r="G165" s="345"/>
      <c r="H165" s="949"/>
      <c r="I165" s="411"/>
      <c r="J165" s="346">
        <f>K165/$I$163+J164</f>
        <v>0.4037</v>
      </c>
      <c r="K165" s="347">
        <v>23332.5</v>
      </c>
      <c r="L165" s="348">
        <v>2</v>
      </c>
      <c r="M165" s="345">
        <v>42178</v>
      </c>
      <c r="N165" s="349">
        <v>23332.5</v>
      </c>
      <c r="O165" s="350">
        <v>42234</v>
      </c>
      <c r="P165" s="408">
        <f>IF(O165="",$R$2-M165,O165-M165)</f>
        <v>56</v>
      </c>
      <c r="Q165" s="414" t="str">
        <f t="shared" si="39"/>
        <v/>
      </c>
      <c r="R165" s="352">
        <f>IF(M165="",K165-N165,0)</f>
        <v>0</v>
      </c>
      <c r="S165" s="455"/>
      <c r="T165" s="163"/>
    </row>
    <row r="166" spans="1:20" s="26" customFormat="1" hidden="1" outlineLevel="1">
      <c r="A166" s="332" t="s">
        <v>50</v>
      </c>
      <c r="B166" s="351"/>
      <c r="C166" s="345"/>
      <c r="D166" s="345"/>
      <c r="E166" s="345"/>
      <c r="F166" s="424"/>
      <c r="G166" s="345"/>
      <c r="H166" s="949"/>
      <c r="I166" s="411"/>
      <c r="J166" s="433">
        <v>0.7994</v>
      </c>
      <c r="K166" s="347">
        <v>89032.5</v>
      </c>
      <c r="L166" s="348">
        <v>3</v>
      </c>
      <c r="M166" s="345">
        <v>42376</v>
      </c>
      <c r="N166" s="349">
        <v>89032.5</v>
      </c>
      <c r="O166" s="350">
        <v>42431</v>
      </c>
      <c r="P166" s="408">
        <f>IF(O166="",$R$2-M166,O166-M166)</f>
        <v>55</v>
      </c>
      <c r="Q166" s="414" t="str">
        <f t="shared" si="39"/>
        <v/>
      </c>
      <c r="R166" s="352">
        <f>IF(M166="",K166-N166,0)</f>
        <v>0</v>
      </c>
      <c r="S166" s="352"/>
      <c r="T166" s="163"/>
    </row>
    <row r="167" spans="1:20" s="26" customFormat="1" hidden="1" outlineLevel="1">
      <c r="A167" s="332" t="s">
        <v>50</v>
      </c>
      <c r="B167" s="351"/>
      <c r="C167" s="345"/>
      <c r="D167" s="345"/>
      <c r="E167" s="345"/>
      <c r="F167" s="424"/>
      <c r="G167" s="345"/>
      <c r="H167" s="949"/>
      <c r="I167" s="411"/>
      <c r="J167" s="346">
        <f>K167/$I$163+J166</f>
        <v>1</v>
      </c>
      <c r="K167" s="347">
        <f>225000-(K164+K165+K166)</f>
        <v>45135</v>
      </c>
      <c r="L167" s="348">
        <v>4</v>
      </c>
      <c r="M167" s="345">
        <v>42999</v>
      </c>
      <c r="N167" s="349">
        <v>45135</v>
      </c>
      <c r="O167" s="350">
        <v>43041</v>
      </c>
      <c r="P167" s="408"/>
      <c r="Q167" s="414" t="str">
        <f t="shared" si="39"/>
        <v/>
      </c>
      <c r="R167" s="352">
        <f>IF(M167="",K167-N167,0)</f>
        <v>0</v>
      </c>
      <c r="S167" s="352"/>
      <c r="T167" s="163"/>
    </row>
    <row r="168" spans="1:20" s="107" customFormat="1" collapsed="1">
      <c r="A168" s="323" t="s">
        <v>51</v>
      </c>
      <c r="B168" s="330" t="s">
        <v>172</v>
      </c>
      <c r="C168" s="324">
        <v>41465</v>
      </c>
      <c r="D168" s="324">
        <f>DATE(YEAR(C168),MONTH(C168)+18,DAY(C168))</f>
        <v>42014</v>
      </c>
      <c r="E168" s="324">
        <v>41621</v>
      </c>
      <c r="F168" s="422">
        <v>41801</v>
      </c>
      <c r="G168" s="324">
        <f>DATE(YEAR(C168)+4,MONTH(C168),DAY(C168))</f>
        <v>42926</v>
      </c>
      <c r="H168" s="952">
        <v>42726</v>
      </c>
      <c r="I168" s="326">
        <v>660000</v>
      </c>
      <c r="J168" s="325"/>
      <c r="K168" s="326"/>
      <c r="L168" s="327"/>
      <c r="M168" s="324"/>
      <c r="N168" s="328">
        <f>SUM(N169:N174)</f>
        <v>660000</v>
      </c>
      <c r="O168" s="329"/>
      <c r="P168" s="423"/>
      <c r="Q168" s="331">
        <f>SUM(Q169:Q174)</f>
        <v>0</v>
      </c>
      <c r="R168" s="331">
        <f>SUM(R169:R174)</f>
        <v>0</v>
      </c>
      <c r="S168" s="331"/>
      <c r="T168" s="166">
        <f>I168-(N168+Q168+R168)</f>
        <v>0</v>
      </c>
    </row>
    <row r="169" spans="1:20" s="26" customFormat="1" hidden="1" outlineLevel="1">
      <c r="A169" s="332" t="s">
        <v>51</v>
      </c>
      <c r="B169" s="351"/>
      <c r="C169" s="410" t="s">
        <v>212</v>
      </c>
      <c r="D169" s="345"/>
      <c r="E169" s="345"/>
      <c r="F169" s="424"/>
      <c r="G169" s="345"/>
      <c r="H169" s="955"/>
      <c r="I169" s="411"/>
      <c r="J169" s="346">
        <f>K169/$I$168</f>
        <v>0.3</v>
      </c>
      <c r="K169" s="347">
        <v>198000</v>
      </c>
      <c r="L169" s="348">
        <v>1</v>
      </c>
      <c r="M169" s="345">
        <v>41817</v>
      </c>
      <c r="N169" s="349">
        <v>198000</v>
      </c>
      <c r="O169" s="350">
        <v>41862</v>
      </c>
      <c r="P169" s="408">
        <f t="shared" ref="P169:P174" si="40">IF(O169="",$R$2-M169,O169-M169)</f>
        <v>45</v>
      </c>
      <c r="Q169" s="414" t="str">
        <f t="shared" si="39"/>
        <v/>
      </c>
      <c r="R169" s="352">
        <f t="shared" ref="R169:R174" si="41">IF(M169="",K169-N169,0)</f>
        <v>0</v>
      </c>
      <c r="S169" s="352"/>
      <c r="T169" s="163"/>
    </row>
    <row r="170" spans="1:20" s="107" customFormat="1" hidden="1" outlineLevel="1">
      <c r="A170" s="332" t="s">
        <v>51</v>
      </c>
      <c r="B170" s="404"/>
      <c r="C170" s="412"/>
      <c r="D170" s="412"/>
      <c r="E170" s="412"/>
      <c r="F170" s="417"/>
      <c r="G170" s="412"/>
      <c r="H170" s="954"/>
      <c r="I170" s="406"/>
      <c r="J170" s="346">
        <f>K170/$I$168+J169</f>
        <v>0.35649999999999998</v>
      </c>
      <c r="K170" s="347">
        <v>37290</v>
      </c>
      <c r="L170" s="348">
        <v>2</v>
      </c>
      <c r="M170" s="345">
        <v>42178</v>
      </c>
      <c r="N170" s="349">
        <v>37290</v>
      </c>
      <c r="O170" s="350">
        <v>42237</v>
      </c>
      <c r="P170" s="408">
        <f t="shared" si="40"/>
        <v>59</v>
      </c>
      <c r="Q170" s="414" t="str">
        <f t="shared" si="39"/>
        <v/>
      </c>
      <c r="R170" s="414">
        <f t="shared" si="41"/>
        <v>0</v>
      </c>
      <c r="S170" s="414"/>
      <c r="T170" s="163"/>
    </row>
    <row r="171" spans="1:20" s="26" customFormat="1" hidden="1" outlineLevel="1">
      <c r="A171" s="332" t="s">
        <v>51</v>
      </c>
      <c r="B171" s="351"/>
      <c r="C171" s="345"/>
      <c r="D171" s="345"/>
      <c r="E171" s="345"/>
      <c r="F171" s="424"/>
      <c r="G171" s="345"/>
      <c r="H171" s="949"/>
      <c r="I171" s="411"/>
      <c r="J171" s="433">
        <v>0.49299999999999999</v>
      </c>
      <c r="K171" s="347">
        <v>90090</v>
      </c>
      <c r="L171" s="348">
        <v>3</v>
      </c>
      <c r="M171" s="345">
        <v>42314</v>
      </c>
      <c r="N171" s="349">
        <v>90090</v>
      </c>
      <c r="O171" s="350">
        <v>42341</v>
      </c>
      <c r="P171" s="408">
        <f t="shared" si="40"/>
        <v>27</v>
      </c>
      <c r="Q171" s="414" t="str">
        <f t="shared" si="39"/>
        <v/>
      </c>
      <c r="R171" s="352">
        <f t="shared" si="41"/>
        <v>0</v>
      </c>
      <c r="S171" s="352"/>
      <c r="T171" s="163"/>
    </row>
    <row r="172" spans="1:20" s="26" customFormat="1" hidden="1" outlineLevel="1">
      <c r="A172" s="332" t="s">
        <v>51</v>
      </c>
      <c r="B172" s="351"/>
      <c r="C172" s="345"/>
      <c r="D172" s="345"/>
      <c r="E172" s="345"/>
      <c r="F172" s="424"/>
      <c r="G172" s="345"/>
      <c r="H172" s="949"/>
      <c r="I172" s="411"/>
      <c r="J172" s="433">
        <v>0.68030000000000002</v>
      </c>
      <c r="K172" s="347">
        <v>123618</v>
      </c>
      <c r="L172" s="348">
        <v>4</v>
      </c>
      <c r="M172" s="345">
        <v>42432</v>
      </c>
      <c r="N172" s="349">
        <v>123618</v>
      </c>
      <c r="O172" s="350">
        <v>42466</v>
      </c>
      <c r="P172" s="408">
        <f t="shared" si="40"/>
        <v>34</v>
      </c>
      <c r="Q172" s="414" t="str">
        <f t="shared" si="39"/>
        <v/>
      </c>
      <c r="R172" s="352">
        <f t="shared" si="41"/>
        <v>0</v>
      </c>
      <c r="S172" s="352"/>
      <c r="T172" s="163"/>
    </row>
    <row r="173" spans="1:20" s="26" customFormat="1" hidden="1" outlineLevel="1">
      <c r="A173" s="332" t="s">
        <v>51</v>
      </c>
      <c r="B173" s="351"/>
      <c r="C173" s="345"/>
      <c r="D173" s="345"/>
      <c r="E173" s="345"/>
      <c r="F173" s="424"/>
      <c r="G173" s="345"/>
      <c r="H173" s="949"/>
      <c r="I173" s="411"/>
      <c r="J173" s="433">
        <v>0.78720000000000001</v>
      </c>
      <c r="K173" s="347">
        <v>70554</v>
      </c>
      <c r="L173" s="348">
        <v>7</v>
      </c>
      <c r="M173" s="345">
        <v>42537</v>
      </c>
      <c r="N173" s="349">
        <v>70554</v>
      </c>
      <c r="O173" s="350">
        <v>42558</v>
      </c>
      <c r="P173" s="408">
        <f t="shared" si="40"/>
        <v>21</v>
      </c>
      <c r="Q173" s="414" t="str">
        <f t="shared" si="39"/>
        <v/>
      </c>
      <c r="R173" s="352">
        <f t="shared" si="41"/>
        <v>0</v>
      </c>
      <c r="S173" s="352"/>
      <c r="T173" s="163"/>
    </row>
    <row r="174" spans="1:20" s="26" customFormat="1" hidden="1" outlineLevel="1">
      <c r="A174" s="354" t="s">
        <v>51</v>
      </c>
      <c r="B174" s="361"/>
      <c r="C174" s="356"/>
      <c r="D174" s="356"/>
      <c r="E174" s="356"/>
      <c r="F174" s="425"/>
      <c r="G174" s="356"/>
      <c r="H174" s="950"/>
      <c r="I174" s="411"/>
      <c r="J174" s="426">
        <v>1</v>
      </c>
      <c r="K174" s="357">
        <f>I168-(K169+K170+K171+K172+K173)</f>
        <v>140448</v>
      </c>
      <c r="L174" s="358">
        <v>8</v>
      </c>
      <c r="M174" s="356">
        <v>43298</v>
      </c>
      <c r="N174" s="359">
        <v>140448</v>
      </c>
      <c r="O174" s="360">
        <v>43389</v>
      </c>
      <c r="P174" s="427">
        <f t="shared" si="40"/>
        <v>91</v>
      </c>
      <c r="Q174" s="414" t="str">
        <f t="shared" si="39"/>
        <v/>
      </c>
      <c r="R174" s="362">
        <f t="shared" si="41"/>
        <v>0</v>
      </c>
      <c r="S174" s="362"/>
      <c r="T174" s="163"/>
    </row>
    <row r="175" spans="1:20" s="107" customFormat="1">
      <c r="A175" s="400" t="s">
        <v>51</v>
      </c>
      <c r="B175" s="404" t="s">
        <v>171</v>
      </c>
      <c r="C175" s="412">
        <v>41493</v>
      </c>
      <c r="D175" s="324">
        <f>DATE(YEAR(C175),MONTH(C175)+18,DAY(C175))</f>
        <v>42042</v>
      </c>
      <c r="E175" s="324">
        <v>41621</v>
      </c>
      <c r="F175" s="422">
        <v>41801</v>
      </c>
      <c r="G175" s="324">
        <f>DATE(YEAR(C175)+4,MONTH(C175),DAY(C175))</f>
        <v>42954</v>
      </c>
      <c r="H175" s="952">
        <v>42726</v>
      </c>
      <c r="I175" s="326">
        <v>1</v>
      </c>
      <c r="J175" s="407"/>
      <c r="K175" s="402"/>
      <c r="L175" s="413"/>
      <c r="M175" s="412"/>
      <c r="N175" s="414">
        <f>SUM(N176)</f>
        <v>0</v>
      </c>
      <c r="O175" s="418"/>
      <c r="P175" s="428"/>
      <c r="Q175" s="415">
        <f>SUM(Q176)</f>
        <v>0</v>
      </c>
      <c r="R175" s="414">
        <f>SUM(R176)</f>
        <v>0</v>
      </c>
      <c r="S175" s="414"/>
      <c r="T175" s="166">
        <f>I175-(N175+Q175+R175)</f>
        <v>1</v>
      </c>
    </row>
    <row r="176" spans="1:20" s="26" customFormat="1">
      <c r="A176" s="332" t="s">
        <v>51</v>
      </c>
      <c r="B176" s="351"/>
      <c r="C176" s="410" t="s">
        <v>212</v>
      </c>
      <c r="D176" s="345"/>
      <c r="E176" s="345"/>
      <c r="F176" s="424"/>
      <c r="G176" s="345"/>
      <c r="H176" s="955"/>
      <c r="I176" s="347"/>
      <c r="J176" s="353"/>
      <c r="K176" s="347">
        <v>1</v>
      </c>
      <c r="L176" s="348">
        <v>1</v>
      </c>
      <c r="M176" s="345">
        <v>43298</v>
      </c>
      <c r="N176" s="349" t="s">
        <v>373</v>
      </c>
      <c r="O176" s="350"/>
      <c r="P176" s="408"/>
      <c r="Q176" s="414" t="str">
        <f t="shared" si="39"/>
        <v/>
      </c>
      <c r="R176" s="352">
        <f>IF(M176="",K176-N176,0)</f>
        <v>0</v>
      </c>
      <c r="S176" s="352"/>
      <c r="T176" s="163"/>
    </row>
    <row r="177" spans="1:20" s="107" customFormat="1" collapsed="1">
      <c r="A177" s="323" t="s">
        <v>55</v>
      </c>
      <c r="B177" s="330" t="s">
        <v>170</v>
      </c>
      <c r="C177" s="324">
        <v>41484</v>
      </c>
      <c r="D177" s="324">
        <f>DATE(YEAR(C177),MONTH(C177)+18,DAY(C177))</f>
        <v>42033</v>
      </c>
      <c r="E177" s="324">
        <v>41621</v>
      </c>
      <c r="F177" s="422">
        <v>41729</v>
      </c>
      <c r="G177" s="611">
        <v>43674</v>
      </c>
      <c r="H177" s="952">
        <v>43131</v>
      </c>
      <c r="I177" s="326">
        <v>680000</v>
      </c>
      <c r="J177" s="325"/>
      <c r="K177" s="326"/>
      <c r="L177" s="327"/>
      <c r="M177" s="324"/>
      <c r="N177" s="328">
        <f>SUM(N178:N183)</f>
        <v>680000</v>
      </c>
      <c r="O177" s="329"/>
      <c r="P177" s="423"/>
      <c r="Q177" s="331">
        <f>SUM(Q178:Q183)</f>
        <v>0</v>
      </c>
      <c r="R177" s="331">
        <f>SUM(R178:R183)</f>
        <v>0</v>
      </c>
      <c r="S177" s="331"/>
      <c r="T177" s="166">
        <f>I177-(N177+Q177+R177)</f>
        <v>0</v>
      </c>
    </row>
    <row r="178" spans="1:20" s="26" customFormat="1" hidden="1" outlineLevel="1">
      <c r="A178" s="332" t="s">
        <v>55</v>
      </c>
      <c r="B178" s="351"/>
      <c r="C178" s="410" t="s">
        <v>212</v>
      </c>
      <c r="D178" s="345"/>
      <c r="E178" s="345"/>
      <c r="F178" s="424"/>
      <c r="G178" s="410" t="s">
        <v>241</v>
      </c>
      <c r="H178" s="949"/>
      <c r="I178" s="411"/>
      <c r="J178" s="346">
        <f>K178/I177</f>
        <v>0.3</v>
      </c>
      <c r="K178" s="347">
        <v>204000</v>
      </c>
      <c r="L178" s="348">
        <v>1</v>
      </c>
      <c r="M178" s="345">
        <v>41746</v>
      </c>
      <c r="N178" s="349">
        <v>204000</v>
      </c>
      <c r="O178" s="350">
        <v>41779</v>
      </c>
      <c r="P178" s="408">
        <f t="shared" ref="P178:P183" si="42">IF(O178="",$R$2-M178,O178-M178)</f>
        <v>33</v>
      </c>
      <c r="Q178" s="414" t="str">
        <f t="shared" si="39"/>
        <v/>
      </c>
      <c r="R178" s="352">
        <f t="shared" ref="R178:R273" si="43">IF(M178="",K178-N178,0)</f>
        <v>0</v>
      </c>
      <c r="S178" s="352"/>
      <c r="T178" s="163"/>
    </row>
    <row r="179" spans="1:20" s="107" customFormat="1" hidden="1" outlineLevel="1">
      <c r="A179" s="332" t="s">
        <v>55</v>
      </c>
      <c r="B179" s="404"/>
      <c r="C179" s="412"/>
      <c r="D179" s="412"/>
      <c r="E179" s="412"/>
      <c r="F179" s="417"/>
      <c r="G179" s="412"/>
      <c r="H179" s="954"/>
      <c r="I179" s="406"/>
      <c r="J179" s="346">
        <f>K179/$I$177+J178</f>
        <v>0.40789999999999998</v>
      </c>
      <c r="K179" s="347">
        <v>73372</v>
      </c>
      <c r="L179" s="348">
        <v>2</v>
      </c>
      <c r="M179" s="345">
        <v>42178</v>
      </c>
      <c r="N179" s="349">
        <v>73372</v>
      </c>
      <c r="O179" s="350">
        <v>42220</v>
      </c>
      <c r="P179" s="408">
        <f t="shared" si="42"/>
        <v>42</v>
      </c>
      <c r="Q179" s="414" t="str">
        <f t="shared" si="39"/>
        <v/>
      </c>
      <c r="R179" s="414">
        <f t="shared" si="43"/>
        <v>0</v>
      </c>
      <c r="S179" s="414"/>
      <c r="T179" s="163"/>
    </row>
    <row r="180" spans="1:20" s="26" customFormat="1" hidden="1" outlineLevel="1">
      <c r="A180" s="332" t="s">
        <v>55</v>
      </c>
      <c r="B180" s="351"/>
      <c r="C180" s="345"/>
      <c r="D180" s="345"/>
      <c r="E180" s="345"/>
      <c r="F180" s="424"/>
      <c r="G180" s="345"/>
      <c r="H180" s="949"/>
      <c r="I180" s="411"/>
      <c r="J180" s="433">
        <v>0.57169999999999999</v>
      </c>
      <c r="K180" s="347">
        <v>111384</v>
      </c>
      <c r="L180" s="348">
        <v>3</v>
      </c>
      <c r="M180" s="345">
        <v>42409</v>
      </c>
      <c r="N180" s="349">
        <v>111384</v>
      </c>
      <c r="O180" s="350">
        <v>42438</v>
      </c>
      <c r="P180" s="408">
        <f t="shared" si="42"/>
        <v>29</v>
      </c>
      <c r="Q180" s="414" t="str">
        <f t="shared" si="39"/>
        <v/>
      </c>
      <c r="R180" s="352">
        <f t="shared" si="43"/>
        <v>0</v>
      </c>
      <c r="S180" s="352"/>
      <c r="T180" s="163"/>
    </row>
    <row r="181" spans="1:20" s="26" customFormat="1" hidden="1" outlineLevel="1">
      <c r="A181" s="332" t="s">
        <v>55</v>
      </c>
      <c r="B181" s="351"/>
      <c r="C181" s="345"/>
      <c r="D181" s="345"/>
      <c r="E181" s="345"/>
      <c r="F181" s="424"/>
      <c r="G181" s="345"/>
      <c r="H181" s="949"/>
      <c r="I181" s="411"/>
      <c r="J181" s="433">
        <v>0.65700000000000003</v>
      </c>
      <c r="K181" s="347">
        <v>58004</v>
      </c>
      <c r="L181" s="348">
        <v>4</v>
      </c>
      <c r="M181" s="345">
        <v>42516</v>
      </c>
      <c r="N181" s="349">
        <v>58004</v>
      </c>
      <c r="O181" s="350">
        <v>42549</v>
      </c>
      <c r="P181" s="408">
        <f t="shared" si="42"/>
        <v>33</v>
      </c>
      <c r="Q181" s="414" t="str">
        <f t="shared" si="39"/>
        <v/>
      </c>
      <c r="R181" s="352">
        <f t="shared" si="43"/>
        <v>0</v>
      </c>
      <c r="S181" s="352"/>
      <c r="T181" s="163"/>
    </row>
    <row r="182" spans="1:20" s="26" customFormat="1" hidden="1" outlineLevel="1">
      <c r="A182" s="332" t="s">
        <v>55</v>
      </c>
      <c r="B182" s="351"/>
      <c r="C182" s="345"/>
      <c r="D182" s="345"/>
      <c r="E182" s="345"/>
      <c r="F182" s="424"/>
      <c r="G182" s="345"/>
      <c r="H182" s="949"/>
      <c r="I182" s="411"/>
      <c r="J182" s="433">
        <v>0.79949999999999999</v>
      </c>
      <c r="K182" s="347">
        <f>I177*J182-(K178+K179+K180+K181)</f>
        <v>96900</v>
      </c>
      <c r="L182" s="348">
        <v>5</v>
      </c>
      <c r="M182" s="345">
        <v>42866</v>
      </c>
      <c r="N182" s="349">
        <v>96900</v>
      </c>
      <c r="O182" s="350">
        <v>42899</v>
      </c>
      <c r="P182" s="408">
        <f t="shared" si="42"/>
        <v>33</v>
      </c>
      <c r="Q182" s="414" t="str">
        <f t="shared" si="39"/>
        <v/>
      </c>
      <c r="R182" s="352"/>
      <c r="S182" s="352"/>
      <c r="T182" s="163"/>
    </row>
    <row r="183" spans="1:20" s="26" customFormat="1" hidden="1" outlineLevel="1">
      <c r="A183" s="332" t="s">
        <v>55</v>
      </c>
      <c r="B183" s="351"/>
      <c r="C183" s="345"/>
      <c r="D183" s="345"/>
      <c r="E183" s="345"/>
      <c r="F183" s="424"/>
      <c r="G183" s="345"/>
      <c r="H183" s="949"/>
      <c r="I183" s="411"/>
      <c r="J183" s="346">
        <v>1</v>
      </c>
      <c r="K183" s="347">
        <f>I177-K178-K179-K180-K181-K182</f>
        <v>136340</v>
      </c>
      <c r="L183" s="348">
        <v>6</v>
      </c>
      <c r="M183" s="345">
        <v>43258</v>
      </c>
      <c r="N183" s="349">
        <v>136340</v>
      </c>
      <c r="O183" s="350">
        <v>43304</v>
      </c>
      <c r="P183" s="408">
        <f t="shared" si="42"/>
        <v>46</v>
      </c>
      <c r="Q183" s="414" t="str">
        <f t="shared" si="39"/>
        <v/>
      </c>
      <c r="R183" s="352">
        <f t="shared" si="43"/>
        <v>0</v>
      </c>
      <c r="S183" s="352"/>
      <c r="T183" s="163"/>
    </row>
    <row r="184" spans="1:20" s="107" customFormat="1" collapsed="1">
      <c r="A184" s="323" t="s">
        <v>56</v>
      </c>
      <c r="B184" s="330" t="s">
        <v>169</v>
      </c>
      <c r="C184" s="324">
        <v>41596</v>
      </c>
      <c r="D184" s="324">
        <f>DATE(YEAR(C184),MONTH(C184)+18,DAY(C184))</f>
        <v>42142</v>
      </c>
      <c r="E184" s="324">
        <v>42339</v>
      </c>
      <c r="F184" s="422">
        <v>42341</v>
      </c>
      <c r="G184" s="324">
        <f>DATE(YEAR(C184)+4,MONTH(C184),DAY(C184))</f>
        <v>43057</v>
      </c>
      <c r="H184" s="952">
        <v>42865</v>
      </c>
      <c r="I184" s="326">
        <v>393831</v>
      </c>
      <c r="J184" s="325"/>
      <c r="K184" s="326"/>
      <c r="L184" s="327"/>
      <c r="M184" s="324"/>
      <c r="N184" s="328">
        <f>SUM(N185:N189)</f>
        <v>393831</v>
      </c>
      <c r="O184" s="329"/>
      <c r="P184" s="423"/>
      <c r="Q184" s="331">
        <f>SUM(Q185:Q189)</f>
        <v>0</v>
      </c>
      <c r="R184" s="331">
        <f>SUM(R185:R189)</f>
        <v>0</v>
      </c>
      <c r="S184" s="331"/>
      <c r="T184" s="166">
        <f>I184-(N184+Q184+R184)</f>
        <v>0</v>
      </c>
    </row>
    <row r="185" spans="1:20" s="26" customFormat="1" hidden="1" outlineLevel="1">
      <c r="A185" s="332" t="s">
        <v>56</v>
      </c>
      <c r="B185" s="351"/>
      <c r="C185" s="410" t="s">
        <v>212</v>
      </c>
      <c r="D185" s="345"/>
      <c r="E185" s="345"/>
      <c r="F185" s="424"/>
      <c r="G185" s="345"/>
      <c r="H185" s="949"/>
      <c r="I185" s="411"/>
      <c r="J185" s="346">
        <f>K185/I184</f>
        <v>0.3</v>
      </c>
      <c r="K185" s="347">
        <f>30%*I184</f>
        <v>118149.29999999999</v>
      </c>
      <c r="L185" s="348">
        <v>1</v>
      </c>
      <c r="M185" s="345">
        <v>42383</v>
      </c>
      <c r="N185" s="349">
        <v>118149.3</v>
      </c>
      <c r="O185" s="350">
        <v>42431</v>
      </c>
      <c r="P185" s="408">
        <f>IF(O185="",$R$2-M185,O185-M185)</f>
        <v>48</v>
      </c>
      <c r="Q185" s="352" t="str">
        <f t="shared" si="39"/>
        <v/>
      </c>
      <c r="R185" s="352">
        <f t="shared" si="43"/>
        <v>0</v>
      </c>
      <c r="S185" s="352"/>
      <c r="T185" s="166"/>
    </row>
    <row r="186" spans="1:20" s="26" customFormat="1" hidden="1" outlineLevel="1">
      <c r="A186" s="332" t="s">
        <v>56</v>
      </c>
      <c r="B186" s="351"/>
      <c r="C186" s="345"/>
      <c r="D186" s="345"/>
      <c r="E186" s="345"/>
      <c r="F186" s="424"/>
      <c r="G186" s="345"/>
      <c r="H186" s="949"/>
      <c r="I186" s="411"/>
      <c r="J186" s="433">
        <v>0.48520000000000002</v>
      </c>
      <c r="K186" s="347">
        <f>(I184*J186)-K185</f>
        <v>72937.501200000028</v>
      </c>
      <c r="L186" s="348">
        <v>2</v>
      </c>
      <c r="M186" s="345">
        <v>42640</v>
      </c>
      <c r="N186" s="349">
        <v>72937.5</v>
      </c>
      <c r="O186" s="350">
        <v>42667</v>
      </c>
      <c r="P186" s="408">
        <f>IF(O186="",$R$2-M186,O186-M186)</f>
        <v>27</v>
      </c>
      <c r="Q186" s="414" t="str">
        <f t="shared" si="39"/>
        <v/>
      </c>
      <c r="R186" s="352">
        <f t="shared" si="43"/>
        <v>0</v>
      </c>
      <c r="S186" s="352"/>
      <c r="T186" s="166"/>
    </row>
    <row r="187" spans="1:20" s="26" customFormat="1" hidden="1" outlineLevel="1">
      <c r="A187" s="332" t="s">
        <v>56</v>
      </c>
      <c r="B187" s="351"/>
      <c r="C187" s="345"/>
      <c r="D187" s="345"/>
      <c r="E187" s="345"/>
      <c r="F187" s="424"/>
      <c r="G187" s="345"/>
      <c r="H187" s="949"/>
      <c r="I187" s="411"/>
      <c r="J187" s="433">
        <v>0.65910000000000002</v>
      </c>
      <c r="K187" s="347">
        <v>68487.210000000006</v>
      </c>
      <c r="L187" s="348">
        <v>3</v>
      </c>
      <c r="M187" s="345">
        <v>42684</v>
      </c>
      <c r="N187" s="349">
        <v>68487.210000000006</v>
      </c>
      <c r="O187" s="350">
        <v>42712</v>
      </c>
      <c r="P187" s="408">
        <f>IF(O187="",$R$2-M187,O187-M187)</f>
        <v>28</v>
      </c>
      <c r="Q187" s="414" t="str">
        <f t="shared" si="39"/>
        <v/>
      </c>
      <c r="R187" s="352">
        <f>IF(M187="",K187-N187,0)</f>
        <v>0</v>
      </c>
      <c r="S187" s="352"/>
      <c r="T187" s="166"/>
    </row>
    <row r="188" spans="1:20" s="26" customFormat="1" hidden="1" outlineLevel="1">
      <c r="A188" s="332" t="s">
        <v>56</v>
      </c>
      <c r="B188" s="351"/>
      <c r="C188" s="345"/>
      <c r="D188" s="345"/>
      <c r="E188" s="345"/>
      <c r="F188" s="424"/>
      <c r="G188" s="345"/>
      <c r="H188" s="949"/>
      <c r="I188" s="411"/>
      <c r="J188" s="433">
        <v>0.8</v>
      </c>
      <c r="K188" s="347">
        <f>I184*J188-(K185+K186+K187)</f>
        <v>55490.788800000038</v>
      </c>
      <c r="L188" s="348">
        <v>4</v>
      </c>
      <c r="M188" s="345">
        <v>42766</v>
      </c>
      <c r="N188" s="349">
        <v>55490.79</v>
      </c>
      <c r="O188" s="350">
        <v>42823</v>
      </c>
      <c r="P188" s="408"/>
      <c r="Q188" s="414" t="str">
        <f t="shared" si="39"/>
        <v/>
      </c>
      <c r="R188" s="352">
        <f t="shared" si="43"/>
        <v>0</v>
      </c>
      <c r="S188" s="352"/>
      <c r="T188" s="166"/>
    </row>
    <row r="189" spans="1:20" s="26" customFormat="1" hidden="1" outlineLevel="1">
      <c r="A189" s="332" t="s">
        <v>56</v>
      </c>
      <c r="B189" s="351"/>
      <c r="C189" s="345"/>
      <c r="D189" s="345"/>
      <c r="E189" s="345"/>
      <c r="F189" s="424"/>
      <c r="G189" s="345"/>
      <c r="H189" s="949"/>
      <c r="I189" s="411"/>
      <c r="J189" s="346">
        <v>1</v>
      </c>
      <c r="K189" s="347">
        <f>I184-(K185+K186+K188+K187)</f>
        <v>78766.199999999953</v>
      </c>
      <c r="L189" s="348">
        <v>5</v>
      </c>
      <c r="M189" s="345">
        <v>43186</v>
      </c>
      <c r="N189" s="349">
        <v>78766.2</v>
      </c>
      <c r="O189" s="350">
        <v>43227</v>
      </c>
      <c r="P189" s="408"/>
      <c r="Q189" s="414" t="str">
        <f t="shared" si="39"/>
        <v/>
      </c>
      <c r="R189" s="352">
        <f t="shared" si="43"/>
        <v>0</v>
      </c>
      <c r="S189" s="352"/>
      <c r="T189" s="166"/>
    </row>
    <row r="190" spans="1:20" s="107" customFormat="1" collapsed="1">
      <c r="A190" s="323" t="s">
        <v>62</v>
      </c>
      <c r="B190" s="330"/>
      <c r="C190" s="324">
        <v>40826</v>
      </c>
      <c r="D190" s="324"/>
      <c r="E190" s="324"/>
      <c r="F190" s="422"/>
      <c r="G190" s="324"/>
      <c r="H190" s="952"/>
      <c r="I190" s="326">
        <v>239587</v>
      </c>
      <c r="J190" s="325"/>
      <c r="K190" s="326"/>
      <c r="L190" s="327"/>
      <c r="M190" s="324"/>
      <c r="N190" s="328">
        <f>SUM(N191:N194)</f>
        <v>239587.00000000003</v>
      </c>
      <c r="O190" s="329"/>
      <c r="P190" s="423"/>
      <c r="Q190" s="331">
        <f>SUM(Q191:Q194)</f>
        <v>0</v>
      </c>
      <c r="R190" s="331">
        <f>SUM(R191:R194)</f>
        <v>0</v>
      </c>
      <c r="S190" s="331"/>
      <c r="T190" s="441">
        <f>I190-(N190+Q190+R190)</f>
        <v>0</v>
      </c>
    </row>
    <row r="191" spans="1:20" s="26" customFormat="1" hidden="1" outlineLevel="1">
      <c r="A191" s="332" t="s">
        <v>62</v>
      </c>
      <c r="B191" s="351"/>
      <c r="C191" s="345"/>
      <c r="D191" s="345"/>
      <c r="E191" s="345"/>
      <c r="F191" s="424"/>
      <c r="G191" s="345"/>
      <c r="H191" s="949"/>
      <c r="I191" s="347"/>
      <c r="J191" s="353"/>
      <c r="K191" s="347">
        <v>71876.100000000006</v>
      </c>
      <c r="L191" s="348"/>
      <c r="M191" s="345">
        <v>40946</v>
      </c>
      <c r="N191" s="349">
        <v>71876.100000000006</v>
      </c>
      <c r="O191" s="350">
        <v>41018</v>
      </c>
      <c r="P191" s="408">
        <f>IF(O191="",$R$2-M191,O191-M191)</f>
        <v>72</v>
      </c>
      <c r="Q191" s="352" t="str">
        <f t="shared" si="39"/>
        <v/>
      </c>
      <c r="R191" s="352">
        <f>IF(M191="",K191-N191,0)</f>
        <v>0</v>
      </c>
      <c r="S191" s="352"/>
      <c r="T191" s="163"/>
    </row>
    <row r="192" spans="1:20" s="26" customFormat="1" hidden="1" outlineLevel="1">
      <c r="A192" s="332" t="s">
        <v>62</v>
      </c>
      <c r="B192" s="351"/>
      <c r="C192" s="345"/>
      <c r="D192" s="345"/>
      <c r="E192" s="345"/>
      <c r="F192" s="424"/>
      <c r="G192" s="345"/>
      <c r="H192" s="949"/>
      <c r="I192" s="347"/>
      <c r="J192" s="353"/>
      <c r="K192" s="347">
        <v>95691.05</v>
      </c>
      <c r="L192" s="348"/>
      <c r="M192" s="345">
        <v>41158</v>
      </c>
      <c r="N192" s="349">
        <v>95691.05</v>
      </c>
      <c r="O192" s="350">
        <v>41430</v>
      </c>
      <c r="P192" s="408">
        <f>IF(O192="",$R$2-M192,O192-M192)</f>
        <v>272</v>
      </c>
      <c r="Q192" s="352" t="str">
        <f t="shared" si="39"/>
        <v/>
      </c>
      <c r="R192" s="352">
        <f>IF(M192="",K192-N192,0)</f>
        <v>0</v>
      </c>
      <c r="S192" s="352"/>
      <c r="T192" s="163"/>
    </row>
    <row r="193" spans="1:20" s="26" customFormat="1" hidden="1" outlineLevel="1">
      <c r="A193" s="332" t="s">
        <v>62</v>
      </c>
      <c r="B193" s="351"/>
      <c r="C193" s="345"/>
      <c r="D193" s="345"/>
      <c r="E193" s="345"/>
      <c r="F193" s="424"/>
      <c r="G193" s="345"/>
      <c r="H193" s="949"/>
      <c r="I193" s="347"/>
      <c r="J193" s="353"/>
      <c r="K193" s="347">
        <v>24102.45</v>
      </c>
      <c r="L193" s="348"/>
      <c r="M193" s="345">
        <v>41190</v>
      </c>
      <c r="N193" s="349">
        <v>24102.45</v>
      </c>
      <c r="O193" s="350">
        <v>41430</v>
      </c>
      <c r="P193" s="408">
        <f>IF(O193="",$R$2-M193,O193-M193)</f>
        <v>240</v>
      </c>
      <c r="Q193" s="352" t="str">
        <f t="shared" si="39"/>
        <v/>
      </c>
      <c r="R193" s="352">
        <f>IF(M193="",K193-N193,0)</f>
        <v>0</v>
      </c>
      <c r="S193" s="352"/>
      <c r="T193" s="163"/>
    </row>
    <row r="194" spans="1:20" s="26" customFormat="1" hidden="1" outlineLevel="1">
      <c r="A194" s="332" t="s">
        <v>62</v>
      </c>
      <c r="B194" s="351"/>
      <c r="C194" s="345"/>
      <c r="D194" s="345"/>
      <c r="E194" s="345"/>
      <c r="F194" s="424"/>
      <c r="G194" s="345"/>
      <c r="H194" s="949"/>
      <c r="I194" s="347"/>
      <c r="J194" s="353"/>
      <c r="K194" s="347">
        <v>47917.4</v>
      </c>
      <c r="L194" s="348"/>
      <c r="M194" s="345">
        <v>42031</v>
      </c>
      <c r="N194" s="349">
        <v>47917.4</v>
      </c>
      <c r="O194" s="350">
        <v>42130</v>
      </c>
      <c r="P194" s="408">
        <f>IF(O194="",$R$2-M194,O194-M194)</f>
        <v>99</v>
      </c>
      <c r="Q194" s="352" t="str">
        <f t="shared" si="39"/>
        <v/>
      </c>
      <c r="R194" s="352">
        <f>IF(M194="",K194-N194,0)</f>
        <v>0</v>
      </c>
      <c r="S194" s="352"/>
      <c r="T194" s="163"/>
    </row>
    <row r="195" spans="1:20" s="107" customFormat="1">
      <c r="A195" s="323" t="s">
        <v>59</v>
      </c>
      <c r="B195" s="330" t="s">
        <v>165</v>
      </c>
      <c r="C195" s="324">
        <v>41466</v>
      </c>
      <c r="D195" s="324">
        <f>DATE(YEAR(C195),MONTH(C195)+18,DAY(C195))</f>
        <v>42015</v>
      </c>
      <c r="E195" s="324">
        <v>41621</v>
      </c>
      <c r="F195" s="422">
        <v>41764</v>
      </c>
      <c r="G195" s="611">
        <v>43656</v>
      </c>
      <c r="H195" s="952">
        <v>43131</v>
      </c>
      <c r="I195" s="326">
        <v>1</v>
      </c>
      <c r="J195" s="325"/>
      <c r="K195" s="326"/>
      <c r="L195" s="327"/>
      <c r="M195" s="324"/>
      <c r="N195" s="328">
        <f>SUM(N196)</f>
        <v>0</v>
      </c>
      <c r="O195" s="329"/>
      <c r="P195" s="423"/>
      <c r="Q195" s="331">
        <f>SUM(Q196)</f>
        <v>0</v>
      </c>
      <c r="R195" s="331">
        <f>SUM(R196)</f>
        <v>0</v>
      </c>
      <c r="S195" s="331"/>
      <c r="T195" s="166">
        <f>I195-(N195+Q195+R195)</f>
        <v>1</v>
      </c>
    </row>
    <row r="196" spans="1:20" s="26" customFormat="1">
      <c r="A196" s="354" t="s">
        <v>59</v>
      </c>
      <c r="B196" s="361"/>
      <c r="C196" s="393" t="s">
        <v>212</v>
      </c>
      <c r="D196" s="356"/>
      <c r="E196" s="356"/>
      <c r="F196" s="425"/>
      <c r="G196" s="393" t="s">
        <v>245</v>
      </c>
      <c r="H196" s="950"/>
      <c r="I196" s="357"/>
      <c r="J196" s="363"/>
      <c r="K196" s="357">
        <v>1</v>
      </c>
      <c r="L196" s="358">
        <v>1</v>
      </c>
      <c r="M196" s="356">
        <v>43307</v>
      </c>
      <c r="N196" s="359" t="s">
        <v>373</v>
      </c>
      <c r="O196" s="360"/>
      <c r="P196" s="427"/>
      <c r="Q196" s="362" t="str">
        <f>IF(N196="en attente",K196,"")</f>
        <v/>
      </c>
      <c r="R196" s="362">
        <f>IF(M196="",K196-N196,0)</f>
        <v>0</v>
      </c>
      <c r="S196" s="362"/>
      <c r="T196" s="163"/>
    </row>
    <row r="197" spans="1:20" s="107" customFormat="1" collapsed="1">
      <c r="A197" s="400" t="s">
        <v>60</v>
      </c>
      <c r="B197" s="404" t="s">
        <v>164</v>
      </c>
      <c r="C197" s="412">
        <v>41463</v>
      </c>
      <c r="D197" s="324">
        <f>DATE(YEAR(C197),MONTH(C197)+18,DAY(C197))</f>
        <v>42012</v>
      </c>
      <c r="E197" s="324">
        <v>41612</v>
      </c>
      <c r="F197" s="422">
        <v>41751</v>
      </c>
      <c r="G197" s="324">
        <v>43653</v>
      </c>
      <c r="H197" s="952">
        <v>43082</v>
      </c>
      <c r="I197" s="402">
        <v>432000</v>
      </c>
      <c r="J197" s="407"/>
      <c r="K197" s="402"/>
      <c r="L197" s="413"/>
      <c r="M197" s="412"/>
      <c r="N197" s="405">
        <f>SUM(N198:N203)</f>
        <v>432000</v>
      </c>
      <c r="O197" s="418"/>
      <c r="P197" s="428"/>
      <c r="Q197" s="414">
        <f>SUM(Q198:Q203)</f>
        <v>0</v>
      </c>
      <c r="R197" s="414">
        <f>SUM(R198:R203)</f>
        <v>0</v>
      </c>
      <c r="S197" s="414"/>
      <c r="T197" s="166">
        <f>I197-(N197+Q197+R197)</f>
        <v>0</v>
      </c>
    </row>
    <row r="198" spans="1:20" s="26" customFormat="1" hidden="1" outlineLevel="1">
      <c r="A198" s="332" t="s">
        <v>60</v>
      </c>
      <c r="B198" s="351"/>
      <c r="C198" s="410" t="s">
        <v>212</v>
      </c>
      <c r="D198" s="345"/>
      <c r="E198" s="345"/>
      <c r="F198" s="424"/>
      <c r="G198" s="345" t="s">
        <v>245</v>
      </c>
      <c r="H198" s="949"/>
      <c r="I198" s="411"/>
      <c r="J198" s="346">
        <f>K198/$I$197</f>
        <v>0.3</v>
      </c>
      <c r="K198" s="347">
        <v>129600</v>
      </c>
      <c r="L198" s="348">
        <v>1</v>
      </c>
      <c r="M198" s="345">
        <v>41778</v>
      </c>
      <c r="N198" s="349">
        <v>129600</v>
      </c>
      <c r="O198" s="350">
        <v>41816</v>
      </c>
      <c r="P198" s="408">
        <f t="shared" ref="P198:P203" si="44">IF(O198="",$R$2-M198,O198-M198)</f>
        <v>38</v>
      </c>
      <c r="Q198" s="352" t="str">
        <f>IF(N198="en attente",K198,"")</f>
        <v/>
      </c>
      <c r="R198" s="352">
        <f t="shared" ref="R198:R203" si="45">IF(M198="",K198-N198,0)</f>
        <v>0</v>
      </c>
      <c r="S198" s="352"/>
      <c r="T198" s="163"/>
    </row>
    <row r="199" spans="1:20" s="26" customFormat="1" hidden="1" outlineLevel="1">
      <c r="A199" s="332" t="s">
        <v>60</v>
      </c>
      <c r="B199" s="351"/>
      <c r="C199" s="345"/>
      <c r="D199" s="345"/>
      <c r="E199" s="345"/>
      <c r="F199" s="706"/>
      <c r="G199" s="350"/>
      <c r="H199" s="949"/>
      <c r="I199" s="411"/>
      <c r="J199" s="346">
        <f>K199/$I$197+J198</f>
        <v>0.32379999999999998</v>
      </c>
      <c r="K199" s="347">
        <v>10281.6</v>
      </c>
      <c r="L199" s="348">
        <v>2</v>
      </c>
      <c r="M199" s="345">
        <v>42187</v>
      </c>
      <c r="N199" s="349">
        <v>10281.6</v>
      </c>
      <c r="O199" s="350">
        <v>42234</v>
      </c>
      <c r="P199" s="408">
        <f t="shared" si="44"/>
        <v>47</v>
      </c>
      <c r="Q199" s="352" t="str">
        <f>IF(N199="en attente",K199,"")</f>
        <v/>
      </c>
      <c r="R199" s="352">
        <f t="shared" si="45"/>
        <v>0</v>
      </c>
      <c r="S199" s="352"/>
      <c r="T199" s="163"/>
    </row>
    <row r="200" spans="1:20" s="26" customFormat="1" hidden="1" outlineLevel="1">
      <c r="A200" s="332" t="s">
        <v>60</v>
      </c>
      <c r="B200" s="351"/>
      <c r="C200" s="345"/>
      <c r="D200" s="345"/>
      <c r="E200" s="345"/>
      <c r="F200" s="424"/>
      <c r="G200" s="345"/>
      <c r="H200" s="949"/>
      <c r="I200" s="411"/>
      <c r="J200" s="433">
        <v>0.5645</v>
      </c>
      <c r="K200" s="347">
        <v>103982.39999999999</v>
      </c>
      <c r="L200" s="348">
        <v>3</v>
      </c>
      <c r="M200" s="345">
        <v>42339</v>
      </c>
      <c r="N200" s="349">
        <v>103982.39999999999</v>
      </c>
      <c r="O200" s="350">
        <v>42389</v>
      </c>
      <c r="P200" s="408">
        <f t="shared" si="44"/>
        <v>50</v>
      </c>
      <c r="Q200" s="352" t="str">
        <f>IF(N200="en attente",K200,"")</f>
        <v/>
      </c>
      <c r="R200" s="352">
        <f t="shared" si="45"/>
        <v>0</v>
      </c>
      <c r="S200" s="352"/>
      <c r="T200" s="163"/>
    </row>
    <row r="201" spans="1:20" s="26" customFormat="1" hidden="1" outlineLevel="1">
      <c r="A201" s="332" t="s">
        <v>60</v>
      </c>
      <c r="B201" s="351"/>
      <c r="C201" s="345"/>
      <c r="D201" s="345"/>
      <c r="E201" s="345"/>
      <c r="F201" s="424"/>
      <c r="G201" s="345"/>
      <c r="H201" s="949"/>
      <c r="I201" s="411"/>
      <c r="J201" s="346">
        <v>0.64249999999999996</v>
      </c>
      <c r="K201" s="347">
        <v>33696</v>
      </c>
      <c r="L201" s="348">
        <v>4</v>
      </c>
      <c r="M201" s="345">
        <v>42458</v>
      </c>
      <c r="N201" s="349">
        <v>33696</v>
      </c>
      <c r="O201" s="350">
        <v>42481</v>
      </c>
      <c r="P201" s="408">
        <f t="shared" si="44"/>
        <v>23</v>
      </c>
      <c r="Q201" s="352"/>
      <c r="R201" s="352">
        <f t="shared" si="45"/>
        <v>0</v>
      </c>
      <c r="S201" s="352"/>
      <c r="T201" s="163"/>
    </row>
    <row r="202" spans="1:20" s="26" customFormat="1" hidden="1" outlineLevel="1">
      <c r="A202" s="332" t="s">
        <v>60</v>
      </c>
      <c r="B202" s="351"/>
      <c r="C202" s="345"/>
      <c r="D202" s="345"/>
      <c r="E202" s="345"/>
      <c r="F202" s="424"/>
      <c r="G202" s="345"/>
      <c r="H202" s="949"/>
      <c r="I202" s="411"/>
      <c r="J202" s="433">
        <v>0.75919999999999999</v>
      </c>
      <c r="K202" s="347">
        <v>50414.400000000001</v>
      </c>
      <c r="L202" s="348">
        <v>5</v>
      </c>
      <c r="M202" s="345">
        <v>42537</v>
      </c>
      <c r="N202" s="349">
        <v>50414.400000000001</v>
      </c>
      <c r="O202" s="350">
        <v>42558</v>
      </c>
      <c r="P202" s="408">
        <f t="shared" si="44"/>
        <v>21</v>
      </c>
      <c r="Q202" s="352"/>
      <c r="R202" s="352">
        <f t="shared" si="45"/>
        <v>0</v>
      </c>
      <c r="S202" s="352"/>
      <c r="T202" s="163"/>
    </row>
    <row r="203" spans="1:20" s="26" customFormat="1" hidden="1" outlineLevel="1">
      <c r="A203" s="332" t="s">
        <v>60</v>
      </c>
      <c r="B203" s="351"/>
      <c r="C203" s="345"/>
      <c r="D203" s="345"/>
      <c r="E203" s="345"/>
      <c r="F203" s="424"/>
      <c r="G203" s="345"/>
      <c r="H203" s="949"/>
      <c r="I203" s="411"/>
      <c r="J203" s="346">
        <v>1</v>
      </c>
      <c r="K203" s="347">
        <f>I197-K198-K199-K200-K201-K202</f>
        <v>104025.60000000003</v>
      </c>
      <c r="L203" s="348">
        <v>6</v>
      </c>
      <c r="M203" s="345">
        <v>43291</v>
      </c>
      <c r="N203" s="349">
        <v>104025.60000000001</v>
      </c>
      <c r="O203" s="350">
        <v>43342</v>
      </c>
      <c r="P203" s="408">
        <f t="shared" si="44"/>
        <v>51</v>
      </c>
      <c r="Q203" s="352" t="str">
        <f>IF(N203="en attente",K203,"")</f>
        <v/>
      </c>
      <c r="R203" s="352">
        <f t="shared" si="45"/>
        <v>0</v>
      </c>
      <c r="S203" s="352"/>
      <c r="T203" s="163"/>
    </row>
    <row r="204" spans="1:20" s="107" customFormat="1" collapsed="1">
      <c r="A204" s="323" t="s">
        <v>61</v>
      </c>
      <c r="B204" s="330" t="s">
        <v>163</v>
      </c>
      <c r="C204" s="324">
        <v>41536</v>
      </c>
      <c r="D204" s="324">
        <f>DATE(YEAR(C204),MONTH(C204)+18,DAY(C204))</f>
        <v>42082</v>
      </c>
      <c r="E204" s="324">
        <v>41619</v>
      </c>
      <c r="F204" s="422">
        <v>41876</v>
      </c>
      <c r="G204" s="324">
        <f>DATE(YEAR(C204)+4,MONTH(C204),DAY(C204))</f>
        <v>42997</v>
      </c>
      <c r="H204" s="952">
        <v>42796</v>
      </c>
      <c r="I204" s="326">
        <v>360000</v>
      </c>
      <c r="J204" s="325"/>
      <c r="K204" s="326"/>
      <c r="L204" s="327"/>
      <c r="M204" s="324"/>
      <c r="N204" s="328">
        <f>SUM(N205:N210)</f>
        <v>360000</v>
      </c>
      <c r="O204" s="329"/>
      <c r="P204" s="423"/>
      <c r="Q204" s="331">
        <f>SUM(Q205:Q210)</f>
        <v>0</v>
      </c>
      <c r="R204" s="331">
        <f>SUM(R205:R210)</f>
        <v>0</v>
      </c>
      <c r="S204" s="331"/>
      <c r="T204" s="166">
        <f>I204-(N204+Q204+R204)</f>
        <v>0</v>
      </c>
    </row>
    <row r="205" spans="1:20" s="26" customFormat="1" hidden="1" outlineLevel="1">
      <c r="A205" s="332" t="s">
        <v>61</v>
      </c>
      <c r="B205" s="351"/>
      <c r="C205" s="410" t="s">
        <v>212</v>
      </c>
      <c r="D205" s="345"/>
      <c r="E205" s="345"/>
      <c r="F205" s="424"/>
      <c r="G205" s="345"/>
      <c r="H205" s="949"/>
      <c r="I205" s="411"/>
      <c r="J205" s="346">
        <f>K205/$I$204</f>
        <v>0.3</v>
      </c>
      <c r="K205" s="347">
        <v>108000</v>
      </c>
      <c r="L205" s="348">
        <v>1</v>
      </c>
      <c r="M205" s="345">
        <v>41925</v>
      </c>
      <c r="N205" s="349">
        <v>108000</v>
      </c>
      <c r="O205" s="350">
        <v>41984</v>
      </c>
      <c r="P205" s="408">
        <f t="shared" ref="P205:P210" si="46">IF(O205="",$R$2-M205,O205-M205)</f>
        <v>59</v>
      </c>
      <c r="Q205" s="352" t="str">
        <f t="shared" ref="Q205:Q210" si="47">IF(N205="en attente",K205,"")</f>
        <v/>
      </c>
      <c r="R205" s="352">
        <f t="shared" ref="R205:R210" si="48">IF(M205="",K205-N205,0)</f>
        <v>0</v>
      </c>
      <c r="S205" s="352"/>
      <c r="T205" s="163"/>
    </row>
    <row r="206" spans="1:20" s="107" customFormat="1" hidden="1" outlineLevel="1">
      <c r="A206" s="332" t="s">
        <v>61</v>
      </c>
      <c r="B206" s="404"/>
      <c r="C206" s="412"/>
      <c r="D206" s="412"/>
      <c r="E206" s="412"/>
      <c r="F206" s="417"/>
      <c r="G206" s="412"/>
      <c r="H206" s="956"/>
      <c r="I206" s="406"/>
      <c r="J206" s="346">
        <f>K206/$I$204+J205</f>
        <v>0.31440000000000001</v>
      </c>
      <c r="K206" s="347">
        <v>5184</v>
      </c>
      <c r="L206" s="348">
        <v>2</v>
      </c>
      <c r="M206" s="345">
        <v>42178</v>
      </c>
      <c r="N206" s="349">
        <v>5184</v>
      </c>
      <c r="O206" s="350">
        <v>42237</v>
      </c>
      <c r="P206" s="408">
        <f t="shared" si="46"/>
        <v>59</v>
      </c>
      <c r="Q206" s="352" t="str">
        <f t="shared" si="47"/>
        <v/>
      </c>
      <c r="R206" s="352">
        <f t="shared" si="48"/>
        <v>0</v>
      </c>
      <c r="S206" s="414"/>
      <c r="T206" s="163"/>
    </row>
    <row r="207" spans="1:20" s="26" customFormat="1" hidden="1" outlineLevel="1">
      <c r="A207" s="332" t="s">
        <v>61</v>
      </c>
      <c r="B207" s="351"/>
      <c r="C207" s="345"/>
      <c r="D207" s="345"/>
      <c r="E207" s="345"/>
      <c r="F207" s="424"/>
      <c r="G207" s="345"/>
      <c r="H207" s="949"/>
      <c r="I207" s="411"/>
      <c r="J207" s="433">
        <v>0.5343</v>
      </c>
      <c r="K207" s="347">
        <v>79164</v>
      </c>
      <c r="L207" s="348">
        <v>3</v>
      </c>
      <c r="M207" s="345">
        <v>42332</v>
      </c>
      <c r="N207" s="349">
        <v>79164</v>
      </c>
      <c r="O207" s="350">
        <v>42389</v>
      </c>
      <c r="P207" s="408">
        <f t="shared" si="46"/>
        <v>57</v>
      </c>
      <c r="Q207" s="352" t="str">
        <f t="shared" si="47"/>
        <v/>
      </c>
      <c r="R207" s="352">
        <f t="shared" si="48"/>
        <v>0</v>
      </c>
      <c r="S207" s="352"/>
      <c r="T207" s="163"/>
    </row>
    <row r="208" spans="1:20" s="26" customFormat="1" hidden="1" outlineLevel="1">
      <c r="A208" s="332" t="s">
        <v>61</v>
      </c>
      <c r="B208" s="351"/>
      <c r="C208" s="345"/>
      <c r="D208" s="345"/>
      <c r="E208" s="345"/>
      <c r="F208" s="424"/>
      <c r="G208" s="345"/>
      <c r="H208" s="949"/>
      <c r="I208" s="411"/>
      <c r="J208" s="433">
        <v>0.66339999999999999</v>
      </c>
      <c r="K208" s="347">
        <v>46476</v>
      </c>
      <c r="L208" s="348">
        <v>4</v>
      </c>
      <c r="M208" s="345">
        <v>42432</v>
      </c>
      <c r="N208" s="349">
        <v>46476</v>
      </c>
      <c r="O208" s="350">
        <v>42466</v>
      </c>
      <c r="P208" s="408">
        <f t="shared" si="46"/>
        <v>34</v>
      </c>
      <c r="Q208" s="352" t="str">
        <f t="shared" si="47"/>
        <v/>
      </c>
      <c r="R208" s="352">
        <f t="shared" si="48"/>
        <v>0</v>
      </c>
      <c r="S208" s="352"/>
      <c r="T208" s="163"/>
    </row>
    <row r="209" spans="1:20" s="26" customFormat="1" hidden="1" outlineLevel="1">
      <c r="A209" s="332" t="s">
        <v>61</v>
      </c>
      <c r="B209" s="351"/>
      <c r="C209" s="345"/>
      <c r="D209" s="345"/>
      <c r="E209" s="345"/>
      <c r="F209" s="424"/>
      <c r="G209" s="345"/>
      <c r="H209" s="949"/>
      <c r="I209" s="411"/>
      <c r="J209" s="346">
        <v>0.8</v>
      </c>
      <c r="K209" s="347">
        <f>I204*80/100-(K205+K206+K207+K208)</f>
        <v>49176</v>
      </c>
      <c r="L209" s="348">
        <v>5</v>
      </c>
      <c r="M209" s="345">
        <v>42640</v>
      </c>
      <c r="N209" s="349">
        <v>49176</v>
      </c>
      <c r="O209" s="350">
        <v>42671</v>
      </c>
      <c r="P209" s="408">
        <f t="shared" si="46"/>
        <v>31</v>
      </c>
      <c r="Q209" s="414" t="str">
        <f t="shared" si="47"/>
        <v/>
      </c>
      <c r="R209" s="352">
        <f t="shared" si="48"/>
        <v>0</v>
      </c>
      <c r="S209" s="352"/>
      <c r="T209" s="163"/>
    </row>
    <row r="210" spans="1:20" s="26" customFormat="1" hidden="1" outlineLevel="1">
      <c r="A210" s="332" t="s">
        <v>61</v>
      </c>
      <c r="B210" s="351"/>
      <c r="C210" s="345"/>
      <c r="D210" s="345"/>
      <c r="E210" s="345"/>
      <c r="F210" s="424"/>
      <c r="G210" s="345"/>
      <c r="H210" s="949"/>
      <c r="I210" s="411"/>
      <c r="J210" s="346">
        <v>1</v>
      </c>
      <c r="K210" s="347">
        <f>I204-(K205+K206+K207+K208+K209)</f>
        <v>72000</v>
      </c>
      <c r="L210" s="348">
        <v>6</v>
      </c>
      <c r="M210" s="345">
        <v>43244</v>
      </c>
      <c r="N210" s="349">
        <v>72000</v>
      </c>
      <c r="O210" s="350">
        <v>43329</v>
      </c>
      <c r="P210" s="408">
        <f t="shared" si="46"/>
        <v>85</v>
      </c>
      <c r="Q210" s="352" t="str">
        <f t="shared" si="47"/>
        <v/>
      </c>
      <c r="R210" s="352">
        <f t="shared" si="48"/>
        <v>0</v>
      </c>
      <c r="S210" s="352"/>
      <c r="T210" s="163"/>
    </row>
    <row r="211" spans="1:20" s="107" customFormat="1" collapsed="1">
      <c r="A211" s="323" t="s">
        <v>275</v>
      </c>
      <c r="B211" s="330" t="s">
        <v>160</v>
      </c>
      <c r="C211" s="324">
        <v>41929</v>
      </c>
      <c r="D211" s="324">
        <f>DATE(YEAR(C211),MONTH(C211)+18,DAY(C211))</f>
        <v>42477</v>
      </c>
      <c r="E211" s="324">
        <v>42458</v>
      </c>
      <c r="F211" s="724">
        <v>42488</v>
      </c>
      <c r="G211" s="324">
        <f>DATE(YEAR(C211)+4,MONTH(C211),DAY(C211))</f>
        <v>43390</v>
      </c>
      <c r="H211" s="952">
        <v>42956</v>
      </c>
      <c r="I211" s="326">
        <v>320000</v>
      </c>
      <c r="J211" s="325"/>
      <c r="K211" s="326"/>
      <c r="L211" s="327"/>
      <c r="M211" s="324"/>
      <c r="N211" s="328">
        <f>SUM(N212:N216)</f>
        <v>320000</v>
      </c>
      <c r="O211" s="329"/>
      <c r="P211" s="423"/>
      <c r="Q211" s="331">
        <f>SUM(Q212:Q216)</f>
        <v>0</v>
      </c>
      <c r="R211" s="331">
        <f>SUM(R212:R216)</f>
        <v>0</v>
      </c>
      <c r="S211" s="331"/>
      <c r="T211" s="166">
        <f>I211-(N211+Q211+R211)</f>
        <v>0</v>
      </c>
    </row>
    <row r="212" spans="1:20" s="107" customFormat="1" hidden="1" outlineLevel="1">
      <c r="A212" s="332" t="s">
        <v>275</v>
      </c>
      <c r="B212" s="404"/>
      <c r="C212" s="410" t="s">
        <v>212</v>
      </c>
      <c r="D212" s="653"/>
      <c r="E212" s="412"/>
      <c r="F212" s="417"/>
      <c r="G212" s="412"/>
      <c r="H212" s="954"/>
      <c r="I212" s="406"/>
      <c r="J212" s="346">
        <v>0.3</v>
      </c>
      <c r="K212" s="347">
        <f>+I211*J212</f>
        <v>96000</v>
      </c>
      <c r="L212" s="348">
        <v>1</v>
      </c>
      <c r="M212" s="345">
        <v>42521</v>
      </c>
      <c r="N212" s="349">
        <v>96000</v>
      </c>
      <c r="O212" s="350">
        <v>42552</v>
      </c>
      <c r="P212" s="408">
        <f>IF(O212="",$R$2-M212,O212-M212)</f>
        <v>31</v>
      </c>
      <c r="Q212" s="352" t="str">
        <f>IF(N212="en attente",K212,"")</f>
        <v/>
      </c>
      <c r="R212" s="352">
        <f>IF(M212="",K212-N212,0)</f>
        <v>0</v>
      </c>
      <c r="S212" s="414"/>
      <c r="T212" s="163"/>
    </row>
    <row r="213" spans="1:20" s="107" customFormat="1" hidden="1" outlineLevel="1">
      <c r="A213" s="332" t="s">
        <v>275</v>
      </c>
      <c r="B213" s="404"/>
      <c r="C213" s="410"/>
      <c r="D213" s="653"/>
      <c r="E213" s="412"/>
      <c r="F213" s="417"/>
      <c r="G213" s="412"/>
      <c r="H213" s="954"/>
      <c r="I213" s="406"/>
      <c r="J213" s="433">
        <v>0.44469999999999998</v>
      </c>
      <c r="K213" s="347">
        <v>46304</v>
      </c>
      <c r="L213" s="348">
        <v>2</v>
      </c>
      <c r="M213" s="345">
        <v>42761</v>
      </c>
      <c r="N213" s="349">
        <v>46304</v>
      </c>
      <c r="O213" s="350">
        <v>42811</v>
      </c>
      <c r="P213" s="408"/>
      <c r="Q213" s="352" t="str">
        <f>IF(N213="en attente",K213,"")</f>
        <v/>
      </c>
      <c r="R213" s="352"/>
      <c r="S213" s="414"/>
      <c r="T213" s="163"/>
    </row>
    <row r="214" spans="1:20" s="107" customFormat="1" hidden="1" outlineLevel="1">
      <c r="A214" s="332" t="s">
        <v>275</v>
      </c>
      <c r="B214" s="404"/>
      <c r="C214" s="410"/>
      <c r="D214" s="653"/>
      <c r="E214" s="412"/>
      <c r="F214" s="417"/>
      <c r="G214" s="412"/>
      <c r="H214" s="954"/>
      <c r="I214" s="406"/>
      <c r="J214" s="433">
        <v>0.5988</v>
      </c>
      <c r="K214" s="347">
        <f>J214*I211-(K212+K213)</f>
        <v>49312</v>
      </c>
      <c r="L214" s="348">
        <v>3</v>
      </c>
      <c r="M214" s="345">
        <v>42866</v>
      </c>
      <c r="N214" s="349">
        <v>49312</v>
      </c>
      <c r="O214" s="350">
        <v>42899</v>
      </c>
      <c r="P214" s="408"/>
      <c r="Q214" s="352" t="str">
        <f>IF(N214="en attente",K214,"")</f>
        <v/>
      </c>
      <c r="R214" s="352"/>
      <c r="S214" s="414"/>
      <c r="T214" s="163"/>
    </row>
    <row r="215" spans="1:20" s="107" customFormat="1" hidden="1" outlineLevel="1">
      <c r="A215" s="332" t="s">
        <v>275</v>
      </c>
      <c r="B215" s="404"/>
      <c r="C215" s="412"/>
      <c r="D215" s="412"/>
      <c r="E215" s="412"/>
      <c r="F215" s="417"/>
      <c r="G215" s="412"/>
      <c r="H215" s="954"/>
      <c r="I215" s="406"/>
      <c r="J215" s="346">
        <v>0.8</v>
      </c>
      <c r="K215" s="347">
        <f>I211*J215-(K212+K213+K214)</f>
        <v>64384</v>
      </c>
      <c r="L215" s="348">
        <v>4</v>
      </c>
      <c r="M215" s="345">
        <v>42983</v>
      </c>
      <c r="N215" s="349">
        <v>64384</v>
      </c>
      <c r="O215" s="350">
        <v>43011</v>
      </c>
      <c r="P215" s="428"/>
      <c r="Q215" s="352" t="str">
        <f>IF(N215="en attente",K215,"")</f>
        <v/>
      </c>
      <c r="R215" s="352">
        <f>IF(M215="",K215-N215,0)</f>
        <v>0</v>
      </c>
      <c r="S215" s="414"/>
      <c r="T215" s="163"/>
    </row>
    <row r="216" spans="1:20" s="26" customFormat="1" hidden="1" outlineLevel="1">
      <c r="A216" s="354" t="s">
        <v>275</v>
      </c>
      <c r="B216" s="361"/>
      <c r="C216" s="393"/>
      <c r="D216" s="725"/>
      <c r="E216" s="356"/>
      <c r="F216" s="425"/>
      <c r="G216" s="356"/>
      <c r="H216" s="950"/>
      <c r="I216" s="411"/>
      <c r="J216" s="426">
        <v>1</v>
      </c>
      <c r="K216" s="357">
        <f>I211-K212-K213-K214-K215</f>
        <v>64000</v>
      </c>
      <c r="L216" s="358">
        <v>5</v>
      </c>
      <c r="M216" s="356">
        <v>43361</v>
      </c>
      <c r="N216" s="359">
        <v>64000</v>
      </c>
      <c r="O216" s="360">
        <v>43413</v>
      </c>
      <c r="P216" s="427"/>
      <c r="Q216" s="352" t="str">
        <f>IF(N216="en attente",K216,"")</f>
        <v/>
      </c>
      <c r="R216" s="362">
        <f>IF(M216="",K216-N216,0)</f>
        <v>0</v>
      </c>
      <c r="S216" s="362"/>
      <c r="T216" s="163"/>
    </row>
    <row r="217" spans="1:20" s="107" customFormat="1" collapsed="1">
      <c r="A217" s="400" t="s">
        <v>94</v>
      </c>
      <c r="B217" s="404" t="s">
        <v>156</v>
      </c>
      <c r="C217" s="412">
        <v>41926</v>
      </c>
      <c r="D217" s="324">
        <f>DATE(YEAR(C217),MONTH(C217)+18,DAY(C217))</f>
        <v>42474</v>
      </c>
      <c r="E217" s="324">
        <v>41935</v>
      </c>
      <c r="F217" s="422">
        <v>42037</v>
      </c>
      <c r="G217" s="324">
        <f>DATE(YEAR(C217)+4,MONTH(C217),DAY(C217))</f>
        <v>43387</v>
      </c>
      <c r="H217" s="952">
        <v>42657</v>
      </c>
      <c r="I217" s="326">
        <v>1118000</v>
      </c>
      <c r="J217" s="407"/>
      <c r="K217" s="402"/>
      <c r="L217" s="413"/>
      <c r="M217" s="412"/>
      <c r="N217" s="405">
        <f>SUM(N218:N222)</f>
        <v>1118000</v>
      </c>
      <c r="O217" s="418"/>
      <c r="P217" s="428"/>
      <c r="Q217" s="414">
        <f>SUM(Q218:Q222)</f>
        <v>0</v>
      </c>
      <c r="R217" s="414">
        <f>SUM(R218:R222)</f>
        <v>0</v>
      </c>
      <c r="S217" s="414"/>
      <c r="T217" s="166">
        <f>I217-(N217+Q217+R217)</f>
        <v>0</v>
      </c>
    </row>
    <row r="218" spans="1:20" s="107" customFormat="1" hidden="1" outlineLevel="1">
      <c r="A218" s="332" t="s">
        <v>94</v>
      </c>
      <c r="B218" s="404"/>
      <c r="C218" s="410" t="s">
        <v>212</v>
      </c>
      <c r="D218" s="412"/>
      <c r="E218" s="412"/>
      <c r="F218" s="417"/>
      <c r="G218" s="412"/>
      <c r="H218" s="954"/>
      <c r="I218" s="406"/>
      <c r="J218" s="346">
        <f>K218/$I$217</f>
        <v>0.3</v>
      </c>
      <c r="K218" s="347">
        <f>30%*I217</f>
        <v>335400</v>
      </c>
      <c r="L218" s="348">
        <v>1</v>
      </c>
      <c r="M218" s="345">
        <v>42180</v>
      </c>
      <c r="N218" s="349">
        <v>335400</v>
      </c>
      <c r="O218" s="350">
        <v>42222</v>
      </c>
      <c r="P218" s="408">
        <f>IF(O218="",$R$2-M218,O218-M218)</f>
        <v>42</v>
      </c>
      <c r="Q218" s="352" t="str">
        <f>IF(N218="en attente",K218,"")</f>
        <v/>
      </c>
      <c r="R218" s="352">
        <f>IF(M218="",K218-N218,0)</f>
        <v>0</v>
      </c>
      <c r="S218" s="414"/>
      <c r="T218" s="166"/>
    </row>
    <row r="219" spans="1:20" s="26" customFormat="1" hidden="1" outlineLevel="1">
      <c r="A219" s="332" t="s">
        <v>94</v>
      </c>
      <c r="B219" s="351"/>
      <c r="C219" s="345"/>
      <c r="D219" s="345"/>
      <c r="E219" s="345"/>
      <c r="F219" s="424"/>
      <c r="G219" s="345"/>
      <c r="H219" s="949"/>
      <c r="I219" s="411"/>
      <c r="J219" s="433">
        <v>0.59219999999999995</v>
      </c>
      <c r="K219" s="347">
        <v>326679.59999999998</v>
      </c>
      <c r="L219" s="348">
        <v>2</v>
      </c>
      <c r="M219" s="345">
        <v>42297</v>
      </c>
      <c r="N219" s="349">
        <v>326679.59999999998</v>
      </c>
      <c r="O219" s="350">
        <v>42327</v>
      </c>
      <c r="P219" s="408">
        <f>IF(O219="",$R$2-M219,O219-M219)</f>
        <v>30</v>
      </c>
      <c r="Q219" s="352" t="str">
        <f>IF(N219="en attente",K219,"")</f>
        <v/>
      </c>
      <c r="R219" s="352">
        <f>IF(M219="",K219-N219,0)</f>
        <v>0</v>
      </c>
      <c r="S219" s="352"/>
      <c r="T219" s="166"/>
    </row>
    <row r="220" spans="1:20" s="26" customFormat="1" hidden="1" outlineLevel="1">
      <c r="A220" s="332" t="s">
        <v>94</v>
      </c>
      <c r="B220" s="351"/>
      <c r="C220" s="345"/>
      <c r="D220" s="345"/>
      <c r="E220" s="345"/>
      <c r="F220" s="424"/>
      <c r="G220" s="345"/>
      <c r="H220" s="949"/>
      <c r="I220" s="411"/>
      <c r="J220" s="433">
        <v>0.68869999999999998</v>
      </c>
      <c r="K220" s="347">
        <v>107887</v>
      </c>
      <c r="L220" s="348">
        <v>3</v>
      </c>
      <c r="M220" s="345">
        <v>42376</v>
      </c>
      <c r="N220" s="349">
        <v>107887</v>
      </c>
      <c r="O220" s="350">
        <v>42425</v>
      </c>
      <c r="P220" s="408">
        <f>IF(O220="",$R$2-M220,O220-M220)</f>
        <v>49</v>
      </c>
      <c r="Q220" s="352" t="str">
        <f>IF(N220="en attente",K220,"")</f>
        <v/>
      </c>
      <c r="R220" s="352">
        <f>IF(M220="",K220-N220,0)</f>
        <v>0</v>
      </c>
      <c r="S220" s="352"/>
      <c r="T220" s="166"/>
    </row>
    <row r="221" spans="1:20" s="26" customFormat="1" hidden="1" outlineLevel="1">
      <c r="A221" s="332" t="s">
        <v>94</v>
      </c>
      <c r="B221" s="351"/>
      <c r="C221" s="345"/>
      <c r="D221" s="345"/>
      <c r="E221" s="345"/>
      <c r="F221" s="424"/>
      <c r="G221" s="345"/>
      <c r="H221" s="949"/>
      <c r="I221" s="411"/>
      <c r="J221" s="548">
        <v>0.8</v>
      </c>
      <c r="K221" s="347">
        <v>124433.4</v>
      </c>
      <c r="L221" s="348">
        <v>4</v>
      </c>
      <c r="M221" s="345">
        <v>42446</v>
      </c>
      <c r="N221" s="349">
        <v>124433.4</v>
      </c>
      <c r="O221" s="350">
        <v>42466</v>
      </c>
      <c r="P221" s="408">
        <f>IF(O221="",$R$2-M221,O221-M221)</f>
        <v>20</v>
      </c>
      <c r="Q221" s="352" t="str">
        <f>IF(N221="en attente",K221,"")</f>
        <v/>
      </c>
      <c r="R221" s="352">
        <f>IF(M221="",K221-N221,0)</f>
        <v>0</v>
      </c>
      <c r="S221" s="352"/>
      <c r="T221" s="166"/>
    </row>
    <row r="222" spans="1:20" s="26" customFormat="1" hidden="1" outlineLevel="1">
      <c r="A222" s="332" t="s">
        <v>94</v>
      </c>
      <c r="B222" s="351"/>
      <c r="C222" s="345"/>
      <c r="D222" s="345"/>
      <c r="E222" s="345"/>
      <c r="F222" s="424"/>
      <c r="G222" s="345"/>
      <c r="H222" s="949"/>
      <c r="I222" s="411"/>
      <c r="J222" s="346">
        <v>1</v>
      </c>
      <c r="K222" s="347">
        <v>223600</v>
      </c>
      <c r="L222" s="348">
        <v>5</v>
      </c>
      <c r="M222" s="345">
        <v>42844</v>
      </c>
      <c r="N222" s="349">
        <v>223600</v>
      </c>
      <c r="O222" s="350">
        <v>42950</v>
      </c>
      <c r="P222" s="408">
        <f>IF(O222="",$R$2-M222,O222-M222)</f>
        <v>106</v>
      </c>
      <c r="Q222" s="352" t="str">
        <f>IF(N222="en attente",K222,"")</f>
        <v/>
      </c>
      <c r="R222" s="352">
        <f>IF(M222="",K222-N222,0)</f>
        <v>0</v>
      </c>
      <c r="S222" s="352"/>
      <c r="T222" s="166"/>
    </row>
    <row r="223" spans="1:20" s="26" customFormat="1" collapsed="1">
      <c r="A223" s="323" t="s">
        <v>242</v>
      </c>
      <c r="B223" s="330" t="s">
        <v>243</v>
      </c>
      <c r="C223" s="324">
        <v>42543</v>
      </c>
      <c r="D223" s="329">
        <f>DATE(YEAR(C223),MONTH(C223)+18,DAY(C223))</f>
        <v>43091</v>
      </c>
      <c r="E223" s="324">
        <v>42583</v>
      </c>
      <c r="F223" s="727">
        <v>42583</v>
      </c>
      <c r="G223" s="329">
        <f>DATE(YEAR(C223)+4,MONTH(C223),DAY(C223))</f>
        <v>44004</v>
      </c>
      <c r="H223" s="952">
        <v>43210</v>
      </c>
      <c r="I223" s="728">
        <v>529000</v>
      </c>
      <c r="J223" s="863"/>
      <c r="K223" s="391"/>
      <c r="L223" s="699"/>
      <c r="M223" s="397"/>
      <c r="N223" s="328">
        <f>SUM(N224:N228)</f>
        <v>529000</v>
      </c>
      <c r="O223" s="701"/>
      <c r="P223" s="729"/>
      <c r="Q223" s="331">
        <f>SUM(Q224:Q228)</f>
        <v>0</v>
      </c>
      <c r="R223" s="331">
        <f>SUM(R224:R228)</f>
        <v>0</v>
      </c>
      <c r="S223" s="702"/>
      <c r="T223" s="166">
        <f>I223-(N223+Q223+R223)</f>
        <v>0</v>
      </c>
    </row>
    <row r="224" spans="1:20" s="26" customFormat="1" hidden="1" outlineLevel="1">
      <c r="A224" s="332" t="s">
        <v>242</v>
      </c>
      <c r="B224" s="404"/>
      <c r="C224" s="412"/>
      <c r="D224" s="412"/>
      <c r="E224" s="412"/>
      <c r="F224" s="730"/>
      <c r="G224" s="412"/>
      <c r="H224" s="949"/>
      <c r="I224" s="411"/>
      <c r="J224" s="433">
        <v>0.3</v>
      </c>
      <c r="K224" s="347">
        <v>158700</v>
      </c>
      <c r="L224" s="348">
        <v>1</v>
      </c>
      <c r="M224" s="345">
        <v>42766</v>
      </c>
      <c r="N224" s="349">
        <v>158700</v>
      </c>
      <c r="O224" s="350">
        <v>42811</v>
      </c>
      <c r="P224" s="408"/>
      <c r="Q224" s="352" t="str">
        <f>IF(N224="en attente",K224,"")</f>
        <v/>
      </c>
      <c r="R224" s="352">
        <f>IF(M224="",K224-N224,0)</f>
        <v>0</v>
      </c>
      <c r="S224" s="352"/>
      <c r="T224" s="163"/>
    </row>
    <row r="225" spans="1:20" s="26" customFormat="1" hidden="1" outlineLevel="1">
      <c r="A225" s="332" t="s">
        <v>242</v>
      </c>
      <c r="B225" s="404"/>
      <c r="C225" s="412"/>
      <c r="D225" s="412"/>
      <c r="E225" s="412"/>
      <c r="F225" s="730"/>
      <c r="G225" s="412"/>
      <c r="H225" s="949"/>
      <c r="I225" s="411"/>
      <c r="J225" s="433">
        <v>0.6089</v>
      </c>
      <c r="K225" s="347">
        <f>I223*J225-K224</f>
        <v>163408.09999999998</v>
      </c>
      <c r="L225" s="348">
        <v>2</v>
      </c>
      <c r="M225" s="345">
        <v>42873</v>
      </c>
      <c r="N225" s="349">
        <v>163408.1</v>
      </c>
      <c r="O225" s="350">
        <v>42921</v>
      </c>
      <c r="P225" s="408"/>
      <c r="Q225" s="352" t="str">
        <f>IF(N225="en attente",K225,"")</f>
        <v/>
      </c>
      <c r="R225" s="352">
        <f>IF(M225="",K225-N225,0)</f>
        <v>0</v>
      </c>
      <c r="S225" s="352"/>
      <c r="T225" s="163"/>
    </row>
    <row r="226" spans="1:20" s="26" customFormat="1" hidden="1" outlineLevel="1">
      <c r="A226" s="332" t="s">
        <v>242</v>
      </c>
      <c r="B226" s="404"/>
      <c r="C226" s="412"/>
      <c r="D226" s="412"/>
      <c r="E226" s="412"/>
      <c r="F226" s="730"/>
      <c r="G226" s="412"/>
      <c r="H226" s="949"/>
      <c r="I226" s="411"/>
      <c r="J226" s="433">
        <v>0.70340000000000003</v>
      </c>
      <c r="K226" s="347">
        <f>I223*J226-K224-K225</f>
        <v>49990.500000000058</v>
      </c>
      <c r="L226" s="348">
        <v>3</v>
      </c>
      <c r="M226" s="345">
        <v>43032</v>
      </c>
      <c r="N226" s="349">
        <v>49990.5</v>
      </c>
      <c r="O226" s="350">
        <v>43077</v>
      </c>
      <c r="P226" s="408"/>
      <c r="Q226" s="352" t="str">
        <f>IF(N226="en attente",K226,"")</f>
        <v/>
      </c>
      <c r="R226" s="352"/>
      <c r="S226" s="352"/>
      <c r="T226" s="163"/>
    </row>
    <row r="227" spans="1:20" s="26" customFormat="1" hidden="1" outlineLevel="1">
      <c r="A227" s="332" t="s">
        <v>242</v>
      </c>
      <c r="B227" s="404"/>
      <c r="C227" s="412"/>
      <c r="D227" s="412"/>
      <c r="E227" s="412"/>
      <c r="F227" s="730"/>
      <c r="G227" s="412"/>
      <c r="H227" s="949"/>
      <c r="I227" s="411"/>
      <c r="J227" s="433">
        <v>0.8</v>
      </c>
      <c r="K227" s="347">
        <f>I223*J227-K224-K225-K226</f>
        <v>51101.399999999965</v>
      </c>
      <c r="L227" s="348">
        <v>4</v>
      </c>
      <c r="M227" s="345">
        <v>43076</v>
      </c>
      <c r="N227" s="349">
        <v>51101.4</v>
      </c>
      <c r="O227" s="350">
        <v>43175</v>
      </c>
      <c r="P227" s="408"/>
      <c r="Q227" s="352" t="str">
        <f>IF(N227="en attente",K227,"")</f>
        <v/>
      </c>
      <c r="R227" s="352">
        <f>IF(M227="",K227-N227,0)</f>
        <v>0</v>
      </c>
      <c r="S227" s="352"/>
      <c r="T227" s="163"/>
    </row>
    <row r="228" spans="1:20" s="26" customFormat="1" hidden="1" outlineLevel="1">
      <c r="A228" s="332" t="s">
        <v>242</v>
      </c>
      <c r="B228" s="351"/>
      <c r="C228" s="410"/>
      <c r="D228" s="412"/>
      <c r="E228" s="345"/>
      <c r="F228" s="836"/>
      <c r="G228" s="412"/>
      <c r="H228" s="949"/>
      <c r="I228" s="411"/>
      <c r="J228" s="433">
        <v>1</v>
      </c>
      <c r="K228" s="347">
        <f>I223-K224-K225-K226-K227</f>
        <v>105800</v>
      </c>
      <c r="L228" s="348">
        <v>5</v>
      </c>
      <c r="M228" s="345">
        <v>43361</v>
      </c>
      <c r="N228" s="349">
        <v>105800</v>
      </c>
      <c r="O228" s="350">
        <v>43420</v>
      </c>
      <c r="P228" s="408"/>
      <c r="Q228" s="352" t="str">
        <f>IF(N228="en attente",K228,"")</f>
        <v/>
      </c>
      <c r="R228" s="352">
        <f>IF(M228="",K228-N228,0)</f>
        <v>0</v>
      </c>
      <c r="S228" s="352"/>
      <c r="T228" s="166"/>
    </row>
    <row r="229" spans="1:20" s="107" customFormat="1">
      <c r="A229" s="803" t="s">
        <v>75</v>
      </c>
      <c r="B229" s="839" t="s">
        <v>177</v>
      </c>
      <c r="C229" s="840">
        <v>41144</v>
      </c>
      <c r="D229" s="840">
        <f>DATE(YEAR(C229),MONTH(C229)+18,DAY(C229))</f>
        <v>41693</v>
      </c>
      <c r="E229" s="840">
        <v>41253</v>
      </c>
      <c r="F229" s="841">
        <v>41295</v>
      </c>
      <c r="G229" s="840">
        <f>DATE(YEAR(C229)+4,MONTH(C229),DAY(C229))</f>
        <v>42605</v>
      </c>
      <c r="H229" s="957">
        <v>41927</v>
      </c>
      <c r="I229" s="807">
        <v>1</v>
      </c>
      <c r="J229" s="842"/>
      <c r="K229" s="807"/>
      <c r="L229" s="843"/>
      <c r="M229" s="840"/>
      <c r="N229" s="844">
        <f>SUM(N230)</f>
        <v>0</v>
      </c>
      <c r="O229" s="845"/>
      <c r="P229" s="846"/>
      <c r="Q229" s="847">
        <f>SUM(Q230)</f>
        <v>1</v>
      </c>
      <c r="R229" s="848">
        <f>SUM(R230)</f>
        <v>0</v>
      </c>
      <c r="S229" s="848"/>
      <c r="T229" s="166">
        <f>I229-(N229+Q229+R229)</f>
        <v>0</v>
      </c>
    </row>
    <row r="230" spans="1:20" s="26" customFormat="1">
      <c r="A230" s="46" t="s">
        <v>75</v>
      </c>
      <c r="B230" s="4"/>
      <c r="C230" s="15"/>
      <c r="D230" s="15"/>
      <c r="E230" s="15"/>
      <c r="F230" s="174"/>
      <c r="G230" s="15"/>
      <c r="H230" s="492"/>
      <c r="I230" s="23"/>
      <c r="J230" s="16"/>
      <c r="K230" s="23">
        <v>1</v>
      </c>
      <c r="L230" s="42">
        <v>1</v>
      </c>
      <c r="M230" s="15">
        <v>42409</v>
      </c>
      <c r="N230" s="112" t="s">
        <v>93</v>
      </c>
      <c r="O230" s="30"/>
      <c r="P230" s="43"/>
      <c r="Q230" s="106">
        <f>IF(N230="en attente",K230,"")</f>
        <v>1</v>
      </c>
      <c r="R230" s="81">
        <f>IF(M230="",K230-N230,0)</f>
        <v>0</v>
      </c>
      <c r="S230" s="81"/>
      <c r="T230" s="163"/>
    </row>
    <row r="231" spans="1:20" s="107" customFormat="1">
      <c r="A231" s="119" t="s">
        <v>58</v>
      </c>
      <c r="B231" s="125" t="s">
        <v>168</v>
      </c>
      <c r="C231" s="158">
        <v>41446</v>
      </c>
      <c r="D231" s="158">
        <f>DATE(YEAR(C231),MONTH(C231)+18,DAY(C231))</f>
        <v>41994</v>
      </c>
      <c r="E231" s="158">
        <v>41621</v>
      </c>
      <c r="F231" s="173">
        <v>41766</v>
      </c>
      <c r="G231" s="158">
        <f>DATE(YEAR(C231)+4,MONTH(C231),DAY(C231))</f>
        <v>42907</v>
      </c>
      <c r="H231" s="557">
        <v>42745</v>
      </c>
      <c r="I231" s="123">
        <v>1</v>
      </c>
      <c r="J231" s="128"/>
      <c r="K231" s="123"/>
      <c r="L231" s="138"/>
      <c r="M231" s="158"/>
      <c r="N231" s="126">
        <f>SUM(N232)</f>
        <v>0</v>
      </c>
      <c r="O231" s="151"/>
      <c r="P231" s="152"/>
      <c r="Q231" s="159">
        <f>SUM(Q232)</f>
        <v>1</v>
      </c>
      <c r="R231" s="159">
        <f>SUM(R232)</f>
        <v>0</v>
      </c>
      <c r="S231" s="159"/>
      <c r="T231" s="166">
        <f>I231-(N231+Q231+R231)</f>
        <v>0</v>
      </c>
    </row>
    <row r="232" spans="1:20" s="26" customFormat="1">
      <c r="A232" s="46" t="s">
        <v>58</v>
      </c>
      <c r="B232" s="4"/>
      <c r="C232" s="29" t="s">
        <v>212</v>
      </c>
      <c r="D232" s="15"/>
      <c r="E232" s="15"/>
      <c r="F232" s="174"/>
      <c r="G232" s="15"/>
      <c r="H232" s="492"/>
      <c r="I232" s="23"/>
      <c r="J232" s="16"/>
      <c r="K232" s="23">
        <v>1</v>
      </c>
      <c r="L232" s="42">
        <v>1</v>
      </c>
      <c r="M232" s="15">
        <v>43011</v>
      </c>
      <c r="N232" s="112" t="s">
        <v>93</v>
      </c>
      <c r="O232" s="30"/>
      <c r="P232" s="43"/>
      <c r="Q232" s="81">
        <f t="shared" si="39"/>
        <v>1</v>
      </c>
      <c r="R232" s="81">
        <f t="shared" si="43"/>
        <v>0</v>
      </c>
      <c r="S232" s="81"/>
      <c r="T232" s="163"/>
    </row>
    <row r="233" spans="1:20" s="107" customFormat="1" collapsed="1">
      <c r="A233" s="119" t="s">
        <v>36</v>
      </c>
      <c r="B233" s="125" t="s">
        <v>155</v>
      </c>
      <c r="C233" s="158">
        <v>41463</v>
      </c>
      <c r="D233" s="158">
        <f>DATE(YEAR(C233),MONTH(C233)+18,DAY(C233))</f>
        <v>42012</v>
      </c>
      <c r="E233" s="158">
        <v>42142</v>
      </c>
      <c r="F233" s="173">
        <v>42163</v>
      </c>
      <c r="G233" s="386">
        <v>43653</v>
      </c>
      <c r="H233" s="557">
        <v>43075</v>
      </c>
      <c r="I233" s="123">
        <v>1245000</v>
      </c>
      <c r="J233" s="128"/>
      <c r="K233" s="123"/>
      <c r="L233" s="138"/>
      <c r="M233" s="158"/>
      <c r="N233" s="126">
        <f>SUM(N234:N242)</f>
        <v>994755</v>
      </c>
      <c r="O233" s="151"/>
      <c r="P233" s="152"/>
      <c r="Q233" s="159">
        <f>SUM(Q234:Q242)</f>
        <v>0</v>
      </c>
      <c r="R233" s="159">
        <f>SUM(R234:R242)</f>
        <v>250245</v>
      </c>
      <c r="S233" s="159"/>
      <c r="T233" s="166">
        <f>I233-(N233+Q233+R233)</f>
        <v>0</v>
      </c>
    </row>
    <row r="234" spans="1:20" s="107" customFormat="1" hidden="1" outlineLevel="1">
      <c r="A234" s="46" t="s">
        <v>36</v>
      </c>
      <c r="B234" s="19"/>
      <c r="C234" s="29" t="s">
        <v>212</v>
      </c>
      <c r="D234" s="105"/>
      <c r="E234" s="105"/>
      <c r="F234" s="178"/>
      <c r="G234" s="29" t="s">
        <v>297</v>
      </c>
      <c r="H234" s="624"/>
      <c r="I234" s="21"/>
      <c r="J234" s="108">
        <f>K234/$I$233</f>
        <v>0.3</v>
      </c>
      <c r="K234" s="23">
        <f>0.3*I233</f>
        <v>373500</v>
      </c>
      <c r="L234" s="42">
        <v>1</v>
      </c>
      <c r="M234" s="15">
        <v>42178</v>
      </c>
      <c r="N234" s="24">
        <v>373500</v>
      </c>
      <c r="O234" s="30">
        <v>42247</v>
      </c>
      <c r="P234" s="43">
        <f t="shared" ref="P234:P241" si="49">IF(O234="",$R$2-M234,O234-M234)</f>
        <v>69</v>
      </c>
      <c r="Q234" s="81" t="str">
        <f t="shared" si="39"/>
        <v/>
      </c>
      <c r="R234" s="81">
        <f>IF(M234="",K234-N234,0)</f>
        <v>0</v>
      </c>
      <c r="S234" s="106"/>
      <c r="T234" s="163"/>
    </row>
    <row r="235" spans="1:20" s="26" customFormat="1" hidden="1" outlineLevel="1">
      <c r="A235" s="46" t="s">
        <v>36</v>
      </c>
      <c r="B235" s="4"/>
      <c r="C235" s="15"/>
      <c r="D235" s="15"/>
      <c r="E235" s="15"/>
      <c r="F235" s="174"/>
      <c r="G235" s="15"/>
      <c r="H235" s="492"/>
      <c r="I235" s="25"/>
      <c r="J235" s="232">
        <v>0.34970000000000001</v>
      </c>
      <c r="K235" s="110">
        <v>61876.5</v>
      </c>
      <c r="L235" s="42">
        <v>2</v>
      </c>
      <c r="M235" s="15">
        <v>42537</v>
      </c>
      <c r="N235" s="24">
        <v>61876.5</v>
      </c>
      <c r="O235" s="30">
        <v>42558</v>
      </c>
      <c r="P235" s="43">
        <f t="shared" si="49"/>
        <v>21</v>
      </c>
      <c r="Q235" s="81" t="str">
        <f t="shared" si="39"/>
        <v/>
      </c>
      <c r="R235" s="81">
        <f t="shared" si="43"/>
        <v>0</v>
      </c>
      <c r="S235" s="81"/>
      <c r="T235" s="163"/>
    </row>
    <row r="236" spans="1:20" s="26" customFormat="1" hidden="1" outlineLevel="1">
      <c r="A236" s="46" t="s">
        <v>36</v>
      </c>
      <c r="B236" s="4"/>
      <c r="C236" s="15"/>
      <c r="D236" s="15"/>
      <c r="E236" s="15"/>
      <c r="F236" s="174"/>
      <c r="G236" s="15"/>
      <c r="H236" s="958"/>
      <c r="I236" s="25"/>
      <c r="J236" s="232">
        <v>0.42380000000000001</v>
      </c>
      <c r="K236" s="23">
        <f>I233*J236-(K234+K235)</f>
        <v>92254.5</v>
      </c>
      <c r="L236" s="42">
        <v>3</v>
      </c>
      <c r="M236" s="15">
        <v>42599</v>
      </c>
      <c r="N236" s="24">
        <v>92254.5</v>
      </c>
      <c r="O236" s="30">
        <v>42639</v>
      </c>
      <c r="P236" s="43">
        <f t="shared" si="49"/>
        <v>40</v>
      </c>
      <c r="Q236" s="81" t="str">
        <f t="shared" si="39"/>
        <v/>
      </c>
      <c r="R236" s="81">
        <f t="shared" si="43"/>
        <v>0</v>
      </c>
      <c r="S236" s="81"/>
      <c r="T236" s="163"/>
    </row>
    <row r="237" spans="1:20" s="26" customFormat="1" hidden="1" outlineLevel="1">
      <c r="A237" s="46" t="s">
        <v>36</v>
      </c>
      <c r="B237" s="4"/>
      <c r="C237" s="15"/>
      <c r="D237" s="15"/>
      <c r="E237" s="15"/>
      <c r="F237" s="174"/>
      <c r="G237" s="15"/>
      <c r="H237" s="492"/>
      <c r="I237" s="25"/>
      <c r="J237" s="232">
        <v>0.50560000000000005</v>
      </c>
      <c r="K237" s="23">
        <f>I233*J237-(K234+K235+K236)</f>
        <v>101841.00000000012</v>
      </c>
      <c r="L237" s="42">
        <v>4</v>
      </c>
      <c r="M237" s="15">
        <v>42669</v>
      </c>
      <c r="N237" s="24">
        <v>101841</v>
      </c>
      <c r="O237" s="30">
        <v>42712</v>
      </c>
      <c r="P237" s="43">
        <f t="shared" si="49"/>
        <v>43</v>
      </c>
      <c r="Q237" s="81" t="str">
        <f t="shared" si="39"/>
        <v/>
      </c>
      <c r="R237" s="81">
        <f t="shared" si="43"/>
        <v>0</v>
      </c>
      <c r="S237" s="81"/>
      <c r="T237" s="163"/>
    </row>
    <row r="238" spans="1:20" s="26" customFormat="1" hidden="1" outlineLevel="1">
      <c r="A238" s="46" t="s">
        <v>36</v>
      </c>
      <c r="B238" s="4"/>
      <c r="C238" s="15"/>
      <c r="D238" s="15"/>
      <c r="E238" s="15"/>
      <c r="F238" s="174"/>
      <c r="G238" s="15"/>
      <c r="H238" s="492"/>
      <c r="I238" s="25"/>
      <c r="J238" s="232">
        <v>0.59230000000000005</v>
      </c>
      <c r="K238" s="23">
        <f>I233*J238-(K234+K235+K236+K237)</f>
        <v>107941.5</v>
      </c>
      <c r="L238" s="42">
        <v>5</v>
      </c>
      <c r="M238" s="15">
        <v>42745</v>
      </c>
      <c r="N238" s="24">
        <v>107941.5</v>
      </c>
      <c r="O238" s="30">
        <v>42790</v>
      </c>
      <c r="P238" s="43">
        <f t="shared" si="49"/>
        <v>45</v>
      </c>
      <c r="Q238" s="81" t="str">
        <f t="shared" si="39"/>
        <v/>
      </c>
      <c r="R238" s="81">
        <f t="shared" si="43"/>
        <v>0</v>
      </c>
      <c r="S238" s="81"/>
      <c r="T238" s="163"/>
    </row>
    <row r="239" spans="1:20" s="26" customFormat="1" hidden="1" outlineLevel="1">
      <c r="A239" s="46" t="s">
        <v>36</v>
      </c>
      <c r="B239" s="4"/>
      <c r="C239" s="15"/>
      <c r="D239" s="15"/>
      <c r="E239" s="15"/>
      <c r="F239" s="174"/>
      <c r="G239" s="15"/>
      <c r="H239" s="492"/>
      <c r="I239" s="25"/>
      <c r="J239" s="232">
        <v>0.64890000000000003</v>
      </c>
      <c r="K239" s="23">
        <f>+I233*J239-(K234+K235+K236+K237+K238)</f>
        <v>70466.999999999884</v>
      </c>
      <c r="L239" s="42">
        <v>6</v>
      </c>
      <c r="M239" s="15">
        <v>42866</v>
      </c>
      <c r="N239" s="24">
        <v>70467</v>
      </c>
      <c r="O239" s="30">
        <v>42909</v>
      </c>
      <c r="P239" s="43">
        <f t="shared" si="49"/>
        <v>43</v>
      </c>
      <c r="Q239" s="81" t="str">
        <f t="shared" si="39"/>
        <v/>
      </c>
      <c r="R239" s="81">
        <f t="shared" si="43"/>
        <v>0</v>
      </c>
      <c r="S239" s="81"/>
      <c r="T239" s="163"/>
    </row>
    <row r="240" spans="1:20" s="26" customFormat="1" hidden="1" outlineLevel="1">
      <c r="A240" s="46" t="s">
        <v>36</v>
      </c>
      <c r="B240" s="4"/>
      <c r="C240" s="15"/>
      <c r="D240" s="15"/>
      <c r="E240" s="15"/>
      <c r="F240" s="174"/>
      <c r="G240" s="15"/>
      <c r="H240" s="492"/>
      <c r="I240" s="25"/>
      <c r="J240" s="232">
        <v>0.71970000000000001</v>
      </c>
      <c r="K240" s="23">
        <v>88146</v>
      </c>
      <c r="L240" s="42">
        <v>7</v>
      </c>
      <c r="M240" s="15">
        <v>42954</v>
      </c>
      <c r="N240" s="24">
        <v>88146</v>
      </c>
      <c r="O240" s="30">
        <v>42993</v>
      </c>
      <c r="P240" s="43">
        <f t="shared" si="49"/>
        <v>39</v>
      </c>
      <c r="Q240" s="81" t="str">
        <f t="shared" si="39"/>
        <v/>
      </c>
      <c r="R240" s="81">
        <f t="shared" si="43"/>
        <v>0</v>
      </c>
      <c r="S240" s="81"/>
      <c r="T240" s="163"/>
    </row>
    <row r="241" spans="1:20" s="26" customFormat="1" hidden="1" outlineLevel="1">
      <c r="A241" s="46" t="s">
        <v>36</v>
      </c>
      <c r="B241" s="4"/>
      <c r="C241" s="15"/>
      <c r="D241" s="15"/>
      <c r="E241" s="15"/>
      <c r="F241" s="174"/>
      <c r="G241" s="15"/>
      <c r="H241" s="492"/>
      <c r="I241" s="25"/>
      <c r="J241" s="232">
        <v>0.79900000000000004</v>
      </c>
      <c r="K241" s="23">
        <f>I233*J241-(K234+K235+K236+K237+K238+K239+K240)</f>
        <v>98728.5</v>
      </c>
      <c r="L241" s="42">
        <v>8</v>
      </c>
      <c r="M241" s="15">
        <v>43069</v>
      </c>
      <c r="N241" s="24">
        <v>98728.5</v>
      </c>
      <c r="O241" s="30">
        <v>43119</v>
      </c>
      <c r="P241" s="43">
        <f t="shared" si="49"/>
        <v>50</v>
      </c>
      <c r="Q241" s="81" t="str">
        <f t="shared" si="39"/>
        <v/>
      </c>
      <c r="R241" s="81">
        <f t="shared" si="43"/>
        <v>0</v>
      </c>
      <c r="S241" s="81"/>
      <c r="T241" s="163"/>
    </row>
    <row r="242" spans="1:20" s="26" customFormat="1" hidden="1" outlineLevel="1">
      <c r="A242" s="46" t="s">
        <v>36</v>
      </c>
      <c r="B242" s="4"/>
      <c r="C242" s="15"/>
      <c r="D242" s="15"/>
      <c r="E242" s="15"/>
      <c r="F242" s="174"/>
      <c r="G242" s="15"/>
      <c r="H242" s="492"/>
      <c r="I242" s="25"/>
      <c r="J242" s="108">
        <f>K242/$I$233+J241</f>
        <v>1</v>
      </c>
      <c r="K242" s="111">
        <f>I233-K234-K235-K236-K237-K238-K239-K240-K241</f>
        <v>250245</v>
      </c>
      <c r="L242" s="42">
        <v>9</v>
      </c>
      <c r="M242" s="15"/>
      <c r="N242" s="24"/>
      <c r="O242" s="30"/>
      <c r="P242" s="43"/>
      <c r="Q242" s="81" t="str">
        <f t="shared" si="39"/>
        <v/>
      </c>
      <c r="R242" s="81">
        <f t="shared" si="43"/>
        <v>250245</v>
      </c>
      <c r="S242" s="81"/>
      <c r="T242" s="163"/>
    </row>
    <row r="243" spans="1:20" s="183" customFormat="1">
      <c r="A243" s="119" t="s">
        <v>36</v>
      </c>
      <c r="B243" s="125" t="s">
        <v>166</v>
      </c>
      <c r="C243" s="158">
        <v>41493</v>
      </c>
      <c r="D243" s="383">
        <f>DATE(YEAR(C243),MONTH(C243)+18,DAY(C243))</f>
        <v>42042</v>
      </c>
      <c r="E243" s="383">
        <v>42142</v>
      </c>
      <c r="F243" s="173">
        <v>42163</v>
      </c>
      <c r="G243" s="386">
        <v>43683</v>
      </c>
      <c r="H243" s="557">
        <v>43075</v>
      </c>
      <c r="I243" s="123">
        <v>1</v>
      </c>
      <c r="J243" s="128"/>
      <c r="K243" s="123"/>
      <c r="L243" s="138"/>
      <c r="M243" s="158"/>
      <c r="N243" s="126">
        <f>SUM(N244)</f>
        <v>0</v>
      </c>
      <c r="O243" s="151"/>
      <c r="P243" s="152"/>
      <c r="Q243" s="159">
        <f>SUM(Q244)</f>
        <v>0</v>
      </c>
      <c r="R243" s="159">
        <f>SUM(R244)</f>
        <v>1</v>
      </c>
      <c r="S243" s="159"/>
      <c r="T243" s="182">
        <f>I243-(N243+Q243+R243)</f>
        <v>0</v>
      </c>
    </row>
    <row r="244" spans="1:20" s="26" customFormat="1">
      <c r="A244" s="46" t="s">
        <v>36</v>
      </c>
      <c r="B244" s="4"/>
      <c r="C244" s="29" t="s">
        <v>212</v>
      </c>
      <c r="D244" s="15"/>
      <c r="E244" s="15"/>
      <c r="F244" s="174"/>
      <c r="G244" s="29" t="s">
        <v>297</v>
      </c>
      <c r="H244" s="492"/>
      <c r="I244" s="23"/>
      <c r="J244" s="16"/>
      <c r="K244" s="111">
        <v>1</v>
      </c>
      <c r="L244" s="42">
        <v>1</v>
      </c>
      <c r="M244" s="15"/>
      <c r="N244" s="24"/>
      <c r="O244" s="30"/>
      <c r="P244" s="43"/>
      <c r="Q244" s="81" t="str">
        <f t="shared" ref="Q244:Q349" si="50">IF(N244="en attente",K244,"")</f>
        <v/>
      </c>
      <c r="R244" s="81">
        <f t="shared" si="43"/>
        <v>1</v>
      </c>
      <c r="S244" s="81"/>
      <c r="T244" s="163"/>
    </row>
    <row r="245" spans="1:20" s="107" customFormat="1" collapsed="1">
      <c r="A245" s="119" t="s">
        <v>37</v>
      </c>
      <c r="B245" s="125" t="s">
        <v>162</v>
      </c>
      <c r="C245" s="158">
        <v>41855</v>
      </c>
      <c r="D245" s="158">
        <f>DATE(YEAR(C245),MONTH(C245)+18,DAY(C245))</f>
        <v>42404</v>
      </c>
      <c r="E245" s="158">
        <v>42935</v>
      </c>
      <c r="F245" s="559">
        <v>42933</v>
      </c>
      <c r="G245" s="386">
        <v>44046</v>
      </c>
      <c r="H245" s="557"/>
      <c r="I245" s="123">
        <v>442750</v>
      </c>
      <c r="J245" s="128"/>
      <c r="K245" s="123"/>
      <c r="L245" s="138"/>
      <c r="M245" s="158"/>
      <c r="N245" s="126">
        <f>SUM(N246:N250)</f>
        <v>354200</v>
      </c>
      <c r="O245" s="151"/>
      <c r="P245" s="152"/>
      <c r="Q245" s="159">
        <f>SUM(Q246:Q250)</f>
        <v>0</v>
      </c>
      <c r="R245" s="159">
        <f>SUM(R246:R250)</f>
        <v>88549.999999999985</v>
      </c>
      <c r="S245" s="159"/>
      <c r="T245" s="166">
        <f>I245-(N245+Q245+R245)</f>
        <v>0</v>
      </c>
    </row>
    <row r="246" spans="1:20" s="107" customFormat="1" hidden="1" outlineLevel="1">
      <c r="A246" s="46" t="s">
        <v>37</v>
      </c>
      <c r="B246" s="19"/>
      <c r="C246" s="105"/>
      <c r="D246" s="105"/>
      <c r="E246" s="105"/>
      <c r="F246" s="178"/>
      <c r="G246" s="434" t="s">
        <v>279</v>
      </c>
      <c r="H246" s="624"/>
      <c r="I246" s="21"/>
      <c r="J246" s="108">
        <v>0.3</v>
      </c>
      <c r="K246" s="23">
        <f>+I245*J246</f>
        <v>132825</v>
      </c>
      <c r="L246" s="42">
        <v>1</v>
      </c>
      <c r="M246" s="15">
        <v>42943</v>
      </c>
      <c r="N246" s="24">
        <v>132825</v>
      </c>
      <c r="O246" s="30">
        <v>42993</v>
      </c>
      <c r="P246" s="416"/>
      <c r="Q246" s="81" t="str">
        <f t="shared" si="50"/>
        <v/>
      </c>
      <c r="R246" s="81">
        <f t="shared" si="43"/>
        <v>0</v>
      </c>
      <c r="S246" s="106"/>
      <c r="T246" s="163"/>
    </row>
    <row r="247" spans="1:20" s="107" customFormat="1" hidden="1" outlineLevel="1">
      <c r="A247" s="46" t="s">
        <v>37</v>
      </c>
      <c r="B247" s="19"/>
      <c r="C247" s="105"/>
      <c r="D247" s="105"/>
      <c r="E247" s="105"/>
      <c r="F247" s="178"/>
      <c r="G247" s="434"/>
      <c r="H247" s="624"/>
      <c r="I247" s="21"/>
      <c r="J247" s="232">
        <v>0.42809999999999998</v>
      </c>
      <c r="K247" s="23">
        <f>J247*I245-K246-0.01</f>
        <v>56716.264999999992</v>
      </c>
      <c r="L247" s="42">
        <v>2</v>
      </c>
      <c r="M247" s="15">
        <v>43242</v>
      </c>
      <c r="N247" s="24">
        <v>56716.27</v>
      </c>
      <c r="O247" s="30">
        <v>43270</v>
      </c>
      <c r="P247" s="416"/>
      <c r="Q247" s="81" t="str">
        <f t="shared" si="50"/>
        <v/>
      </c>
      <c r="R247" s="81"/>
      <c r="S247" s="106"/>
      <c r="T247" s="163"/>
    </row>
    <row r="248" spans="1:20" s="107" customFormat="1" hidden="1" outlineLevel="1">
      <c r="A248" s="46" t="s">
        <v>37</v>
      </c>
      <c r="B248" s="19"/>
      <c r="C248" s="105"/>
      <c r="D248" s="105"/>
      <c r="E248" s="105"/>
      <c r="F248" s="178"/>
      <c r="G248" s="565"/>
      <c r="H248" s="624"/>
      <c r="I248" s="21"/>
      <c r="J248" s="232">
        <v>0.58099999999999996</v>
      </c>
      <c r="K248" s="23">
        <f>+I245*J248-K246-K247-0.01</f>
        <v>67696.474999999991</v>
      </c>
      <c r="L248" s="42">
        <v>3</v>
      </c>
      <c r="M248" s="15">
        <v>43291</v>
      </c>
      <c r="N248" s="24">
        <v>67696.479999999996</v>
      </c>
      <c r="O248" s="30">
        <v>43329</v>
      </c>
      <c r="P248" s="416"/>
      <c r="Q248" s="81" t="str">
        <f t="shared" si="50"/>
        <v/>
      </c>
      <c r="R248" s="81">
        <f t="shared" si="43"/>
        <v>0</v>
      </c>
      <c r="S248" s="106"/>
      <c r="T248" s="163"/>
    </row>
    <row r="249" spans="1:20" s="107" customFormat="1" hidden="1" outlineLevel="1">
      <c r="A249" s="46" t="s">
        <v>37</v>
      </c>
      <c r="B249" s="19"/>
      <c r="C249" s="105"/>
      <c r="D249" s="105"/>
      <c r="E249" s="105"/>
      <c r="F249" s="178"/>
      <c r="G249" s="434"/>
      <c r="H249" s="624"/>
      <c r="I249" s="21"/>
      <c r="J249" s="108">
        <v>0.8</v>
      </c>
      <c r="K249" s="23">
        <f>+I245*J249-K246-K248-K247-0.01</f>
        <v>96962.250000000044</v>
      </c>
      <c r="L249" s="42">
        <v>4</v>
      </c>
      <c r="M249" s="15">
        <v>43370</v>
      </c>
      <c r="N249" s="24">
        <v>96962.25</v>
      </c>
      <c r="O249" s="30">
        <v>43440</v>
      </c>
      <c r="P249" s="416"/>
      <c r="Q249" s="81" t="str">
        <f t="shared" si="50"/>
        <v/>
      </c>
      <c r="R249" s="81">
        <f t="shared" si="43"/>
        <v>0</v>
      </c>
      <c r="S249" s="106"/>
      <c r="T249" s="163"/>
    </row>
    <row r="250" spans="1:20" s="26" customFormat="1" hidden="1" outlineLevel="1">
      <c r="A250" s="118" t="s">
        <v>37</v>
      </c>
      <c r="B250" s="39"/>
      <c r="C250" s="33" t="s">
        <v>212</v>
      </c>
      <c r="D250" s="385"/>
      <c r="E250" s="36"/>
      <c r="F250" s="175"/>
      <c r="G250" s="454"/>
      <c r="H250" s="626"/>
      <c r="I250" s="25"/>
      <c r="J250" s="153">
        <v>1</v>
      </c>
      <c r="K250" s="35">
        <f>+I245-K246-K248-K249-K247-0.01</f>
        <v>88549.999999999985</v>
      </c>
      <c r="L250" s="44">
        <v>5</v>
      </c>
      <c r="M250" s="36"/>
      <c r="N250" s="37"/>
      <c r="O250" s="155"/>
      <c r="P250" s="156"/>
      <c r="Q250" s="81" t="str">
        <f t="shared" si="50"/>
        <v/>
      </c>
      <c r="R250" s="157">
        <f>IF(M250="",K250-N250,0)</f>
        <v>88549.999999999985</v>
      </c>
      <c r="S250" s="157"/>
      <c r="T250" s="163"/>
    </row>
    <row r="251" spans="1:20" s="107" customFormat="1">
      <c r="A251" s="323" t="s">
        <v>274</v>
      </c>
      <c r="B251" s="330" t="s">
        <v>161</v>
      </c>
      <c r="C251" s="324">
        <v>41800</v>
      </c>
      <c r="D251" s="324">
        <f>DATE(YEAR(C251),MONTH(C251)+18,DAY(C251))</f>
        <v>42348</v>
      </c>
      <c r="E251" s="324">
        <v>42460</v>
      </c>
      <c r="F251" s="422">
        <v>42500</v>
      </c>
      <c r="G251" s="324">
        <f>DATE(YEAR(C251)+4,MONTH(C251),DAY(C251))</f>
        <v>43261</v>
      </c>
      <c r="H251" s="952">
        <v>43206</v>
      </c>
      <c r="I251" s="326">
        <v>1</v>
      </c>
      <c r="J251" s="325"/>
      <c r="K251" s="326"/>
      <c r="L251" s="327"/>
      <c r="M251" s="324"/>
      <c r="N251" s="328">
        <f>SUM(N252)</f>
        <v>0</v>
      </c>
      <c r="O251" s="329"/>
      <c r="P251" s="423"/>
      <c r="Q251" s="415">
        <f>SUM(Q252)</f>
        <v>0</v>
      </c>
      <c r="R251" s="415">
        <f>SUM(R252)</f>
        <v>0</v>
      </c>
      <c r="S251" s="331"/>
      <c r="T251" s="166">
        <f>I251-(N251+Q251+R251)</f>
        <v>1</v>
      </c>
    </row>
    <row r="252" spans="1:20" s="26" customFormat="1">
      <c r="A252" s="354" t="s">
        <v>274</v>
      </c>
      <c r="B252" s="361"/>
      <c r="C252" s="393" t="s">
        <v>212</v>
      </c>
      <c r="D252" s="725"/>
      <c r="E252" s="393"/>
      <c r="F252" s="425"/>
      <c r="G252" s="356"/>
      <c r="H252" s="950"/>
      <c r="I252" s="357"/>
      <c r="J252" s="363"/>
      <c r="K252" s="357">
        <v>1</v>
      </c>
      <c r="L252" s="358">
        <v>1</v>
      </c>
      <c r="M252" s="356">
        <v>43440</v>
      </c>
      <c r="N252" s="359" t="s">
        <v>373</v>
      </c>
      <c r="O252" s="360"/>
      <c r="P252" s="427"/>
      <c r="Q252" s="362" t="str">
        <f t="shared" si="50"/>
        <v/>
      </c>
      <c r="R252" s="362">
        <f t="shared" si="43"/>
        <v>0</v>
      </c>
      <c r="S252" s="362"/>
      <c r="T252" s="163"/>
    </row>
    <row r="253" spans="1:20" s="107" customFormat="1" collapsed="1">
      <c r="A253" s="129" t="s">
        <v>272</v>
      </c>
      <c r="B253" s="134" t="s">
        <v>248</v>
      </c>
      <c r="C253" s="149">
        <v>42605</v>
      </c>
      <c r="D253" s="149">
        <f>DATE(YEAR(C253),MONTH(C253)+18,DAY(C253))</f>
        <v>43154</v>
      </c>
      <c r="E253" s="149">
        <v>42677</v>
      </c>
      <c r="F253" s="177">
        <v>42781</v>
      </c>
      <c r="G253" s="149">
        <f>DATE(YEAR(C253)+4,MONTH(C253),DAY(C253))</f>
        <v>44066</v>
      </c>
      <c r="H253" s="959">
        <v>43349</v>
      </c>
      <c r="I253" s="132">
        <v>280000</v>
      </c>
      <c r="J253" s="137"/>
      <c r="K253" s="132"/>
      <c r="L253" s="133"/>
      <c r="M253" s="149"/>
      <c r="N253" s="135">
        <f>SUM(N254:N259)</f>
        <v>224000</v>
      </c>
      <c r="O253" s="147"/>
      <c r="P253" s="148"/>
      <c r="Q253" s="184">
        <f>SUM(Q254:Q259)</f>
        <v>0</v>
      </c>
      <c r="R253" s="150">
        <f>SUM(R254:R259)</f>
        <v>56000</v>
      </c>
      <c r="S253" s="150"/>
      <c r="T253" s="166">
        <f>I253-(N253+Q253+R253)</f>
        <v>0</v>
      </c>
    </row>
    <row r="254" spans="1:20" s="107" customFormat="1" hidden="1" outlineLevel="1">
      <c r="A254" s="46" t="s">
        <v>272</v>
      </c>
      <c r="B254" s="19"/>
      <c r="C254" s="105"/>
      <c r="D254" s="105"/>
      <c r="E254" s="105"/>
      <c r="F254" s="178"/>
      <c r="G254" s="105"/>
      <c r="H254" s="624"/>
      <c r="I254" s="21"/>
      <c r="J254" s="108">
        <v>0.3</v>
      </c>
      <c r="K254" s="23">
        <f>+I253*J254</f>
        <v>84000</v>
      </c>
      <c r="L254" s="42">
        <v>1</v>
      </c>
      <c r="M254" s="15">
        <v>42789</v>
      </c>
      <c r="N254" s="24">
        <v>84000</v>
      </c>
      <c r="O254" s="30">
        <v>42815</v>
      </c>
      <c r="P254" s="416"/>
      <c r="Q254" s="81" t="str">
        <f t="shared" si="50"/>
        <v/>
      </c>
      <c r="R254" s="81">
        <f t="shared" si="43"/>
        <v>0</v>
      </c>
      <c r="S254" s="106"/>
      <c r="T254" s="163"/>
    </row>
    <row r="255" spans="1:20" s="107" customFormat="1" hidden="1" outlineLevel="1">
      <c r="A255" s="46" t="s">
        <v>272</v>
      </c>
      <c r="B255" s="19"/>
      <c r="C255" s="105"/>
      <c r="D255" s="105"/>
      <c r="E255" s="105"/>
      <c r="F255" s="178"/>
      <c r="G255" s="105"/>
      <c r="H255" s="624"/>
      <c r="I255" s="21"/>
      <c r="J255" s="232">
        <v>0.43340000000000001</v>
      </c>
      <c r="K255" s="23">
        <f>I253*J255-K254</f>
        <v>37352</v>
      </c>
      <c r="L255" s="42">
        <v>2</v>
      </c>
      <c r="M255" s="15">
        <v>43076</v>
      </c>
      <c r="N255" s="24">
        <v>37352</v>
      </c>
      <c r="O255" s="30">
        <v>43164</v>
      </c>
      <c r="P255" s="416"/>
      <c r="Q255" s="81" t="str">
        <f t="shared" si="50"/>
        <v/>
      </c>
      <c r="R255" s="81">
        <f t="shared" si="43"/>
        <v>0</v>
      </c>
      <c r="S255" s="106"/>
      <c r="T255" s="163"/>
    </row>
    <row r="256" spans="1:20" s="107" customFormat="1" hidden="1" outlineLevel="1">
      <c r="A256" s="46" t="s">
        <v>272</v>
      </c>
      <c r="B256" s="19"/>
      <c r="C256" s="105"/>
      <c r="D256" s="105"/>
      <c r="E256" s="105"/>
      <c r="F256" s="178"/>
      <c r="G256" s="105"/>
      <c r="H256" s="624"/>
      <c r="I256" s="21"/>
      <c r="J256" s="232">
        <v>0.51439999999999997</v>
      </c>
      <c r="K256" s="23">
        <f>I253*J256-K254-K255</f>
        <v>22680</v>
      </c>
      <c r="L256" s="42">
        <v>3</v>
      </c>
      <c r="M256" s="15">
        <v>43202</v>
      </c>
      <c r="N256" s="24">
        <v>22680</v>
      </c>
      <c r="O256" s="30">
        <v>43252</v>
      </c>
      <c r="P256" s="416"/>
      <c r="Q256" s="81" t="str">
        <f t="shared" si="50"/>
        <v/>
      </c>
      <c r="R256" s="81">
        <f t="shared" si="43"/>
        <v>0</v>
      </c>
      <c r="S256" s="106"/>
      <c r="T256" s="163"/>
    </row>
    <row r="257" spans="1:20" s="107" customFormat="1" hidden="1" outlineLevel="1">
      <c r="A257" s="46" t="s">
        <v>272</v>
      </c>
      <c r="B257" s="19"/>
      <c r="C257" s="105"/>
      <c r="D257" s="105"/>
      <c r="E257" s="105"/>
      <c r="F257" s="178"/>
      <c r="G257" s="105"/>
      <c r="H257" s="624"/>
      <c r="I257" s="21"/>
      <c r="J257" s="232">
        <v>0.64229999999999998</v>
      </c>
      <c r="K257" s="23">
        <v>35812</v>
      </c>
      <c r="L257" s="42">
        <v>4</v>
      </c>
      <c r="M257" s="15">
        <v>43277</v>
      </c>
      <c r="N257" s="24">
        <v>35812</v>
      </c>
      <c r="O257" s="30">
        <v>43325</v>
      </c>
      <c r="P257" s="416"/>
      <c r="Q257" s="81" t="str">
        <f t="shared" si="50"/>
        <v/>
      </c>
      <c r="R257" s="81"/>
      <c r="S257" s="106"/>
      <c r="T257" s="163"/>
    </row>
    <row r="258" spans="1:20" s="107" customFormat="1" hidden="1" outlineLevel="1">
      <c r="A258" s="46" t="s">
        <v>272</v>
      </c>
      <c r="B258" s="19"/>
      <c r="C258" s="105"/>
      <c r="D258" s="105"/>
      <c r="E258" s="105"/>
      <c r="F258" s="178"/>
      <c r="G258" s="105"/>
      <c r="H258" s="624"/>
      <c r="I258" s="21"/>
      <c r="J258" s="108">
        <v>0.8</v>
      </c>
      <c r="K258" s="23">
        <f>I253*J258-K254-K255-K256-K257</f>
        <v>44156</v>
      </c>
      <c r="L258" s="42">
        <v>5</v>
      </c>
      <c r="M258" s="15">
        <v>43333</v>
      </c>
      <c r="N258" s="24">
        <v>44156</v>
      </c>
      <c r="O258" s="30">
        <v>43369</v>
      </c>
      <c r="P258" s="416"/>
      <c r="Q258" s="81" t="str">
        <f t="shared" si="50"/>
        <v/>
      </c>
      <c r="R258" s="81">
        <f t="shared" si="43"/>
        <v>0</v>
      </c>
      <c r="S258" s="106"/>
      <c r="T258" s="163"/>
    </row>
    <row r="259" spans="1:20" s="26" customFormat="1" hidden="1" outlineLevel="1">
      <c r="A259" s="46" t="s">
        <v>272</v>
      </c>
      <c r="B259" s="4"/>
      <c r="C259" s="29"/>
      <c r="D259" s="385"/>
      <c r="E259" s="15"/>
      <c r="F259" s="174"/>
      <c r="G259" s="15"/>
      <c r="H259" s="492"/>
      <c r="I259" s="25"/>
      <c r="J259" s="108">
        <v>1</v>
      </c>
      <c r="K259" s="111">
        <f>I253-K254-K255-K256-K258-K257</f>
        <v>56000</v>
      </c>
      <c r="L259" s="42">
        <v>6</v>
      </c>
      <c r="M259" s="15"/>
      <c r="N259" s="24"/>
      <c r="O259" s="30"/>
      <c r="P259" s="43"/>
      <c r="Q259" s="81" t="str">
        <f t="shared" si="50"/>
        <v/>
      </c>
      <c r="R259" s="81">
        <f t="shared" si="43"/>
        <v>56000</v>
      </c>
      <c r="S259" s="81"/>
      <c r="T259" s="163"/>
    </row>
    <row r="260" spans="1:20" s="107" customFormat="1" collapsed="1">
      <c r="A260" s="119" t="s">
        <v>273</v>
      </c>
      <c r="B260" s="125" t="s">
        <v>159</v>
      </c>
      <c r="C260" s="158">
        <v>41890</v>
      </c>
      <c r="D260" s="158">
        <f>DATE(YEAR(C260),MONTH(C260)+18,DAY(C260))</f>
        <v>42437</v>
      </c>
      <c r="E260" s="158">
        <v>42326</v>
      </c>
      <c r="F260" s="457">
        <v>42774</v>
      </c>
      <c r="G260" s="158">
        <f>DATE(YEAR(C260)+4,MONTH(C260),DAY(C260))</f>
        <v>43351</v>
      </c>
      <c r="H260" s="557">
        <v>43341</v>
      </c>
      <c r="I260" s="123">
        <v>600000</v>
      </c>
      <c r="J260" s="128"/>
      <c r="K260" s="123"/>
      <c r="L260" s="138"/>
      <c r="M260" s="158"/>
      <c r="N260" s="126">
        <f>SUM(N261:N267)</f>
        <v>480000</v>
      </c>
      <c r="O260" s="151"/>
      <c r="P260" s="152"/>
      <c r="Q260" s="159">
        <f>SUM(Q261:Q267)</f>
        <v>0</v>
      </c>
      <c r="R260" s="159">
        <f>SUM(R261:R267)</f>
        <v>120000</v>
      </c>
      <c r="S260" s="159"/>
      <c r="T260" s="166">
        <f>I260-(N260+Q260+R260)</f>
        <v>0</v>
      </c>
    </row>
    <row r="261" spans="1:20" s="26" customFormat="1" hidden="1" outlineLevel="1">
      <c r="A261" s="46" t="s">
        <v>273</v>
      </c>
      <c r="B261" s="4"/>
      <c r="C261" s="29" t="s">
        <v>212</v>
      </c>
      <c r="D261" s="15"/>
      <c r="E261" s="15"/>
      <c r="F261" s="174"/>
      <c r="G261" s="434"/>
      <c r="H261" s="492"/>
      <c r="I261" s="25"/>
      <c r="J261" s="108">
        <v>0.3</v>
      </c>
      <c r="K261" s="23">
        <f>+I260*J261</f>
        <v>180000</v>
      </c>
      <c r="L261" s="42">
        <v>1</v>
      </c>
      <c r="M261" s="15">
        <v>42782</v>
      </c>
      <c r="N261" s="24">
        <v>180000</v>
      </c>
      <c r="O261" s="30">
        <v>42811</v>
      </c>
      <c r="P261" s="43"/>
      <c r="Q261" s="81" t="str">
        <f t="shared" si="50"/>
        <v/>
      </c>
      <c r="R261" s="81">
        <f t="shared" ref="R261:R267" si="51">IF(M261="",K261-N261,0)</f>
        <v>0</v>
      </c>
      <c r="S261" s="81"/>
      <c r="T261" s="163"/>
    </row>
    <row r="262" spans="1:20" s="456" customFormat="1" hidden="1" outlineLevel="1">
      <c r="A262" s="46" t="s">
        <v>273</v>
      </c>
      <c r="B262" s="4"/>
      <c r="C262" s="29"/>
      <c r="D262" s="15"/>
      <c r="E262" s="15"/>
      <c r="F262" s="174"/>
      <c r="G262" s="15"/>
      <c r="H262" s="492"/>
      <c r="I262" s="25"/>
      <c r="J262" s="232">
        <v>0.37959999999999999</v>
      </c>
      <c r="K262" s="23">
        <f>+I260*J262-K261</f>
        <v>47760</v>
      </c>
      <c r="L262" s="42">
        <v>2</v>
      </c>
      <c r="M262" s="15">
        <v>43053</v>
      </c>
      <c r="N262" s="24">
        <v>47760</v>
      </c>
      <c r="O262" s="30">
        <v>43077</v>
      </c>
      <c r="P262" s="43"/>
      <c r="Q262" s="81" t="str">
        <f>IF(N262="en attente",K262,"")</f>
        <v/>
      </c>
      <c r="R262" s="81">
        <f t="shared" si="51"/>
        <v>0</v>
      </c>
      <c r="S262" s="81"/>
      <c r="T262" s="164"/>
    </row>
    <row r="263" spans="1:20" s="456" customFormat="1" hidden="1" outlineLevel="1">
      <c r="A263" s="46" t="s">
        <v>273</v>
      </c>
      <c r="B263" s="4"/>
      <c r="C263" s="29"/>
      <c r="D263" s="15"/>
      <c r="E263" s="15"/>
      <c r="F263" s="174"/>
      <c r="G263" s="15"/>
      <c r="H263" s="492"/>
      <c r="I263" s="25"/>
      <c r="J263" s="232">
        <v>0.49869999999999998</v>
      </c>
      <c r="K263" s="23">
        <f>+I260*J263-K261-K262</f>
        <v>71460</v>
      </c>
      <c r="L263" s="42">
        <v>3</v>
      </c>
      <c r="M263" s="15">
        <v>43158</v>
      </c>
      <c r="N263" s="24">
        <v>71460</v>
      </c>
      <c r="O263" s="30">
        <v>43186</v>
      </c>
      <c r="P263" s="43"/>
      <c r="Q263" s="81" t="str">
        <f t="shared" si="50"/>
        <v/>
      </c>
      <c r="R263" s="81">
        <f t="shared" si="51"/>
        <v>0</v>
      </c>
      <c r="S263" s="81"/>
      <c r="T263" s="164"/>
    </row>
    <row r="264" spans="1:20" s="456" customFormat="1" hidden="1" outlineLevel="1">
      <c r="A264" s="46" t="s">
        <v>273</v>
      </c>
      <c r="B264" s="4"/>
      <c r="C264" s="29"/>
      <c r="D264" s="15"/>
      <c r="E264" s="15"/>
      <c r="F264" s="174"/>
      <c r="G264" s="15"/>
      <c r="H264" s="492"/>
      <c r="I264" s="25"/>
      <c r="J264" s="232">
        <v>0.59260000000000002</v>
      </c>
      <c r="K264" s="23">
        <v>56340</v>
      </c>
      <c r="L264" s="42">
        <v>4</v>
      </c>
      <c r="M264" s="15">
        <v>43223</v>
      </c>
      <c r="N264" s="24">
        <v>56340</v>
      </c>
      <c r="O264" s="30">
        <v>43266</v>
      </c>
      <c r="P264" s="43"/>
      <c r="Q264" s="81" t="str">
        <f t="shared" si="50"/>
        <v/>
      </c>
      <c r="R264" s="81"/>
      <c r="S264" s="81"/>
      <c r="T264" s="164"/>
    </row>
    <row r="265" spans="1:20" s="456" customFormat="1" hidden="1" outlineLevel="1">
      <c r="A265" s="46" t="s">
        <v>273</v>
      </c>
      <c r="B265" s="4"/>
      <c r="C265" s="29"/>
      <c r="D265" s="15"/>
      <c r="E265" s="15"/>
      <c r="F265" s="174"/>
      <c r="G265" s="15"/>
      <c r="H265" s="492"/>
      <c r="I265" s="25"/>
      <c r="J265" s="232">
        <v>0.70879999999999999</v>
      </c>
      <c r="K265" s="23">
        <v>69720</v>
      </c>
      <c r="L265" s="42">
        <v>5</v>
      </c>
      <c r="M265" s="15">
        <v>43291</v>
      </c>
      <c r="N265" s="24">
        <v>69720</v>
      </c>
      <c r="O265" s="30">
        <v>43362</v>
      </c>
      <c r="P265" s="43"/>
      <c r="Q265" s="81" t="str">
        <f t="shared" si="50"/>
        <v/>
      </c>
      <c r="R265" s="81"/>
      <c r="S265" s="81"/>
      <c r="T265" s="164"/>
    </row>
    <row r="266" spans="1:20" s="456" customFormat="1" hidden="1" outlineLevel="1">
      <c r="A266" s="46" t="s">
        <v>273</v>
      </c>
      <c r="B266" s="4"/>
      <c r="C266" s="29"/>
      <c r="D266" s="15"/>
      <c r="E266" s="15"/>
      <c r="F266" s="174"/>
      <c r="G266" s="15"/>
      <c r="H266" s="492"/>
      <c r="I266" s="25"/>
      <c r="J266" s="108">
        <v>0.8</v>
      </c>
      <c r="K266" s="23">
        <f>+J266*I260-K261-K262-K263-K264-K265</f>
        <v>54720</v>
      </c>
      <c r="L266" s="42">
        <v>6</v>
      </c>
      <c r="M266" s="15">
        <v>43440</v>
      </c>
      <c r="N266" s="24">
        <v>54720</v>
      </c>
      <c r="O266" s="30">
        <v>43524</v>
      </c>
      <c r="P266" s="43"/>
      <c r="Q266" s="81" t="str">
        <f t="shared" si="50"/>
        <v/>
      </c>
      <c r="R266" s="81">
        <f t="shared" si="51"/>
        <v>0</v>
      </c>
      <c r="S266" s="81"/>
      <c r="T266" s="164"/>
    </row>
    <row r="267" spans="1:20" s="26" customFormat="1" hidden="1" outlineLevel="1">
      <c r="A267" s="46" t="s">
        <v>273</v>
      </c>
      <c r="B267" s="4"/>
      <c r="C267" s="29"/>
      <c r="D267" s="15"/>
      <c r="E267" s="15"/>
      <c r="F267" s="174"/>
      <c r="G267" s="15"/>
      <c r="H267" s="492"/>
      <c r="I267" s="25"/>
      <c r="J267" s="108">
        <v>1</v>
      </c>
      <c r="K267" s="111">
        <f>I260-K261-K262-K263-K264-K265-K266</f>
        <v>120000</v>
      </c>
      <c r="L267" s="42">
        <v>7</v>
      </c>
      <c r="M267" s="15"/>
      <c r="N267" s="24"/>
      <c r="O267" s="30"/>
      <c r="P267" s="43"/>
      <c r="Q267" s="81" t="str">
        <f t="shared" si="50"/>
        <v/>
      </c>
      <c r="R267" s="81">
        <f t="shared" si="51"/>
        <v>120000</v>
      </c>
      <c r="S267" s="81"/>
      <c r="T267" s="163"/>
    </row>
    <row r="268" spans="1:20" s="107" customFormat="1" collapsed="1">
      <c r="A268" s="119" t="s">
        <v>102</v>
      </c>
      <c r="B268" s="125" t="s">
        <v>158</v>
      </c>
      <c r="C268" s="158">
        <v>41855</v>
      </c>
      <c r="D268" s="158">
        <f>DATE(YEAR(C268),MONTH(C268)+18,DAY(C268))</f>
        <v>42404</v>
      </c>
      <c r="E268" s="158">
        <v>42072</v>
      </c>
      <c r="F268" s="173">
        <v>42348</v>
      </c>
      <c r="G268" s="158">
        <f>DATE(YEAR(C268)+4,MONTH(C268),DAY(C268))</f>
        <v>43316</v>
      </c>
      <c r="H268" s="557">
        <v>43189</v>
      </c>
      <c r="I268" s="123">
        <v>925000</v>
      </c>
      <c r="J268" s="128"/>
      <c r="K268" s="123"/>
      <c r="L268" s="138"/>
      <c r="M268" s="158"/>
      <c r="N268" s="126">
        <f>SUM(N269:N273)</f>
        <v>740000</v>
      </c>
      <c r="O268" s="151"/>
      <c r="P268" s="152"/>
      <c r="Q268" s="159">
        <f>SUM(Q269:Q273)</f>
        <v>0</v>
      </c>
      <c r="R268" s="159">
        <f>SUM(R269:R273)</f>
        <v>185000</v>
      </c>
      <c r="S268" s="159"/>
      <c r="T268" s="166">
        <f>I268-(N268+Q268+R268)</f>
        <v>0</v>
      </c>
    </row>
    <row r="269" spans="1:20" s="26" customFormat="1" hidden="1" outlineLevel="1">
      <c r="A269" s="46" t="s">
        <v>102</v>
      </c>
      <c r="B269" s="4"/>
      <c r="C269" s="29" t="s">
        <v>212</v>
      </c>
      <c r="D269" s="15"/>
      <c r="E269" s="15"/>
      <c r="F269" s="174"/>
      <c r="G269" s="15"/>
      <c r="H269" s="492"/>
      <c r="I269" s="25"/>
      <c r="J269" s="109">
        <f>K269/I268</f>
        <v>0.3</v>
      </c>
      <c r="K269" s="23">
        <f>30%*I268</f>
        <v>277500</v>
      </c>
      <c r="L269" s="42">
        <v>1</v>
      </c>
      <c r="M269" s="15">
        <v>42411</v>
      </c>
      <c r="N269" s="24">
        <v>277500</v>
      </c>
      <c r="O269" s="30">
        <v>42438</v>
      </c>
      <c r="P269" s="43">
        <f>IF(O269="",$R$2-M269,O269-M269)</f>
        <v>27</v>
      </c>
      <c r="Q269" s="81" t="str">
        <f t="shared" si="50"/>
        <v/>
      </c>
      <c r="R269" s="81">
        <f t="shared" si="43"/>
        <v>0</v>
      </c>
      <c r="S269" s="81"/>
      <c r="T269" s="163"/>
    </row>
    <row r="270" spans="1:20" s="26" customFormat="1" hidden="1" outlineLevel="1">
      <c r="A270" s="46" t="s">
        <v>102</v>
      </c>
      <c r="B270" s="4"/>
      <c r="C270" s="15"/>
      <c r="D270" s="15"/>
      <c r="E270" s="15"/>
      <c r="F270" s="174"/>
      <c r="G270" s="15"/>
      <c r="H270" s="492"/>
      <c r="I270" s="25"/>
      <c r="J270" s="232">
        <v>0.41360000000000002</v>
      </c>
      <c r="K270" s="23">
        <f>I268*J270-K269</f>
        <v>105080</v>
      </c>
      <c r="L270" s="42">
        <v>2</v>
      </c>
      <c r="M270" s="15">
        <v>42866</v>
      </c>
      <c r="N270" s="24">
        <v>105080</v>
      </c>
      <c r="O270" s="30">
        <v>42906</v>
      </c>
      <c r="P270" s="43"/>
      <c r="Q270" s="81" t="str">
        <f t="shared" si="50"/>
        <v/>
      </c>
      <c r="R270" s="81">
        <f t="shared" si="43"/>
        <v>0</v>
      </c>
      <c r="S270" s="81"/>
      <c r="T270" s="163"/>
    </row>
    <row r="271" spans="1:20" s="26" customFormat="1" hidden="1" outlineLevel="1">
      <c r="A271" s="46" t="s">
        <v>102</v>
      </c>
      <c r="B271" s="4"/>
      <c r="C271" s="15"/>
      <c r="D271" s="15"/>
      <c r="E271" s="15"/>
      <c r="F271" s="174"/>
      <c r="G271" s="15"/>
      <c r="H271" s="492"/>
      <c r="I271" s="25"/>
      <c r="J271" s="232">
        <v>0.55430000000000001</v>
      </c>
      <c r="K271" s="23">
        <f>I268*J271-K269-K270</f>
        <v>130147.5</v>
      </c>
      <c r="L271" s="42">
        <v>3</v>
      </c>
      <c r="M271" s="15">
        <v>43032</v>
      </c>
      <c r="N271" s="24">
        <v>130147.5</v>
      </c>
      <c r="O271" s="30">
        <v>43077</v>
      </c>
      <c r="P271" s="43"/>
      <c r="Q271" s="81" t="str">
        <f t="shared" si="50"/>
        <v/>
      </c>
      <c r="R271" s="81">
        <f t="shared" si="43"/>
        <v>0</v>
      </c>
      <c r="S271" s="81"/>
      <c r="T271" s="163"/>
    </row>
    <row r="272" spans="1:20" s="26" customFormat="1" hidden="1" outlineLevel="1">
      <c r="A272" s="46" t="s">
        <v>102</v>
      </c>
      <c r="B272" s="4"/>
      <c r="C272" s="15"/>
      <c r="D272" s="15"/>
      <c r="E272" s="15"/>
      <c r="F272" s="174"/>
      <c r="G272" s="15"/>
      <c r="H272" s="492"/>
      <c r="I272" s="25"/>
      <c r="J272" s="232">
        <v>0.8</v>
      </c>
      <c r="K272" s="23">
        <f>I268*J272-K269-K270-K271</f>
        <v>227272.5</v>
      </c>
      <c r="L272" s="42">
        <v>4</v>
      </c>
      <c r="M272" s="15">
        <v>43066</v>
      </c>
      <c r="N272" s="24">
        <v>227272.5</v>
      </c>
      <c r="O272" s="30">
        <v>43193</v>
      </c>
      <c r="P272" s="43"/>
      <c r="Q272" s="81" t="str">
        <f t="shared" si="50"/>
        <v/>
      </c>
      <c r="R272" s="365">
        <f t="shared" si="43"/>
        <v>0</v>
      </c>
      <c r="S272" s="81"/>
      <c r="T272" s="163"/>
    </row>
    <row r="273" spans="1:20" s="26" customFormat="1" hidden="1" outlineLevel="1">
      <c r="A273" s="46" t="s">
        <v>102</v>
      </c>
      <c r="B273" s="39"/>
      <c r="C273" s="36"/>
      <c r="D273" s="36"/>
      <c r="E273" s="36"/>
      <c r="F273" s="175"/>
      <c r="G273" s="36"/>
      <c r="H273" s="626"/>
      <c r="I273" s="25"/>
      <c r="J273" s="153">
        <v>1</v>
      </c>
      <c r="K273" s="160">
        <f>I268-K269-K270-K271-K272</f>
        <v>185000</v>
      </c>
      <c r="L273" s="44">
        <v>5</v>
      </c>
      <c r="M273" s="36"/>
      <c r="N273" s="37"/>
      <c r="O273" s="155"/>
      <c r="P273" s="43"/>
      <c r="Q273" s="81" t="str">
        <f t="shared" si="50"/>
        <v/>
      </c>
      <c r="R273" s="157">
        <f t="shared" si="43"/>
        <v>185000</v>
      </c>
      <c r="S273" s="157"/>
      <c r="T273" s="163"/>
    </row>
    <row r="274" spans="1:20" s="107" customFormat="1">
      <c r="A274" s="119" t="s">
        <v>103</v>
      </c>
      <c r="B274" s="125" t="s">
        <v>157</v>
      </c>
      <c r="C274" s="158">
        <v>41956</v>
      </c>
      <c r="D274" s="158">
        <f>DATE(YEAR(C274),MONTH(C274)+18,DAY(C274))</f>
        <v>42503</v>
      </c>
      <c r="E274" s="158"/>
      <c r="F274" s="173"/>
      <c r="G274" s="158">
        <f>DATE(YEAR(C274)+4,MONTH(C274),DAY(C274))</f>
        <v>43417</v>
      </c>
      <c r="H274" s="557"/>
      <c r="I274" s="123">
        <v>543200</v>
      </c>
      <c r="J274" s="128"/>
      <c r="K274" s="123"/>
      <c r="L274" s="138"/>
      <c r="M274" s="158"/>
      <c r="N274" s="126">
        <f>SUM(N275)</f>
        <v>0</v>
      </c>
      <c r="O274" s="151"/>
      <c r="P274" s="152"/>
      <c r="Q274" s="159">
        <f>SUM(Q275)</f>
        <v>0</v>
      </c>
      <c r="R274" s="159">
        <f>SUM(R275)</f>
        <v>543200</v>
      </c>
      <c r="S274" s="159"/>
      <c r="T274" s="166">
        <f>I274-(N274+Q274+R274)</f>
        <v>0</v>
      </c>
    </row>
    <row r="275" spans="1:20" s="26" customFormat="1">
      <c r="A275" s="118" t="s">
        <v>103</v>
      </c>
      <c r="B275" s="39"/>
      <c r="C275" s="33" t="s">
        <v>212</v>
      </c>
      <c r="D275" s="384" t="s">
        <v>152</v>
      </c>
      <c r="E275" s="36"/>
      <c r="F275" s="175"/>
      <c r="G275" s="36"/>
      <c r="H275" s="626"/>
      <c r="I275" s="35"/>
      <c r="J275" s="40"/>
      <c r="K275" s="35">
        <v>543200</v>
      </c>
      <c r="L275" s="44">
        <v>1</v>
      </c>
      <c r="M275" s="36"/>
      <c r="N275" s="37"/>
      <c r="O275" s="155"/>
      <c r="P275" s="156"/>
      <c r="Q275" s="157" t="str">
        <f>IF(N275="en attente",K275,"")</f>
        <v/>
      </c>
      <c r="R275" s="157">
        <f>IF(M275="",K275-N275,0)</f>
        <v>543200</v>
      </c>
      <c r="S275" s="157"/>
      <c r="T275" s="163"/>
    </row>
    <row r="276" spans="1:20" s="107" customFormat="1" collapsed="1">
      <c r="A276" s="119" t="s">
        <v>130</v>
      </c>
      <c r="B276" s="125" t="s">
        <v>137</v>
      </c>
      <c r="C276" s="158">
        <v>42249</v>
      </c>
      <c r="D276" s="158">
        <f>DATE(YEAR(C276),MONTH(C276)+18,DAY(C276))</f>
        <v>42796</v>
      </c>
      <c r="E276" s="158">
        <v>42677</v>
      </c>
      <c r="F276" s="173">
        <v>42786</v>
      </c>
      <c r="G276" s="158">
        <f>DATE(YEAR(C276)+4,MONTH(C276),DAY(C276))</f>
        <v>43710</v>
      </c>
      <c r="H276" s="557">
        <v>43361</v>
      </c>
      <c r="I276" s="123">
        <v>400000</v>
      </c>
      <c r="J276" s="128"/>
      <c r="K276" s="123"/>
      <c r="L276" s="138"/>
      <c r="M276" s="158"/>
      <c r="N276" s="126">
        <f>SUM(N277:N283)</f>
        <v>307160</v>
      </c>
      <c r="O276" s="151"/>
      <c r="P276" s="152"/>
      <c r="Q276" s="159">
        <f>SUM(Q277:Q283)</f>
        <v>0</v>
      </c>
      <c r="R276" s="159">
        <f>SUM(R277:R283)</f>
        <v>92840</v>
      </c>
      <c r="S276" s="159"/>
      <c r="T276" s="166">
        <f>I276-(N276+Q276+R276)</f>
        <v>0</v>
      </c>
    </row>
    <row r="277" spans="1:20" s="107" customFormat="1" hidden="1" outlineLevel="1">
      <c r="A277" s="46" t="s">
        <v>130</v>
      </c>
      <c r="B277" s="19"/>
      <c r="C277" s="105"/>
      <c r="D277" s="105"/>
      <c r="E277" s="105"/>
      <c r="F277" s="178"/>
      <c r="G277" s="105"/>
      <c r="H277" s="624"/>
      <c r="I277" s="21"/>
      <c r="J277" s="108">
        <v>0.3</v>
      </c>
      <c r="K277" s="23">
        <f>+I276*J277</f>
        <v>120000</v>
      </c>
      <c r="L277" s="42">
        <v>1</v>
      </c>
      <c r="M277" s="15">
        <v>42787</v>
      </c>
      <c r="N277" s="24">
        <v>120000</v>
      </c>
      <c r="O277" s="30">
        <v>42815</v>
      </c>
      <c r="P277" s="416"/>
      <c r="Q277" s="81" t="str">
        <f t="shared" si="50"/>
        <v/>
      </c>
      <c r="R277" s="81">
        <f t="shared" ref="R277:R289" si="52">IF(M277="",K277-N277,0)</f>
        <v>0</v>
      </c>
      <c r="S277" s="106"/>
      <c r="T277" s="163"/>
    </row>
    <row r="278" spans="1:20" s="107" customFormat="1" hidden="1" outlineLevel="1">
      <c r="A278" s="46" t="s">
        <v>130</v>
      </c>
      <c r="B278" s="19"/>
      <c r="C278" s="105"/>
      <c r="D278" s="105"/>
      <c r="E278" s="105"/>
      <c r="F278" s="178"/>
      <c r="G278" s="105"/>
      <c r="H278" s="624"/>
      <c r="I278" s="21"/>
      <c r="J278" s="232">
        <v>0.44619999999999999</v>
      </c>
      <c r="K278" s="23">
        <f>+I276*J278-K277</f>
        <v>58480</v>
      </c>
      <c r="L278" s="42">
        <v>2</v>
      </c>
      <c r="M278" s="15">
        <v>43053</v>
      </c>
      <c r="N278" s="24">
        <v>58480</v>
      </c>
      <c r="O278" s="30">
        <v>43077</v>
      </c>
      <c r="P278" s="416"/>
      <c r="Q278" s="81" t="str">
        <f t="shared" si="50"/>
        <v/>
      </c>
      <c r="R278" s="81">
        <f t="shared" si="52"/>
        <v>0</v>
      </c>
      <c r="S278" s="106"/>
      <c r="T278" s="163"/>
    </row>
    <row r="279" spans="1:20" s="107" customFormat="1" hidden="1" outlineLevel="1">
      <c r="A279" s="46" t="s">
        <v>130</v>
      </c>
      <c r="B279" s="19"/>
      <c r="C279" s="105"/>
      <c r="D279" s="105"/>
      <c r="E279" s="105"/>
      <c r="F279" s="178"/>
      <c r="G279" s="105"/>
      <c r="H279" s="624"/>
      <c r="I279" s="21"/>
      <c r="J279" s="232">
        <v>0.57030000000000003</v>
      </c>
      <c r="K279" s="23">
        <v>49640</v>
      </c>
      <c r="L279" s="42">
        <v>3</v>
      </c>
      <c r="M279" s="15">
        <v>43158</v>
      </c>
      <c r="N279" s="24">
        <v>49640</v>
      </c>
      <c r="O279" s="30">
        <v>43186</v>
      </c>
      <c r="P279" s="416"/>
      <c r="Q279" s="81" t="str">
        <f t="shared" si="50"/>
        <v/>
      </c>
      <c r="R279" s="81">
        <f t="shared" si="52"/>
        <v>0</v>
      </c>
      <c r="S279" s="106"/>
      <c r="T279" s="163"/>
    </row>
    <row r="280" spans="1:20" s="107" customFormat="1" hidden="1" outlineLevel="1">
      <c r="A280" s="46" t="s">
        <v>130</v>
      </c>
      <c r="B280" s="19"/>
      <c r="C280" s="105"/>
      <c r="D280" s="105"/>
      <c r="E280" s="105"/>
      <c r="F280" s="178"/>
      <c r="G280" s="105"/>
      <c r="H280" s="624"/>
      <c r="I280" s="21"/>
      <c r="J280" s="232">
        <v>0.65329999999999999</v>
      </c>
      <c r="K280" s="23">
        <f>33200</f>
        <v>33200</v>
      </c>
      <c r="L280" s="42">
        <v>4</v>
      </c>
      <c r="M280" s="15">
        <v>43244</v>
      </c>
      <c r="N280" s="24">
        <v>33200</v>
      </c>
      <c r="O280" s="30">
        <v>43266</v>
      </c>
      <c r="P280" s="416"/>
      <c r="Q280" s="81" t="str">
        <f t="shared" si="50"/>
        <v/>
      </c>
      <c r="R280" s="81"/>
      <c r="S280" s="106"/>
      <c r="T280" s="163"/>
    </row>
    <row r="281" spans="1:20" s="107" customFormat="1" hidden="1" outlineLevel="1">
      <c r="A281" s="46" t="s">
        <v>130</v>
      </c>
      <c r="B281" s="19"/>
      <c r="C281" s="105"/>
      <c r="D281" s="105"/>
      <c r="E281" s="105"/>
      <c r="F281" s="178"/>
      <c r="G281" s="105"/>
      <c r="H281" s="624"/>
      <c r="I281" s="21"/>
      <c r="J281" s="232">
        <v>0.76790000000000003</v>
      </c>
      <c r="K281" s="23">
        <f>45840</f>
        <v>45840</v>
      </c>
      <c r="L281" s="42">
        <v>5</v>
      </c>
      <c r="M281" s="15">
        <v>43291</v>
      </c>
      <c r="N281" s="24">
        <v>45840</v>
      </c>
      <c r="O281" s="30">
        <v>43329</v>
      </c>
      <c r="P281" s="416"/>
      <c r="Q281" s="81" t="str">
        <f t="shared" si="50"/>
        <v/>
      </c>
      <c r="R281" s="81"/>
      <c r="S281" s="106"/>
      <c r="T281" s="163"/>
    </row>
    <row r="282" spans="1:20" s="107" customFormat="1" hidden="1" outlineLevel="1">
      <c r="A282" s="46" t="s">
        <v>130</v>
      </c>
      <c r="B282" s="19"/>
      <c r="C282" s="105"/>
      <c r="D282" s="105"/>
      <c r="E282" s="105"/>
      <c r="F282" s="178"/>
      <c r="G282" s="105"/>
      <c r="H282" s="624"/>
      <c r="I282" s="21"/>
      <c r="J282" s="108">
        <v>0.8</v>
      </c>
      <c r="K282" s="111">
        <f>+I276*J282-K277-K278-K279-K280-K281</f>
        <v>12840</v>
      </c>
      <c r="L282" s="42">
        <v>6</v>
      </c>
      <c r="M282" s="105"/>
      <c r="N282" s="20"/>
      <c r="O282" s="85"/>
      <c r="P282" s="416"/>
      <c r="Q282" s="81" t="str">
        <f t="shared" si="50"/>
        <v/>
      </c>
      <c r="R282" s="81">
        <f t="shared" si="52"/>
        <v>12840</v>
      </c>
      <c r="S282" s="106"/>
      <c r="T282" s="163"/>
    </row>
    <row r="283" spans="1:20" s="26" customFormat="1" hidden="1" outlineLevel="1">
      <c r="A283" s="46" t="s">
        <v>130</v>
      </c>
      <c r="B283" s="4"/>
      <c r="C283" s="29" t="s">
        <v>212</v>
      </c>
      <c r="D283" s="15"/>
      <c r="E283" s="15"/>
      <c r="F283" s="174"/>
      <c r="G283" s="15"/>
      <c r="H283" s="492"/>
      <c r="I283" s="25"/>
      <c r="J283" s="108">
        <v>1</v>
      </c>
      <c r="K283" s="111">
        <f>400000-K277-K278-K282-K279-K280-K281</f>
        <v>80000</v>
      </c>
      <c r="L283" s="42">
        <v>7</v>
      </c>
      <c r="M283" s="15"/>
      <c r="N283" s="24"/>
      <c r="O283" s="30"/>
      <c r="P283" s="43"/>
      <c r="Q283" s="81" t="str">
        <f t="shared" si="50"/>
        <v/>
      </c>
      <c r="R283" s="81">
        <f t="shared" si="52"/>
        <v>80000</v>
      </c>
      <c r="S283" s="81"/>
      <c r="T283" s="166"/>
    </row>
    <row r="284" spans="1:20" s="107" customFormat="1" collapsed="1">
      <c r="A284" s="119" t="s">
        <v>131</v>
      </c>
      <c r="B284" s="125" t="s">
        <v>138</v>
      </c>
      <c r="C284" s="158">
        <v>42248</v>
      </c>
      <c r="D284" s="158">
        <f>DATE(YEAR(C284),MONTH(C284)+18,DAY(C284))</f>
        <v>42795</v>
      </c>
      <c r="E284" s="158">
        <v>42682</v>
      </c>
      <c r="F284" s="173">
        <v>42947</v>
      </c>
      <c r="G284" s="158">
        <f>DATE(YEAR(C284)+4,MONTH(C284),DAY(C284))</f>
        <v>43709</v>
      </c>
      <c r="H284" s="557"/>
      <c r="I284" s="123">
        <v>420000</v>
      </c>
      <c r="J284" s="128"/>
      <c r="K284" s="123"/>
      <c r="L284" s="138"/>
      <c r="M284" s="158"/>
      <c r="N284" s="126">
        <f>SUM(N285:N290)</f>
        <v>336000</v>
      </c>
      <c r="O284" s="151"/>
      <c r="P284" s="152"/>
      <c r="Q284" s="159">
        <f>SUM(Q285:Q290)</f>
        <v>0</v>
      </c>
      <c r="R284" s="159">
        <f>SUM(R286:R290)</f>
        <v>84000</v>
      </c>
      <c r="S284" s="159"/>
      <c r="T284" s="166">
        <f>I284-(N284+Q284+R284)</f>
        <v>0</v>
      </c>
    </row>
    <row r="285" spans="1:20" s="107" customFormat="1" hidden="1" outlineLevel="1">
      <c r="A285" s="46" t="s">
        <v>131</v>
      </c>
      <c r="B285" s="19"/>
      <c r="C285" s="105"/>
      <c r="D285" s="105"/>
      <c r="E285" s="105"/>
      <c r="F285" s="178"/>
      <c r="G285" s="885" t="s">
        <v>311</v>
      </c>
      <c r="H285" s="624"/>
      <c r="I285" s="21"/>
      <c r="J285" s="108">
        <v>0.3</v>
      </c>
      <c r="K285" s="558">
        <f>+I284*J285</f>
        <v>126000</v>
      </c>
      <c r="L285" s="42">
        <v>1</v>
      </c>
      <c r="M285" s="15">
        <v>42943</v>
      </c>
      <c r="N285" s="24">
        <v>126000</v>
      </c>
      <c r="O285" s="30">
        <v>42998</v>
      </c>
      <c r="P285" s="416"/>
      <c r="Q285" s="81" t="str">
        <f t="shared" si="50"/>
        <v/>
      </c>
      <c r="R285" s="81"/>
      <c r="S285" s="106"/>
      <c r="T285" s="163"/>
    </row>
    <row r="286" spans="1:20" s="107" customFormat="1" hidden="1" outlineLevel="1">
      <c r="A286" s="46" t="s">
        <v>131</v>
      </c>
      <c r="B286" s="19"/>
      <c r="C286" s="105"/>
      <c r="D286" s="105"/>
      <c r="E286" s="105"/>
      <c r="F286" s="178"/>
      <c r="G286" s="105"/>
      <c r="H286" s="624"/>
      <c r="I286" s="21"/>
      <c r="J286" s="232">
        <v>0.38119999999999998</v>
      </c>
      <c r="K286" s="558">
        <f>+I284*J286-K285</f>
        <v>34104</v>
      </c>
      <c r="L286" s="42">
        <v>2</v>
      </c>
      <c r="M286" s="15">
        <v>43200</v>
      </c>
      <c r="N286" s="24">
        <v>34104</v>
      </c>
      <c r="O286" s="30">
        <v>43231</v>
      </c>
      <c r="P286" s="416"/>
      <c r="Q286" s="81" t="str">
        <f t="shared" si="50"/>
        <v/>
      </c>
      <c r="R286" s="81">
        <f t="shared" si="52"/>
        <v>0</v>
      </c>
      <c r="S286" s="106"/>
      <c r="T286" s="163"/>
    </row>
    <row r="287" spans="1:20" s="107" customFormat="1" hidden="1" outlineLevel="1">
      <c r="A287" s="46" t="s">
        <v>131</v>
      </c>
      <c r="B287" s="19"/>
      <c r="C287" s="105"/>
      <c r="D287" s="105"/>
      <c r="E287" s="105"/>
      <c r="F287" s="178"/>
      <c r="G287" s="105"/>
      <c r="H287" s="624"/>
      <c r="I287" s="21"/>
      <c r="J287" s="232">
        <v>0.58179999999999998</v>
      </c>
      <c r="K287" s="558">
        <v>84252</v>
      </c>
      <c r="L287" s="42">
        <v>3</v>
      </c>
      <c r="M287" s="15">
        <v>43291</v>
      </c>
      <c r="N287" s="24">
        <v>84252</v>
      </c>
      <c r="O287" s="30">
        <v>43350</v>
      </c>
      <c r="P287" s="416"/>
      <c r="Q287" s="81" t="str">
        <f t="shared" si="50"/>
        <v/>
      </c>
      <c r="R287" s="81"/>
      <c r="S287" s="106"/>
      <c r="T287" s="163"/>
    </row>
    <row r="288" spans="1:20" s="107" customFormat="1" hidden="1" outlineLevel="1">
      <c r="A288" s="46" t="s">
        <v>131</v>
      </c>
      <c r="B288" s="19"/>
      <c r="C288" s="105"/>
      <c r="D288" s="105"/>
      <c r="E288" s="105"/>
      <c r="F288" s="178"/>
      <c r="G288" s="105"/>
      <c r="H288" s="624"/>
      <c r="I288" s="21"/>
      <c r="J288" s="232">
        <v>0.70989999999999998</v>
      </c>
      <c r="K288" s="558">
        <f>I284*J288-K285-K286-K287</f>
        <v>53802</v>
      </c>
      <c r="L288" s="42">
        <v>4</v>
      </c>
      <c r="M288" s="15">
        <v>43391</v>
      </c>
      <c r="N288" s="24">
        <v>53802</v>
      </c>
      <c r="O288" s="30">
        <v>43441</v>
      </c>
      <c r="P288" s="416"/>
      <c r="Q288" s="81" t="str">
        <f t="shared" si="50"/>
        <v/>
      </c>
      <c r="R288" s="81"/>
      <c r="S288" s="106"/>
      <c r="T288" s="163"/>
    </row>
    <row r="289" spans="1:20" s="107" customFormat="1" hidden="1" outlineLevel="1">
      <c r="A289" s="46" t="s">
        <v>131</v>
      </c>
      <c r="B289" s="19"/>
      <c r="C289" s="105"/>
      <c r="D289" s="105"/>
      <c r="E289" s="105"/>
      <c r="F289" s="178"/>
      <c r="G289" s="105"/>
      <c r="H289" s="624"/>
      <c r="I289" s="21"/>
      <c r="J289" s="108">
        <v>0.8</v>
      </c>
      <c r="K289" s="558">
        <f>+I284*J289-K285-K286-K287-K288</f>
        <v>37842</v>
      </c>
      <c r="L289" s="42">
        <v>5</v>
      </c>
      <c r="M289" s="15">
        <v>43489</v>
      </c>
      <c r="N289" s="24">
        <v>37842</v>
      </c>
      <c r="O289" s="30">
        <v>43553</v>
      </c>
      <c r="P289" s="416"/>
      <c r="Q289" s="81" t="str">
        <f t="shared" si="50"/>
        <v/>
      </c>
      <c r="R289" s="81">
        <f t="shared" si="52"/>
        <v>0</v>
      </c>
      <c r="S289" s="106"/>
      <c r="T289" s="163"/>
    </row>
    <row r="290" spans="1:20" s="26" customFormat="1" hidden="1" outlineLevel="1">
      <c r="A290" s="46" t="s">
        <v>131</v>
      </c>
      <c r="B290" s="4"/>
      <c r="C290" s="29" t="s">
        <v>212</v>
      </c>
      <c r="D290" s="15"/>
      <c r="E290" s="15"/>
      <c r="F290" s="174"/>
      <c r="G290" s="15"/>
      <c r="H290" s="492"/>
      <c r="I290" s="25"/>
      <c r="J290" s="108">
        <v>1</v>
      </c>
      <c r="K290" s="23">
        <f>+I284-K285-K286-K289-K287-K288</f>
        <v>84000</v>
      </c>
      <c r="L290" s="42">
        <v>6</v>
      </c>
      <c r="M290" s="15"/>
      <c r="N290" s="24"/>
      <c r="O290" s="30"/>
      <c r="P290" s="43"/>
      <c r="Q290" s="81" t="str">
        <f t="shared" si="50"/>
        <v/>
      </c>
      <c r="R290" s="81">
        <f>IF(M290="",K290-N290,0)</f>
        <v>84000</v>
      </c>
      <c r="S290" s="81"/>
      <c r="T290" s="166"/>
    </row>
    <row r="291" spans="1:20" s="26" customFormat="1" collapsed="1">
      <c r="A291" s="119" t="s">
        <v>259</v>
      </c>
      <c r="B291" s="127" t="s">
        <v>139</v>
      </c>
      <c r="C291" s="151">
        <v>42304</v>
      </c>
      <c r="D291" s="158">
        <f>DATE(YEAR(C291),MONTH(C291)+18,DAY(C291))</f>
        <v>42852</v>
      </c>
      <c r="E291" s="158">
        <v>42682</v>
      </c>
      <c r="F291" s="504">
        <v>42782</v>
      </c>
      <c r="G291" s="158">
        <f>DATE(YEAR(C291)+4,MONTH(C291),DAY(C291))</f>
        <v>43765</v>
      </c>
      <c r="H291" s="960">
        <v>43522</v>
      </c>
      <c r="I291" s="258">
        <v>406000</v>
      </c>
      <c r="J291" s="443"/>
      <c r="K291" s="251"/>
      <c r="L291" s="255"/>
      <c r="M291" s="215"/>
      <c r="N291" s="123">
        <f>SUM(N292:N298)</f>
        <v>324800</v>
      </c>
      <c r="O291" s="215"/>
      <c r="P291" s="256"/>
      <c r="Q291" s="170">
        <f>SUM(Q292:Q298)</f>
        <v>0</v>
      </c>
      <c r="R291" s="170">
        <f>SUM(R292:R298)</f>
        <v>81200</v>
      </c>
      <c r="S291" s="257"/>
      <c r="T291" s="166">
        <f>I291-(N291+Q291+R291)</f>
        <v>0</v>
      </c>
    </row>
    <row r="292" spans="1:20" s="26" customFormat="1" hidden="1" outlineLevel="1">
      <c r="A292" s="46" t="s">
        <v>259</v>
      </c>
      <c r="B292" s="19"/>
      <c r="C292" s="105"/>
      <c r="D292" s="105"/>
      <c r="E292" s="105"/>
      <c r="F292" s="174"/>
      <c r="G292" s="105"/>
      <c r="H292" s="492"/>
      <c r="I292" s="25"/>
      <c r="J292" s="108">
        <v>0.3</v>
      </c>
      <c r="K292" s="23">
        <f>+I291*J292</f>
        <v>121800</v>
      </c>
      <c r="L292" s="42">
        <v>1</v>
      </c>
      <c r="M292" s="15">
        <v>42787</v>
      </c>
      <c r="N292" s="24">
        <v>121800</v>
      </c>
      <c r="O292" s="30">
        <v>42816</v>
      </c>
      <c r="P292" s="43"/>
      <c r="Q292" s="81" t="str">
        <f t="shared" si="50"/>
        <v/>
      </c>
      <c r="R292" s="81">
        <f t="shared" ref="R292:R298" si="53">IF(M292="",K292-N292,0)</f>
        <v>0</v>
      </c>
      <c r="S292" s="81"/>
      <c r="T292" s="163"/>
    </row>
    <row r="293" spans="1:20" s="26" customFormat="1" hidden="1" outlineLevel="1">
      <c r="A293" s="46" t="s">
        <v>259</v>
      </c>
      <c r="B293" s="19"/>
      <c r="C293" s="105"/>
      <c r="D293" s="105"/>
      <c r="E293" s="105"/>
      <c r="F293" s="174"/>
      <c r="G293" s="105"/>
      <c r="H293" s="492"/>
      <c r="I293" s="25"/>
      <c r="J293" s="232">
        <v>0.37759999999999999</v>
      </c>
      <c r="K293" s="23">
        <v>31505.599999999999</v>
      </c>
      <c r="L293" s="42">
        <v>2</v>
      </c>
      <c r="M293" s="15">
        <v>43158</v>
      </c>
      <c r="N293" s="24">
        <v>31505.599999999999</v>
      </c>
      <c r="O293" s="30">
        <v>43186</v>
      </c>
      <c r="P293" s="43"/>
      <c r="Q293" s="81" t="str">
        <f t="shared" si="50"/>
        <v/>
      </c>
      <c r="R293" s="81">
        <f t="shared" si="53"/>
        <v>0</v>
      </c>
      <c r="S293" s="81"/>
      <c r="T293" s="163"/>
    </row>
    <row r="294" spans="1:20" s="26" customFormat="1" hidden="1" outlineLevel="1">
      <c r="A294" s="46" t="s">
        <v>259</v>
      </c>
      <c r="B294" s="19"/>
      <c r="C294" s="105"/>
      <c r="D294" s="105"/>
      <c r="E294" s="105"/>
      <c r="F294" s="174"/>
      <c r="G294" s="105"/>
      <c r="H294" s="492"/>
      <c r="I294" s="25"/>
      <c r="J294" s="232">
        <v>0.50860000000000005</v>
      </c>
      <c r="K294" s="23">
        <v>53186</v>
      </c>
      <c r="L294" s="42">
        <v>3</v>
      </c>
      <c r="M294" s="15">
        <v>43251</v>
      </c>
      <c r="N294" s="24">
        <v>53186</v>
      </c>
      <c r="O294" s="30">
        <v>43284</v>
      </c>
      <c r="P294" s="43"/>
      <c r="Q294" s="81" t="str">
        <f t="shared" si="50"/>
        <v/>
      </c>
      <c r="R294" s="81">
        <f t="shared" si="53"/>
        <v>0</v>
      </c>
      <c r="S294" s="81"/>
      <c r="T294" s="163"/>
    </row>
    <row r="295" spans="1:20" s="26" customFormat="1" hidden="1" outlineLevel="1">
      <c r="A295" s="46" t="s">
        <v>259</v>
      </c>
      <c r="B295" s="19"/>
      <c r="C295" s="105"/>
      <c r="D295" s="105"/>
      <c r="E295" s="105"/>
      <c r="F295" s="174"/>
      <c r="G295" s="105"/>
      <c r="H295" s="492"/>
      <c r="I295" s="25"/>
      <c r="J295" s="232">
        <v>0.60929999999999995</v>
      </c>
      <c r="K295" s="23">
        <v>40884.199999999997</v>
      </c>
      <c r="L295" s="42">
        <v>4</v>
      </c>
      <c r="M295" s="15">
        <v>43307</v>
      </c>
      <c r="N295" s="24">
        <v>40884.199999999997</v>
      </c>
      <c r="O295" s="30">
        <v>43335</v>
      </c>
      <c r="P295" s="43"/>
      <c r="Q295" s="81" t="str">
        <f t="shared" si="50"/>
        <v/>
      </c>
      <c r="R295" s="81">
        <f t="shared" si="53"/>
        <v>0</v>
      </c>
      <c r="S295" s="81"/>
      <c r="T295" s="163"/>
    </row>
    <row r="296" spans="1:20" s="26" customFormat="1" hidden="1" outlineLevel="1">
      <c r="A296" s="46" t="s">
        <v>259</v>
      </c>
      <c r="B296" s="19"/>
      <c r="C296" s="105"/>
      <c r="D296" s="105"/>
      <c r="E296" s="105"/>
      <c r="F296" s="174"/>
      <c r="G296" s="105"/>
      <c r="H296" s="492"/>
      <c r="I296" s="25"/>
      <c r="J296" s="232">
        <v>0.7006</v>
      </c>
      <c r="K296" s="23">
        <f>+I291*J296-K292-K293-K294-K295</f>
        <v>37067.799999999974</v>
      </c>
      <c r="L296" s="42">
        <v>5</v>
      </c>
      <c r="M296" s="15">
        <v>43384</v>
      </c>
      <c r="N296" s="24">
        <v>37067.800000000003</v>
      </c>
      <c r="O296" s="30">
        <v>43441</v>
      </c>
      <c r="P296" s="43"/>
      <c r="Q296" s="81" t="str">
        <f t="shared" si="50"/>
        <v/>
      </c>
      <c r="R296" s="81">
        <f t="shared" si="53"/>
        <v>0</v>
      </c>
      <c r="S296" s="81"/>
      <c r="T296" s="163"/>
    </row>
    <row r="297" spans="1:20" s="26" customFormat="1" hidden="1" outlineLevel="1">
      <c r="A297" s="46" t="s">
        <v>259</v>
      </c>
      <c r="B297" s="19"/>
      <c r="C297" s="105"/>
      <c r="D297" s="105"/>
      <c r="E297" s="105"/>
      <c r="F297" s="174"/>
      <c r="G297" s="105"/>
      <c r="H297" s="492"/>
      <c r="I297" s="25"/>
      <c r="J297" s="108">
        <v>0.8</v>
      </c>
      <c r="K297" s="23">
        <f>I291*J297-K292-K293-K294-K295-K296</f>
        <v>40356.400000000023</v>
      </c>
      <c r="L297" s="42">
        <v>6</v>
      </c>
      <c r="M297" s="15">
        <v>43489</v>
      </c>
      <c r="N297" s="24">
        <v>40356.400000000001</v>
      </c>
      <c r="O297" s="30">
        <v>43553</v>
      </c>
      <c r="P297" s="43"/>
      <c r="Q297" s="81" t="str">
        <f t="shared" si="50"/>
        <v/>
      </c>
      <c r="R297" s="81">
        <f t="shared" si="53"/>
        <v>0</v>
      </c>
      <c r="S297" s="81"/>
      <c r="T297" s="163"/>
    </row>
    <row r="298" spans="1:20" s="26" customFormat="1" hidden="1" outlineLevel="1">
      <c r="A298" s="46" t="s">
        <v>259</v>
      </c>
      <c r="B298" s="4"/>
      <c r="C298" s="29" t="s">
        <v>212</v>
      </c>
      <c r="D298" s="15"/>
      <c r="E298" s="15"/>
      <c r="F298" s="174"/>
      <c r="G298" s="15"/>
      <c r="H298" s="492"/>
      <c r="I298" s="25"/>
      <c r="J298" s="108">
        <v>1</v>
      </c>
      <c r="K298" s="111">
        <f>406000-K292-K294-K293-K297-K295-K296</f>
        <v>81200</v>
      </c>
      <c r="L298" s="42">
        <v>7</v>
      </c>
      <c r="M298" s="15"/>
      <c r="N298" s="24"/>
      <c r="O298" s="30"/>
      <c r="P298" s="43"/>
      <c r="Q298" s="81" t="str">
        <f t="shared" si="50"/>
        <v/>
      </c>
      <c r="R298" s="81">
        <f t="shared" si="53"/>
        <v>81200</v>
      </c>
      <c r="S298" s="81"/>
      <c r="T298" s="163"/>
    </row>
    <row r="299" spans="1:20" s="26" customFormat="1" collapsed="1">
      <c r="A299" s="119" t="s">
        <v>259</v>
      </c>
      <c r="B299" s="125" t="s">
        <v>146</v>
      </c>
      <c r="C299" s="158">
        <v>42306</v>
      </c>
      <c r="D299" s="158">
        <f>DATE(YEAR(C299),MONTH(C299)+18,DAY(C299))</f>
        <v>42854</v>
      </c>
      <c r="E299" s="158">
        <v>42682</v>
      </c>
      <c r="F299" s="173">
        <v>42782</v>
      </c>
      <c r="G299" s="158">
        <f>DATE(YEAR(C299)+4,MONTH(C299),DAY(C299))</f>
        <v>43767</v>
      </c>
      <c r="H299" s="557">
        <v>43522</v>
      </c>
      <c r="I299" s="258">
        <v>266000</v>
      </c>
      <c r="J299" s="443"/>
      <c r="K299" s="251"/>
      <c r="L299" s="252"/>
      <c r="M299" s="121"/>
      <c r="N299" s="126">
        <f>SUM(N300:N306)</f>
        <v>212800</v>
      </c>
      <c r="O299" s="215"/>
      <c r="P299" s="253"/>
      <c r="Q299" s="159">
        <f>SUM(Q300:Q306)</f>
        <v>0</v>
      </c>
      <c r="R299" s="159">
        <f>SUM(R300:R306)</f>
        <v>53200.000000000007</v>
      </c>
      <c r="S299" s="254"/>
      <c r="T299" s="166">
        <f>I299-(N299+Q299+R299)</f>
        <v>0</v>
      </c>
    </row>
    <row r="300" spans="1:20" s="26" customFormat="1" hidden="1" outlineLevel="1">
      <c r="A300" s="46" t="s">
        <v>259</v>
      </c>
      <c r="B300" s="19"/>
      <c r="C300" s="105"/>
      <c r="D300" s="105"/>
      <c r="E300" s="105"/>
      <c r="F300" s="174"/>
      <c r="G300" s="105"/>
      <c r="H300" s="492"/>
      <c r="I300" s="25"/>
      <c r="J300" s="108">
        <v>0.3</v>
      </c>
      <c r="K300" s="23">
        <f>+I299*J300</f>
        <v>79800</v>
      </c>
      <c r="L300" s="42">
        <v>1</v>
      </c>
      <c r="M300" s="15">
        <v>42787</v>
      </c>
      <c r="N300" s="24">
        <v>79800</v>
      </c>
      <c r="O300" s="30">
        <v>42816</v>
      </c>
      <c r="P300" s="43"/>
      <c r="Q300" s="81" t="str">
        <f t="shared" si="50"/>
        <v/>
      </c>
      <c r="R300" s="81">
        <f t="shared" ref="R300:R306" si="54">IF(M300="",K300-N300,0)</f>
        <v>0</v>
      </c>
      <c r="S300" s="81"/>
      <c r="T300" s="163"/>
    </row>
    <row r="301" spans="1:20" s="26" customFormat="1" hidden="1" outlineLevel="1">
      <c r="A301" s="46" t="s">
        <v>259</v>
      </c>
      <c r="B301" s="19"/>
      <c r="C301" s="105"/>
      <c r="D301" s="105"/>
      <c r="E301" s="105"/>
      <c r="F301" s="174"/>
      <c r="G301" s="105"/>
      <c r="H301" s="492"/>
      <c r="I301" s="25"/>
      <c r="J301" s="232">
        <v>0.37869999999999998</v>
      </c>
      <c r="K301" s="23">
        <v>20934.2</v>
      </c>
      <c r="L301" s="42">
        <v>2</v>
      </c>
      <c r="M301" s="15">
        <v>43158</v>
      </c>
      <c r="N301" s="24">
        <v>20934.2</v>
      </c>
      <c r="O301" s="30">
        <v>43186</v>
      </c>
      <c r="P301" s="43"/>
      <c r="Q301" s="81" t="str">
        <f t="shared" si="50"/>
        <v/>
      </c>
      <c r="R301" s="81">
        <f t="shared" si="54"/>
        <v>0</v>
      </c>
      <c r="S301" s="81"/>
      <c r="T301" s="163"/>
    </row>
    <row r="302" spans="1:20" s="26" customFormat="1" hidden="1" outlineLevel="1">
      <c r="A302" s="46" t="s">
        <v>259</v>
      </c>
      <c r="B302" s="19"/>
      <c r="C302" s="105"/>
      <c r="D302" s="105"/>
      <c r="E302" s="105"/>
      <c r="F302" s="174"/>
      <c r="G302" s="105"/>
      <c r="H302" s="492"/>
      <c r="I302" s="25"/>
      <c r="J302" s="232">
        <v>0.50870000000000004</v>
      </c>
      <c r="K302" s="23">
        <f>+J302*I299-K300-K301</f>
        <v>34580.000000000015</v>
      </c>
      <c r="L302" s="42">
        <v>3</v>
      </c>
      <c r="M302" s="15">
        <v>43251</v>
      </c>
      <c r="N302" s="24">
        <v>34580</v>
      </c>
      <c r="O302" s="30">
        <v>43286</v>
      </c>
      <c r="P302" s="43"/>
      <c r="Q302" s="81" t="str">
        <f t="shared" si="50"/>
        <v/>
      </c>
      <c r="R302" s="81">
        <f t="shared" si="54"/>
        <v>0</v>
      </c>
      <c r="S302" s="81"/>
      <c r="T302" s="163"/>
    </row>
    <row r="303" spans="1:20" s="26" customFormat="1" hidden="1" outlineLevel="1">
      <c r="A303" s="46" t="s">
        <v>259</v>
      </c>
      <c r="B303" s="19"/>
      <c r="C303" s="105"/>
      <c r="D303" s="105"/>
      <c r="E303" s="105"/>
      <c r="F303" s="174"/>
      <c r="G303" s="105"/>
      <c r="H303" s="492"/>
      <c r="I303" s="25"/>
      <c r="J303" s="232">
        <v>0.60909999999999997</v>
      </c>
      <c r="K303" s="23">
        <v>26706.400000000001</v>
      </c>
      <c r="L303" s="42">
        <v>4</v>
      </c>
      <c r="M303" s="15">
        <v>43307</v>
      </c>
      <c r="N303" s="24">
        <v>26706.400000000001</v>
      </c>
      <c r="O303" s="30">
        <v>43335</v>
      </c>
      <c r="P303" s="43"/>
      <c r="Q303" s="81" t="str">
        <f t="shared" si="50"/>
        <v/>
      </c>
      <c r="R303" s="81">
        <f t="shared" si="54"/>
        <v>0</v>
      </c>
      <c r="S303" s="81"/>
      <c r="T303" s="163"/>
    </row>
    <row r="304" spans="1:20" s="26" customFormat="1" hidden="1" outlineLevel="1">
      <c r="A304" s="46" t="s">
        <v>259</v>
      </c>
      <c r="B304" s="19"/>
      <c r="C304" s="105"/>
      <c r="D304" s="105"/>
      <c r="E304" s="105"/>
      <c r="F304" s="174"/>
      <c r="G304" s="105"/>
      <c r="H304" s="492"/>
      <c r="I304" s="25"/>
      <c r="J304" s="232">
        <v>0.69969999999999999</v>
      </c>
      <c r="K304" s="23">
        <f>+I299*J304-K300-K301-K302-K303</f>
        <v>24099.599999999969</v>
      </c>
      <c r="L304" s="42">
        <v>5</v>
      </c>
      <c r="M304" s="15">
        <v>43384</v>
      </c>
      <c r="N304" s="24">
        <v>24099.599999999999</v>
      </c>
      <c r="O304" s="30">
        <v>43441</v>
      </c>
      <c r="P304" s="43"/>
      <c r="Q304" s="81" t="str">
        <f t="shared" si="50"/>
        <v/>
      </c>
      <c r="R304" s="81">
        <f t="shared" si="54"/>
        <v>0</v>
      </c>
      <c r="S304" s="81"/>
      <c r="T304" s="163"/>
    </row>
    <row r="305" spans="1:20" s="26" customFormat="1" hidden="1" outlineLevel="1">
      <c r="A305" s="46" t="s">
        <v>259</v>
      </c>
      <c r="B305" s="19"/>
      <c r="C305" s="105"/>
      <c r="D305" s="105"/>
      <c r="E305" s="105"/>
      <c r="F305" s="174"/>
      <c r="G305" s="105"/>
      <c r="H305" s="492"/>
      <c r="I305" s="25"/>
      <c r="J305" s="108">
        <v>0.8</v>
      </c>
      <c r="K305" s="23">
        <f>J305*I299-K300-K301-K302-K303-K304</f>
        <v>26679.800000000017</v>
      </c>
      <c r="L305" s="42">
        <v>6</v>
      </c>
      <c r="M305" s="15">
        <v>43489</v>
      </c>
      <c r="N305" s="24">
        <v>26679.8</v>
      </c>
      <c r="O305" s="30">
        <v>43545</v>
      </c>
      <c r="P305" s="43"/>
      <c r="Q305" s="81" t="str">
        <f t="shared" si="50"/>
        <v/>
      </c>
      <c r="R305" s="81">
        <f t="shared" si="54"/>
        <v>0</v>
      </c>
      <c r="S305" s="81"/>
      <c r="T305" s="163"/>
    </row>
    <row r="306" spans="1:20" s="26" customFormat="1" hidden="1" outlineLevel="1">
      <c r="A306" s="46" t="s">
        <v>259</v>
      </c>
      <c r="B306" s="4"/>
      <c r="C306" s="29" t="s">
        <v>212</v>
      </c>
      <c r="D306" s="15"/>
      <c r="E306" s="15"/>
      <c r="F306" s="174"/>
      <c r="G306" s="15"/>
      <c r="H306" s="492"/>
      <c r="I306" s="25"/>
      <c r="J306" s="108">
        <v>1</v>
      </c>
      <c r="K306" s="111">
        <f>266000-K300-K302-K301-K305-K303-K304</f>
        <v>53200.000000000007</v>
      </c>
      <c r="L306" s="42">
        <v>7</v>
      </c>
      <c r="M306" s="15"/>
      <c r="N306" s="652"/>
      <c r="O306" s="30"/>
      <c r="P306" s="43"/>
      <c r="Q306" s="81" t="str">
        <f t="shared" si="50"/>
        <v/>
      </c>
      <c r="R306" s="81">
        <f t="shared" si="54"/>
        <v>53200.000000000007</v>
      </c>
      <c r="S306" s="81"/>
      <c r="T306" s="166"/>
    </row>
    <row r="307" spans="1:20" s="26" customFormat="1" collapsed="1">
      <c r="A307" s="119" t="s">
        <v>147</v>
      </c>
      <c r="B307" s="125" t="s">
        <v>148</v>
      </c>
      <c r="C307" s="158">
        <v>42298</v>
      </c>
      <c r="D307" s="158">
        <f>DATE(YEAR(C307),MONTH(C307)+18,DAY(C307))</f>
        <v>42846</v>
      </c>
      <c r="E307" s="158">
        <v>43090</v>
      </c>
      <c r="F307" s="173">
        <v>43122</v>
      </c>
      <c r="G307" s="386">
        <v>44489</v>
      </c>
      <c r="H307" s="552"/>
      <c r="I307" s="258">
        <v>360000</v>
      </c>
      <c r="J307" s="443"/>
      <c r="K307" s="251"/>
      <c r="L307" s="252"/>
      <c r="M307" s="121"/>
      <c r="N307" s="126">
        <f>SUM(N308:N312)</f>
        <v>201456</v>
      </c>
      <c r="O307" s="215"/>
      <c r="P307" s="253"/>
      <c r="Q307" s="159">
        <f>SUM(Q308:Q312)</f>
        <v>0</v>
      </c>
      <c r="R307" s="159">
        <f>SUM(R308:R312)</f>
        <v>158544</v>
      </c>
      <c r="S307" s="254"/>
      <c r="T307" s="166">
        <f>I307-(N307+Q307+R307)</f>
        <v>0</v>
      </c>
    </row>
    <row r="308" spans="1:20" s="26" customFormat="1" hidden="1" outlineLevel="1">
      <c r="A308" s="46" t="s">
        <v>147</v>
      </c>
      <c r="B308" s="19"/>
      <c r="C308" s="105"/>
      <c r="D308" s="105"/>
      <c r="E308" s="105"/>
      <c r="F308" s="178"/>
      <c r="G308" s="29" t="s">
        <v>245</v>
      </c>
      <c r="H308" s="492"/>
      <c r="I308" s="25"/>
      <c r="J308" s="108">
        <v>0.3</v>
      </c>
      <c r="K308" s="23">
        <f>+I307*J308</f>
        <v>108000</v>
      </c>
      <c r="L308" s="42">
        <v>1</v>
      </c>
      <c r="M308" s="15">
        <v>43129</v>
      </c>
      <c r="N308" s="24">
        <v>108000</v>
      </c>
      <c r="O308" s="30">
        <v>43231</v>
      </c>
      <c r="P308" s="43"/>
      <c r="Q308" s="81" t="str">
        <f t="shared" si="50"/>
        <v/>
      </c>
      <c r="R308" s="81">
        <f>IF(M308="",K308-N308,0)</f>
        <v>0</v>
      </c>
      <c r="S308" s="81"/>
      <c r="T308" s="166"/>
    </row>
    <row r="309" spans="1:20" s="26" customFormat="1" hidden="1" outlineLevel="1">
      <c r="A309" s="46" t="s">
        <v>147</v>
      </c>
      <c r="B309" s="19"/>
      <c r="C309" s="105"/>
      <c r="D309" s="105"/>
      <c r="E309" s="105"/>
      <c r="F309" s="178"/>
      <c r="G309" s="434"/>
      <c r="H309" s="492"/>
      <c r="I309" s="25"/>
      <c r="J309" s="232">
        <v>0.40250000000000002</v>
      </c>
      <c r="K309" s="23">
        <f>+I307*J309-K308</f>
        <v>36900</v>
      </c>
      <c r="L309" s="42">
        <v>2</v>
      </c>
      <c r="M309" s="15">
        <v>43349</v>
      </c>
      <c r="N309" s="24">
        <v>36900</v>
      </c>
      <c r="O309" s="30">
        <v>43406</v>
      </c>
      <c r="P309" s="43"/>
      <c r="Q309" s="81" t="str">
        <f t="shared" si="50"/>
        <v/>
      </c>
      <c r="R309" s="81">
        <f>IF(M309="",K309-N309,0)</f>
        <v>0</v>
      </c>
      <c r="S309" s="81"/>
      <c r="T309" s="166"/>
    </row>
    <row r="310" spans="1:20" s="26" customFormat="1" hidden="1" outlineLevel="1">
      <c r="A310" s="46" t="s">
        <v>147</v>
      </c>
      <c r="B310" s="19"/>
      <c r="C310" s="105"/>
      <c r="D310" s="105"/>
      <c r="E310" s="105"/>
      <c r="F310" s="178"/>
      <c r="G310" s="434"/>
      <c r="H310" s="492"/>
      <c r="I310" s="25"/>
      <c r="J310" s="232">
        <v>0.55959999999999999</v>
      </c>
      <c r="K310" s="23">
        <f>+I307*J310-K308-K309</f>
        <v>56556</v>
      </c>
      <c r="L310" s="42">
        <v>3</v>
      </c>
      <c r="M310" s="15">
        <v>43489</v>
      </c>
      <c r="N310" s="24">
        <v>56556</v>
      </c>
      <c r="O310" s="30">
        <v>43543</v>
      </c>
      <c r="P310" s="43"/>
      <c r="Q310" s="81" t="str">
        <f t="shared" si="50"/>
        <v/>
      </c>
      <c r="R310" s="81">
        <f>IF(M310="",K310-N310,0)</f>
        <v>0</v>
      </c>
      <c r="S310" s="81"/>
      <c r="T310" s="166"/>
    </row>
    <row r="311" spans="1:20" s="26" customFormat="1" hidden="1" outlineLevel="1">
      <c r="A311" s="46" t="s">
        <v>147</v>
      </c>
      <c r="B311" s="19"/>
      <c r="C311" s="105"/>
      <c r="D311" s="105"/>
      <c r="E311" s="105"/>
      <c r="F311" s="178"/>
      <c r="G311" s="434"/>
      <c r="H311" s="492"/>
      <c r="I311" s="25"/>
      <c r="J311" s="108">
        <v>0.8</v>
      </c>
      <c r="K311" s="23">
        <f>+I307*J311-K308-K309-K310</f>
        <v>86544</v>
      </c>
      <c r="L311" s="42">
        <v>4</v>
      </c>
      <c r="M311" s="15"/>
      <c r="N311" s="20"/>
      <c r="O311" s="30"/>
      <c r="P311" s="43"/>
      <c r="Q311" s="81" t="str">
        <f t="shared" si="50"/>
        <v/>
      </c>
      <c r="R311" s="81">
        <f>IF(M311="",K311-N311,0)</f>
        <v>86544</v>
      </c>
      <c r="S311" s="81"/>
      <c r="T311" s="166"/>
    </row>
    <row r="312" spans="1:20" s="26" customFormat="1" hidden="1" outlineLevel="1">
      <c r="A312" s="46" t="s">
        <v>147</v>
      </c>
      <c r="B312" s="4"/>
      <c r="C312" s="29" t="s">
        <v>212</v>
      </c>
      <c r="D312" s="15"/>
      <c r="E312" s="29"/>
      <c r="F312" s="174"/>
      <c r="G312" s="29"/>
      <c r="H312" s="492"/>
      <c r="I312" s="25"/>
      <c r="J312" s="108">
        <v>1</v>
      </c>
      <c r="K312" s="23">
        <f>+I307-K308-K309-K311-K310</f>
        <v>72000</v>
      </c>
      <c r="L312" s="42">
        <v>5</v>
      </c>
      <c r="M312" s="15"/>
      <c r="N312" s="24"/>
      <c r="O312" s="30"/>
      <c r="P312" s="43"/>
      <c r="Q312" s="81" t="str">
        <f t="shared" si="50"/>
        <v/>
      </c>
      <c r="R312" s="81">
        <f>IF(M312="",K312-N312,0)</f>
        <v>72000</v>
      </c>
      <c r="S312" s="81"/>
      <c r="T312" s="166"/>
    </row>
    <row r="313" spans="1:20" s="26" customFormat="1" collapsed="1">
      <c r="A313" s="119" t="s">
        <v>292</v>
      </c>
      <c r="B313" s="125" t="s">
        <v>144</v>
      </c>
      <c r="C313" s="158">
        <v>42320</v>
      </c>
      <c r="D313" s="158">
        <f>DATE(YEAR(C313),MONTH(C313)+18,DAY(C313))</f>
        <v>42867</v>
      </c>
      <c r="E313" s="158">
        <v>42761</v>
      </c>
      <c r="F313" s="173">
        <v>42767</v>
      </c>
      <c r="G313" s="158">
        <f>DATE(YEAR(C313)+4,MONTH(C313),DAY(C313))</f>
        <v>43781</v>
      </c>
      <c r="H313" s="552"/>
      <c r="I313" s="258">
        <v>1100000</v>
      </c>
      <c r="J313" s="443"/>
      <c r="K313" s="251"/>
      <c r="L313" s="252"/>
      <c r="M313" s="121"/>
      <c r="N313" s="126">
        <f>SUM(N314:N319)</f>
        <v>808060</v>
      </c>
      <c r="O313" s="215"/>
      <c r="P313" s="253"/>
      <c r="Q313" s="159">
        <f>SUM(Q314:Q319)</f>
        <v>0</v>
      </c>
      <c r="R313" s="170">
        <f>SUM(R314:R319)</f>
        <v>291940.00000000006</v>
      </c>
      <c r="S313" s="254"/>
      <c r="T313" s="166">
        <f>I313-(N313+Q313+R313)</f>
        <v>0</v>
      </c>
    </row>
    <row r="314" spans="1:20" s="26" customFormat="1" hidden="1" outlineLevel="1">
      <c r="A314" s="46" t="s">
        <v>292</v>
      </c>
      <c r="B314" s="19"/>
      <c r="C314" s="105"/>
      <c r="D314" s="105"/>
      <c r="E314" s="105"/>
      <c r="F314" s="174"/>
      <c r="G314" s="105"/>
      <c r="H314" s="492"/>
      <c r="I314" s="25"/>
      <c r="J314" s="108">
        <v>0.3</v>
      </c>
      <c r="K314" s="23">
        <f>+J314*I313</f>
        <v>330000</v>
      </c>
      <c r="L314" s="42">
        <v>1</v>
      </c>
      <c r="M314" s="15">
        <v>42787</v>
      </c>
      <c r="N314" s="24">
        <v>330000</v>
      </c>
      <c r="O314" s="30">
        <v>42817</v>
      </c>
      <c r="P314" s="43"/>
      <c r="Q314" s="81" t="str">
        <f t="shared" si="50"/>
        <v/>
      </c>
      <c r="R314" s="81">
        <f>IF(M314="",K314-N314,0)</f>
        <v>0</v>
      </c>
      <c r="S314" s="81"/>
      <c r="T314" s="163"/>
    </row>
    <row r="315" spans="1:20" s="26" customFormat="1" hidden="1" outlineLevel="1">
      <c r="A315" s="46" t="s">
        <v>292</v>
      </c>
      <c r="B315" s="19"/>
      <c r="C315" s="105"/>
      <c r="D315" s="105"/>
      <c r="E315" s="105"/>
      <c r="F315" s="174"/>
      <c r="G315" s="105"/>
      <c r="H315" s="492"/>
      <c r="I315" s="25"/>
      <c r="J315" s="232">
        <v>0.33160000000000001</v>
      </c>
      <c r="K315" s="23">
        <f>I313*J315-K314</f>
        <v>34760</v>
      </c>
      <c r="L315" s="42">
        <v>2</v>
      </c>
      <c r="M315" s="15">
        <v>43061</v>
      </c>
      <c r="N315" s="24">
        <v>34760</v>
      </c>
      <c r="O315" s="30">
        <v>43164</v>
      </c>
      <c r="P315" s="43"/>
      <c r="Q315" s="81"/>
      <c r="R315" s="81"/>
      <c r="S315" s="81"/>
      <c r="T315" s="163"/>
    </row>
    <row r="316" spans="1:20" s="26" customFormat="1" hidden="1" outlineLevel="1">
      <c r="A316" s="46" t="s">
        <v>292</v>
      </c>
      <c r="B316" s="19"/>
      <c r="C316" s="105"/>
      <c r="D316" s="105"/>
      <c r="E316" s="105"/>
      <c r="F316" s="174"/>
      <c r="G316" s="105"/>
      <c r="H316" s="492"/>
      <c r="I316" s="25"/>
      <c r="J316" s="232">
        <v>0.40550000000000003</v>
      </c>
      <c r="K316" s="23">
        <f>I313*J316-K314-K315</f>
        <v>81290.000000000058</v>
      </c>
      <c r="L316" s="42">
        <v>3</v>
      </c>
      <c r="M316" s="650">
        <v>43200</v>
      </c>
      <c r="N316" s="24">
        <v>81290</v>
      </c>
      <c r="O316" s="30">
        <v>43231</v>
      </c>
      <c r="P316" s="43"/>
      <c r="Q316" s="81" t="str">
        <f t="shared" si="50"/>
        <v/>
      </c>
      <c r="R316" s="81">
        <f>IF(M316="",K316-N316,0)</f>
        <v>0</v>
      </c>
      <c r="S316" s="81"/>
      <c r="T316" s="163"/>
    </row>
    <row r="317" spans="1:20" s="26" customFormat="1" hidden="1" outlineLevel="1">
      <c r="A317" s="46" t="s">
        <v>292</v>
      </c>
      <c r="B317" s="19"/>
      <c r="C317" s="105"/>
      <c r="D317" s="105"/>
      <c r="E317" s="105"/>
      <c r="F317" s="174"/>
      <c r="G317" s="105"/>
      <c r="H317" s="492"/>
      <c r="I317" s="25"/>
      <c r="J317" s="232">
        <v>0.73460000000000003</v>
      </c>
      <c r="K317" s="23">
        <f>I313*J317-(K314+K315+K316)</f>
        <v>362009.99999999994</v>
      </c>
      <c r="L317" s="42">
        <v>4</v>
      </c>
      <c r="M317" s="15">
        <v>43377</v>
      </c>
      <c r="N317" s="24">
        <v>362010</v>
      </c>
      <c r="O317" s="30">
        <v>43446</v>
      </c>
      <c r="P317" s="43"/>
      <c r="Q317" s="81" t="str">
        <f t="shared" si="50"/>
        <v/>
      </c>
      <c r="R317" s="81">
        <f>IF(M317="",K317-N317,0)</f>
        <v>0</v>
      </c>
      <c r="S317" s="81"/>
      <c r="T317" s="163"/>
    </row>
    <row r="318" spans="1:20" s="26" customFormat="1" hidden="1" outlineLevel="1">
      <c r="A318" s="46" t="s">
        <v>292</v>
      </c>
      <c r="B318" s="19"/>
      <c r="C318" s="105"/>
      <c r="D318" s="105"/>
      <c r="E318" s="105"/>
      <c r="F318" s="174"/>
      <c r="G318" s="105"/>
      <c r="H318" s="492"/>
      <c r="I318" s="25"/>
      <c r="J318" s="232">
        <v>0.8</v>
      </c>
      <c r="K318" s="23">
        <f>+I313*J318-K314-K315-K316-K317</f>
        <v>71940</v>
      </c>
      <c r="L318" s="42">
        <v>5</v>
      </c>
      <c r="M318" s="15"/>
      <c r="N318" s="24"/>
      <c r="O318" s="30"/>
      <c r="P318" s="43"/>
      <c r="Q318" s="81" t="str">
        <f t="shared" si="50"/>
        <v/>
      </c>
      <c r="R318" s="81">
        <f>IF(M318="",K318-N318,0)</f>
        <v>71940</v>
      </c>
      <c r="S318" s="81"/>
      <c r="T318" s="163"/>
    </row>
    <row r="319" spans="1:20" s="26" customFormat="1" hidden="1" outlineLevel="1">
      <c r="A319" s="46" t="s">
        <v>292</v>
      </c>
      <c r="B319" s="4"/>
      <c r="C319" s="29" t="s">
        <v>212</v>
      </c>
      <c r="D319" s="15"/>
      <c r="E319" s="15"/>
      <c r="F319" s="174"/>
      <c r="G319" s="15"/>
      <c r="H319" s="492"/>
      <c r="I319" s="25"/>
      <c r="J319" s="108">
        <v>1</v>
      </c>
      <c r="K319" s="23">
        <f>1100000-K314-K316-K315-K317-K318</f>
        <v>220000.00000000006</v>
      </c>
      <c r="L319" s="42">
        <v>6</v>
      </c>
      <c r="M319" s="15"/>
      <c r="N319" s="24"/>
      <c r="O319" s="30"/>
      <c r="P319" s="43"/>
      <c r="Q319" s="81" t="str">
        <f t="shared" si="50"/>
        <v/>
      </c>
      <c r="R319" s="81">
        <f>IF(M319="",K319-N319,0)</f>
        <v>220000.00000000006</v>
      </c>
      <c r="S319" s="81"/>
      <c r="T319" s="166"/>
    </row>
    <row r="320" spans="1:20" s="26" customFormat="1" collapsed="1">
      <c r="A320" s="119" t="s">
        <v>143</v>
      </c>
      <c r="B320" s="125" t="s">
        <v>145</v>
      </c>
      <c r="C320" s="158">
        <v>42320</v>
      </c>
      <c r="D320" s="151">
        <f>DATE(YEAR(C320),MONTH(C320)+18,DAY(C320))</f>
        <v>42867</v>
      </c>
      <c r="E320" s="158">
        <v>42676</v>
      </c>
      <c r="F320" s="173">
        <v>42772</v>
      </c>
      <c r="G320" s="151">
        <f>DATE(YEAR(C320)+4,MONTH(C320),DAY(C320))</f>
        <v>43781</v>
      </c>
      <c r="H320" s="557">
        <v>43360</v>
      </c>
      <c r="I320" s="258">
        <v>360000</v>
      </c>
      <c r="J320" s="443"/>
      <c r="K320" s="251"/>
      <c r="L320" s="252"/>
      <c r="M320" s="121"/>
      <c r="N320" s="126">
        <f>SUM(N321:N327)</f>
        <v>288000</v>
      </c>
      <c r="O320" s="215"/>
      <c r="P320" s="253"/>
      <c r="Q320" s="159">
        <f>SUM(Q321:Q327)</f>
        <v>0</v>
      </c>
      <c r="R320" s="170">
        <f>SUM(R321:R327)</f>
        <v>72000</v>
      </c>
      <c r="S320" s="254"/>
      <c r="T320" s="166">
        <f>I320-(N320+Q320+R320)</f>
        <v>0</v>
      </c>
    </row>
    <row r="321" spans="1:20" s="26" customFormat="1" hidden="1" outlineLevel="1">
      <c r="A321" s="46" t="s">
        <v>143</v>
      </c>
      <c r="B321" s="19"/>
      <c r="C321" s="105"/>
      <c r="D321" s="85"/>
      <c r="E321" s="105"/>
      <c r="F321" s="174"/>
      <c r="G321" s="85"/>
      <c r="H321" s="492"/>
      <c r="I321" s="25"/>
      <c r="J321" s="108">
        <v>0.3</v>
      </c>
      <c r="K321" s="23">
        <f>+I320*J321</f>
        <v>108000</v>
      </c>
      <c r="L321" s="42">
        <v>1</v>
      </c>
      <c r="M321" s="15">
        <v>42796</v>
      </c>
      <c r="N321" s="24">
        <v>108000</v>
      </c>
      <c r="O321" s="30">
        <v>42816</v>
      </c>
      <c r="P321" s="43"/>
      <c r="Q321" s="81" t="str">
        <f t="shared" si="50"/>
        <v/>
      </c>
      <c r="R321" s="106">
        <f t="shared" ref="R321:R327" si="55">IF(M321="",K321-N321,0)</f>
        <v>0</v>
      </c>
      <c r="S321" s="81"/>
      <c r="T321" s="163"/>
    </row>
    <row r="322" spans="1:20" s="26" customFormat="1" hidden="1" outlineLevel="1">
      <c r="A322" s="46" t="s">
        <v>143</v>
      </c>
      <c r="B322" s="19"/>
      <c r="C322" s="105"/>
      <c r="D322" s="85"/>
      <c r="E322" s="105"/>
      <c r="F322" s="174"/>
      <c r="G322" s="85"/>
      <c r="H322" s="492"/>
      <c r="I322" s="25"/>
      <c r="J322" s="232">
        <v>0.38490000000000002</v>
      </c>
      <c r="K322" s="23">
        <f>+I320*J322-K321</f>
        <v>30564</v>
      </c>
      <c r="L322" s="42">
        <v>2</v>
      </c>
      <c r="M322" s="15">
        <v>43053</v>
      </c>
      <c r="N322" s="24">
        <v>30564</v>
      </c>
      <c r="O322" s="30">
        <v>43077</v>
      </c>
      <c r="P322" s="43"/>
      <c r="Q322" s="81" t="str">
        <f t="shared" si="50"/>
        <v/>
      </c>
      <c r="R322" s="81">
        <f t="shared" si="55"/>
        <v>0</v>
      </c>
      <c r="S322" s="81"/>
      <c r="T322" s="163"/>
    </row>
    <row r="323" spans="1:20" s="26" customFormat="1" hidden="1" outlineLevel="1">
      <c r="A323" s="46" t="s">
        <v>143</v>
      </c>
      <c r="B323" s="19"/>
      <c r="C323" s="105"/>
      <c r="D323" s="85"/>
      <c r="E323" s="105"/>
      <c r="F323" s="174"/>
      <c r="G323" s="85"/>
      <c r="H323" s="492"/>
      <c r="I323" s="25"/>
      <c r="J323" s="232">
        <v>0.49880000000000002</v>
      </c>
      <c r="K323" s="23">
        <f>+I320*J323-K321-K322</f>
        <v>41004</v>
      </c>
      <c r="L323" s="42">
        <v>3</v>
      </c>
      <c r="M323" s="15">
        <v>43158</v>
      </c>
      <c r="N323" s="24">
        <v>41004</v>
      </c>
      <c r="O323" s="30">
        <v>43186</v>
      </c>
      <c r="P323" s="43"/>
      <c r="Q323" s="81" t="str">
        <f t="shared" si="50"/>
        <v/>
      </c>
      <c r="R323" s="81">
        <f t="shared" si="55"/>
        <v>0</v>
      </c>
      <c r="S323" s="81"/>
      <c r="T323" s="163"/>
    </row>
    <row r="324" spans="1:20" s="26" customFormat="1" hidden="1" outlineLevel="1">
      <c r="A324" s="46" t="s">
        <v>143</v>
      </c>
      <c r="B324" s="19"/>
      <c r="C324" s="105"/>
      <c r="D324" s="85"/>
      <c r="E324" s="105"/>
      <c r="F324" s="174"/>
      <c r="G324" s="85"/>
      <c r="H324" s="492"/>
      <c r="I324" s="25"/>
      <c r="J324" s="232">
        <v>0.6089</v>
      </c>
      <c r="K324" s="23">
        <f>I320*J324-K321-K322-K323</f>
        <v>39636</v>
      </c>
      <c r="L324" s="42">
        <v>4</v>
      </c>
      <c r="M324" s="15">
        <v>43244</v>
      </c>
      <c r="N324" s="24">
        <v>39636</v>
      </c>
      <c r="O324" s="30">
        <v>43270</v>
      </c>
      <c r="P324" s="43"/>
      <c r="Q324" s="81" t="str">
        <f t="shared" si="50"/>
        <v/>
      </c>
      <c r="R324" s="81">
        <f t="shared" si="55"/>
        <v>0</v>
      </c>
      <c r="S324" s="81"/>
      <c r="T324" s="163"/>
    </row>
    <row r="325" spans="1:20" s="26" customFormat="1" hidden="1" outlineLevel="1">
      <c r="A325" s="46" t="s">
        <v>143</v>
      </c>
      <c r="B325" s="19"/>
      <c r="C325" s="105"/>
      <c r="D325" s="85"/>
      <c r="E325" s="105"/>
      <c r="F325" s="174"/>
      <c r="G325" s="85"/>
      <c r="H325" s="492"/>
      <c r="I325" s="25"/>
      <c r="J325" s="232">
        <v>0.67679999999999996</v>
      </c>
      <c r="K325" s="23">
        <v>24444</v>
      </c>
      <c r="L325" s="42">
        <v>5</v>
      </c>
      <c r="M325" s="15">
        <v>43291</v>
      </c>
      <c r="N325" s="24">
        <v>24444</v>
      </c>
      <c r="O325" s="30">
        <v>43325</v>
      </c>
      <c r="P325" s="43"/>
      <c r="Q325" s="81" t="str">
        <f t="shared" si="50"/>
        <v/>
      </c>
      <c r="R325" s="81">
        <f t="shared" si="55"/>
        <v>0</v>
      </c>
      <c r="S325" s="81"/>
      <c r="T325" s="163"/>
    </row>
    <row r="326" spans="1:20" s="26" customFormat="1" hidden="1" outlineLevel="1">
      <c r="A326" s="46" t="s">
        <v>143</v>
      </c>
      <c r="B326" s="19"/>
      <c r="C326" s="105"/>
      <c r="D326" s="85"/>
      <c r="E326" s="105"/>
      <c r="F326" s="174"/>
      <c r="G326" s="85"/>
      <c r="H326" s="492"/>
      <c r="I326" s="25"/>
      <c r="J326" s="232">
        <v>0.8</v>
      </c>
      <c r="K326" s="23">
        <f>+I320*J326-K321-K322-K323-K324-K325</f>
        <v>44352</v>
      </c>
      <c r="L326" s="42">
        <v>6</v>
      </c>
      <c r="M326" s="15">
        <v>43391</v>
      </c>
      <c r="N326" s="24">
        <v>44352</v>
      </c>
      <c r="O326" s="30">
        <v>43417</v>
      </c>
      <c r="P326" s="43"/>
      <c r="Q326" s="81" t="str">
        <f t="shared" si="50"/>
        <v/>
      </c>
      <c r="R326" s="81">
        <f t="shared" si="55"/>
        <v>0</v>
      </c>
      <c r="S326" s="81"/>
      <c r="T326" s="163"/>
    </row>
    <row r="327" spans="1:20" s="26" customFormat="1" ht="11.25" hidden="1" customHeight="1" outlineLevel="1">
      <c r="A327" s="46" t="s">
        <v>143</v>
      </c>
      <c r="B327" s="4"/>
      <c r="C327" s="29" t="s">
        <v>212</v>
      </c>
      <c r="D327" s="388"/>
      <c r="E327" s="15"/>
      <c r="F327" s="174"/>
      <c r="G327" s="388"/>
      <c r="H327" s="492"/>
      <c r="I327" s="25"/>
      <c r="J327" s="108">
        <v>1</v>
      </c>
      <c r="K327" s="111">
        <f>+I320-K321-K322-K323-K324-K325-K326</f>
        <v>72000</v>
      </c>
      <c r="L327" s="42">
        <v>7</v>
      </c>
      <c r="M327" s="15"/>
      <c r="N327" s="387"/>
      <c r="O327" s="30"/>
      <c r="P327" s="43"/>
      <c r="Q327" s="81" t="str">
        <f t="shared" si="50"/>
        <v/>
      </c>
      <c r="R327" s="81">
        <f t="shared" si="55"/>
        <v>72000</v>
      </c>
      <c r="S327" s="81"/>
      <c r="T327" s="166"/>
    </row>
    <row r="328" spans="1:20" s="26" customFormat="1" collapsed="1">
      <c r="A328" s="119" t="s">
        <v>403</v>
      </c>
      <c r="B328" s="125" t="s">
        <v>231</v>
      </c>
      <c r="C328" s="158">
        <v>42354</v>
      </c>
      <c r="D328" s="151">
        <f>DATE(YEAR(C328),MONTH(C328)+18,DAY(C328))</f>
        <v>42902</v>
      </c>
      <c r="E328" s="158">
        <v>43091</v>
      </c>
      <c r="F328" s="173">
        <v>43129</v>
      </c>
      <c r="G328" s="547">
        <v>44545</v>
      </c>
      <c r="H328" s="552"/>
      <c r="I328" s="258">
        <v>200000</v>
      </c>
      <c r="J328" s="443"/>
      <c r="K328" s="251"/>
      <c r="L328" s="252"/>
      <c r="M328" s="121"/>
      <c r="N328" s="126">
        <f>SUM(N329:N332)</f>
        <v>88200</v>
      </c>
      <c r="O328" s="215"/>
      <c r="P328" s="253"/>
      <c r="Q328" s="159">
        <f>SUM(Q329:Q332)</f>
        <v>19880</v>
      </c>
      <c r="R328" s="170">
        <f>SUM(R329:R332)</f>
        <v>91920</v>
      </c>
      <c r="S328" s="254"/>
      <c r="T328" s="166">
        <f>I328-(N328+Q328+R328)</f>
        <v>0</v>
      </c>
    </row>
    <row r="329" spans="1:20" s="26" customFormat="1" hidden="1" outlineLevel="1">
      <c r="A329" s="46" t="s">
        <v>403</v>
      </c>
      <c r="B329" s="19"/>
      <c r="C329" s="105"/>
      <c r="D329" s="105"/>
      <c r="E329" s="105"/>
      <c r="F329" s="178"/>
      <c r="G329" s="29" t="s">
        <v>245</v>
      </c>
      <c r="H329" s="492"/>
      <c r="I329" s="25"/>
      <c r="J329" s="232">
        <v>0.3</v>
      </c>
      <c r="K329" s="23">
        <f>+I328*J329</f>
        <v>60000</v>
      </c>
      <c r="L329" s="42">
        <v>1</v>
      </c>
      <c r="M329" s="15">
        <v>43129</v>
      </c>
      <c r="N329" s="24">
        <v>60000</v>
      </c>
      <c r="O329" s="30">
        <v>43186</v>
      </c>
      <c r="P329" s="43"/>
      <c r="Q329" s="81" t="str">
        <f t="shared" si="50"/>
        <v/>
      </c>
      <c r="R329" s="81">
        <f>IF(M329="",K329-N329,0)</f>
        <v>0</v>
      </c>
      <c r="S329" s="81"/>
      <c r="T329" s="163"/>
    </row>
    <row r="330" spans="1:20" s="26" customFormat="1" hidden="1" outlineLevel="1">
      <c r="A330" s="46" t="s">
        <v>403</v>
      </c>
      <c r="B330" s="19"/>
      <c r="C330" s="105"/>
      <c r="D330" s="105"/>
      <c r="E330" s="105"/>
      <c r="F330" s="178"/>
      <c r="G330" s="434"/>
      <c r="H330" s="492"/>
      <c r="I330" s="25"/>
      <c r="J330" s="232">
        <v>0.441</v>
      </c>
      <c r="K330" s="23">
        <f>+I328*J330-K329</f>
        <v>28200</v>
      </c>
      <c r="L330" s="42">
        <v>2</v>
      </c>
      <c r="M330" s="15">
        <v>43489</v>
      </c>
      <c r="N330" s="24">
        <v>28200</v>
      </c>
      <c r="O330" s="30">
        <v>43543</v>
      </c>
      <c r="P330" s="43"/>
      <c r="Q330" s="81" t="str">
        <f t="shared" si="50"/>
        <v/>
      </c>
      <c r="R330" s="365">
        <f>IF(M330="",K330-N330,0)</f>
        <v>0</v>
      </c>
      <c r="S330" s="81"/>
      <c r="T330" s="163"/>
    </row>
    <row r="331" spans="1:20" s="26" customFormat="1" hidden="1" outlineLevel="1">
      <c r="A331" s="46" t="s">
        <v>403</v>
      </c>
      <c r="B331" s="19"/>
      <c r="C331" s="105"/>
      <c r="D331" s="105"/>
      <c r="E331" s="105"/>
      <c r="F331" s="178"/>
      <c r="G331" s="434"/>
      <c r="H331" s="492"/>
      <c r="I331" s="25"/>
      <c r="J331" s="232">
        <v>0.54039999999999999</v>
      </c>
      <c r="K331" s="23">
        <v>19880</v>
      </c>
      <c r="L331" s="42">
        <v>3</v>
      </c>
      <c r="M331" s="15">
        <v>43585</v>
      </c>
      <c r="N331" s="112" t="s">
        <v>93</v>
      </c>
      <c r="O331" s="30"/>
      <c r="P331" s="43"/>
      <c r="Q331" s="81">
        <f t="shared" si="50"/>
        <v>19880</v>
      </c>
      <c r="R331" s="365">
        <f>IF(M331="",K331-N331,0)</f>
        <v>0</v>
      </c>
      <c r="S331" s="81"/>
      <c r="T331" s="163"/>
    </row>
    <row r="332" spans="1:20" s="26" customFormat="1" ht="11.25" hidden="1" customHeight="1" outlineLevel="1">
      <c r="A332" s="118" t="s">
        <v>403</v>
      </c>
      <c r="B332" s="4"/>
      <c r="C332" s="29"/>
      <c r="D332" s="105"/>
      <c r="E332" s="29"/>
      <c r="F332" s="178"/>
      <c r="G332" s="29"/>
      <c r="H332" s="492"/>
      <c r="I332" s="25"/>
      <c r="J332" s="232">
        <v>1</v>
      </c>
      <c r="K332" s="23">
        <f>+I328-K329-K330-K331</f>
        <v>91920</v>
      </c>
      <c r="L332" s="42">
        <v>4</v>
      </c>
      <c r="M332" s="15"/>
      <c r="N332" s="20"/>
      <c r="O332" s="30"/>
      <c r="P332" s="43"/>
      <c r="Q332" s="81" t="str">
        <f t="shared" si="50"/>
        <v/>
      </c>
      <c r="R332" s="81">
        <f>IF(M332="",K332-N332,0)</f>
        <v>91920</v>
      </c>
      <c r="S332" s="81"/>
      <c r="T332" s="166"/>
    </row>
    <row r="333" spans="1:20" s="26" customFormat="1" collapsed="1">
      <c r="A333" s="119" t="s">
        <v>403</v>
      </c>
      <c r="B333" s="125" t="s">
        <v>230</v>
      </c>
      <c r="C333" s="158">
        <v>42462</v>
      </c>
      <c r="D333" s="158">
        <f>DATE(YEAR(C333),MONTH(C333)+18,DAY(C333))</f>
        <v>43010</v>
      </c>
      <c r="E333" s="622">
        <v>43091</v>
      </c>
      <c r="F333" s="504">
        <v>43129</v>
      </c>
      <c r="G333" s="386">
        <v>44652</v>
      </c>
      <c r="H333" s="552"/>
      <c r="I333" s="258">
        <v>700000</v>
      </c>
      <c r="J333" s="443"/>
      <c r="K333" s="251"/>
      <c r="L333" s="252"/>
      <c r="M333" s="121"/>
      <c r="N333" s="126">
        <f>SUM(N334:N337)</f>
        <v>294350</v>
      </c>
      <c r="O333" s="215"/>
      <c r="P333" s="253"/>
      <c r="Q333" s="159">
        <f>SUM(Q334:Q337)</f>
        <v>68040</v>
      </c>
      <c r="R333" s="170">
        <f>SUM(R334:R337)</f>
        <v>337610</v>
      </c>
      <c r="S333" s="254"/>
      <c r="T333" s="166">
        <f>I333-(N333+Q333+R333)</f>
        <v>0</v>
      </c>
    </row>
    <row r="334" spans="1:20" s="26" customFormat="1" hidden="1" outlineLevel="1">
      <c r="A334" s="46" t="s">
        <v>403</v>
      </c>
      <c r="B334" s="19"/>
      <c r="C334" s="105"/>
      <c r="D334" s="105"/>
      <c r="E334" s="623"/>
      <c r="F334" s="566"/>
      <c r="G334" s="29" t="s">
        <v>245</v>
      </c>
      <c r="H334" s="492"/>
      <c r="I334" s="25"/>
      <c r="J334" s="232">
        <v>0.3</v>
      </c>
      <c r="K334" s="23">
        <f>+I333*J334</f>
        <v>210000</v>
      </c>
      <c r="L334" s="42">
        <v>1</v>
      </c>
      <c r="M334" s="15">
        <v>43129</v>
      </c>
      <c r="N334" s="24">
        <v>210000</v>
      </c>
      <c r="O334" s="30">
        <v>43186</v>
      </c>
      <c r="P334" s="43"/>
      <c r="Q334" s="81" t="str">
        <f t="shared" si="50"/>
        <v/>
      </c>
      <c r="R334" s="81">
        <f>IF(M334="",K334-N334,0)</f>
        <v>0</v>
      </c>
      <c r="S334" s="81"/>
      <c r="T334" s="163"/>
    </row>
    <row r="335" spans="1:20" s="26" customFormat="1" hidden="1" outlineLevel="1">
      <c r="A335" s="46" t="s">
        <v>403</v>
      </c>
      <c r="B335" s="19"/>
      <c r="C335" s="105"/>
      <c r="D335" s="105"/>
      <c r="E335" s="623"/>
      <c r="F335" s="566"/>
      <c r="G335" s="434"/>
      <c r="H335" s="492"/>
      <c r="I335" s="25"/>
      <c r="J335" s="232">
        <v>0.42049999999999998</v>
      </c>
      <c r="K335" s="23">
        <f>+I333*J335-K334</f>
        <v>84350</v>
      </c>
      <c r="L335" s="42">
        <v>2</v>
      </c>
      <c r="M335" s="15">
        <v>43489</v>
      </c>
      <c r="N335" s="24">
        <v>84350</v>
      </c>
      <c r="O335" s="30">
        <v>43524</v>
      </c>
      <c r="P335" s="43"/>
      <c r="Q335" s="81" t="str">
        <f t="shared" si="50"/>
        <v/>
      </c>
      <c r="R335" s="81">
        <f>IF(M335="",K335-N335,0)</f>
        <v>0</v>
      </c>
      <c r="S335" s="81"/>
      <c r="T335" s="163"/>
    </row>
    <row r="336" spans="1:20" s="26" customFormat="1" hidden="1" outlineLevel="1">
      <c r="A336" s="46" t="s">
        <v>403</v>
      </c>
      <c r="B336" s="19"/>
      <c r="C336" s="105"/>
      <c r="D336" s="105"/>
      <c r="E336" s="623"/>
      <c r="F336" s="566"/>
      <c r="G336" s="434"/>
      <c r="H336" s="492"/>
      <c r="I336" s="25"/>
      <c r="J336" s="232">
        <v>0.51770000000000005</v>
      </c>
      <c r="K336" s="23">
        <v>68040</v>
      </c>
      <c r="L336" s="42">
        <v>3</v>
      </c>
      <c r="M336" s="15">
        <v>43585</v>
      </c>
      <c r="N336" s="112" t="s">
        <v>93</v>
      </c>
      <c r="O336" s="30"/>
      <c r="P336" s="43"/>
      <c r="Q336" s="81">
        <f t="shared" si="50"/>
        <v>68040</v>
      </c>
      <c r="R336" s="81"/>
      <c r="S336" s="81"/>
      <c r="T336" s="163"/>
    </row>
    <row r="337" spans="1:20" s="26" customFormat="1" hidden="1" outlineLevel="1">
      <c r="A337" s="46" t="s">
        <v>403</v>
      </c>
      <c r="B337" s="4"/>
      <c r="C337" s="29"/>
      <c r="D337" s="388"/>
      <c r="E337" s="492"/>
      <c r="F337" s="556"/>
      <c r="G337" s="29"/>
      <c r="H337" s="492"/>
      <c r="I337" s="25"/>
      <c r="J337" s="232">
        <v>1</v>
      </c>
      <c r="K337" s="23">
        <f>+I333-K334-K335-K336</f>
        <v>337610</v>
      </c>
      <c r="L337" s="42">
        <v>4</v>
      </c>
      <c r="M337" s="15"/>
      <c r="N337" s="24"/>
      <c r="O337" s="30"/>
      <c r="P337" s="43"/>
      <c r="Q337" s="81" t="str">
        <f t="shared" si="50"/>
        <v/>
      </c>
      <c r="R337" s="81">
        <f>IF(M337="",K337-N337,0)</f>
        <v>337610</v>
      </c>
      <c r="S337" s="81"/>
      <c r="T337" s="166"/>
    </row>
    <row r="338" spans="1:20" s="26" customFormat="1" collapsed="1">
      <c r="A338" s="119" t="s">
        <v>261</v>
      </c>
      <c r="B338" s="125" t="s">
        <v>262</v>
      </c>
      <c r="C338" s="158">
        <v>42604</v>
      </c>
      <c r="D338" s="158">
        <f>DATE(YEAR(C338),MONTH(C338)+18,DAY(C338))</f>
        <v>43153</v>
      </c>
      <c r="E338" s="158">
        <v>43084</v>
      </c>
      <c r="F338" s="173">
        <v>43263</v>
      </c>
      <c r="G338" s="158">
        <f>DATE(YEAR(C338)+4,MONTH(C338),DAY(C338))</f>
        <v>44065</v>
      </c>
      <c r="H338" s="552"/>
      <c r="I338" s="258">
        <v>656000</v>
      </c>
      <c r="J338" s="443"/>
      <c r="K338" s="251"/>
      <c r="L338" s="252"/>
      <c r="M338" s="121"/>
      <c r="N338" s="126">
        <f>SUM(N339:N343)</f>
        <v>196800</v>
      </c>
      <c r="O338" s="215"/>
      <c r="P338" s="253"/>
      <c r="Q338" s="159">
        <f>SUM(Q339:Q343)</f>
        <v>26240</v>
      </c>
      <c r="R338" s="159">
        <f>SUM(R339:R343)</f>
        <v>432960</v>
      </c>
      <c r="S338" s="254"/>
      <c r="T338" s="166">
        <f>I338-(N338+Q338+R338)</f>
        <v>0</v>
      </c>
    </row>
    <row r="339" spans="1:20" s="26" customFormat="1" hidden="1" outlineLevel="1">
      <c r="A339" s="46" t="s">
        <v>261</v>
      </c>
      <c r="B339" s="19"/>
      <c r="C339" s="105"/>
      <c r="D339" s="105"/>
      <c r="E339" s="105"/>
      <c r="F339" s="174"/>
      <c r="G339" s="105"/>
      <c r="H339" s="492"/>
      <c r="I339" s="25"/>
      <c r="J339" s="108">
        <v>0.3</v>
      </c>
      <c r="K339" s="23">
        <f>+I338*J339</f>
        <v>196800</v>
      </c>
      <c r="L339" s="42">
        <v>1</v>
      </c>
      <c r="M339" s="15">
        <v>43264</v>
      </c>
      <c r="N339" s="24">
        <v>196800</v>
      </c>
      <c r="O339" s="30">
        <v>43325</v>
      </c>
      <c r="P339" s="43"/>
      <c r="Q339" s="81" t="str">
        <f t="shared" si="50"/>
        <v/>
      </c>
      <c r="R339" s="365">
        <f>IF(M339="",K339-N339,0)</f>
        <v>0</v>
      </c>
      <c r="S339" s="81"/>
      <c r="T339" s="163"/>
    </row>
    <row r="340" spans="1:20" s="26" customFormat="1" hidden="1" outlineLevel="1">
      <c r="A340" s="46" t="s">
        <v>261</v>
      </c>
      <c r="B340" s="19"/>
      <c r="C340" s="105"/>
      <c r="D340" s="105"/>
      <c r="E340" s="105"/>
      <c r="F340" s="174"/>
      <c r="G340" s="105"/>
      <c r="H340" s="492"/>
      <c r="I340" s="25"/>
      <c r="J340" s="232">
        <v>0.34</v>
      </c>
      <c r="K340" s="23">
        <v>26240</v>
      </c>
      <c r="L340" s="42">
        <v>2</v>
      </c>
      <c r="M340" s="15">
        <v>43585</v>
      </c>
      <c r="N340" s="112" t="s">
        <v>93</v>
      </c>
      <c r="O340" s="30"/>
      <c r="P340" s="43"/>
      <c r="Q340" s="81">
        <f t="shared" si="50"/>
        <v>26240</v>
      </c>
      <c r="R340" s="365"/>
      <c r="S340" s="81"/>
      <c r="T340" s="163"/>
    </row>
    <row r="341" spans="1:20" s="26" customFormat="1" hidden="1" outlineLevel="1">
      <c r="A341" s="46" t="s">
        <v>261</v>
      </c>
      <c r="B341" s="19"/>
      <c r="C341" s="105"/>
      <c r="D341" s="105"/>
      <c r="E341" s="105"/>
      <c r="F341" s="174"/>
      <c r="G341" s="105"/>
      <c r="H341" s="492"/>
      <c r="I341" s="25"/>
      <c r="J341" s="232">
        <v>0.5</v>
      </c>
      <c r="K341" s="23">
        <f>I338*J341-K339-K340</f>
        <v>104960</v>
      </c>
      <c r="L341" s="42">
        <v>3</v>
      </c>
      <c r="M341" s="15"/>
      <c r="N341" s="20"/>
      <c r="O341" s="30"/>
      <c r="P341" s="43"/>
      <c r="Q341" s="81" t="str">
        <f t="shared" si="50"/>
        <v/>
      </c>
      <c r="R341" s="365">
        <f>IF(M341="",K341-N341,0)</f>
        <v>104960</v>
      </c>
      <c r="S341" s="81"/>
      <c r="T341" s="163"/>
    </row>
    <row r="342" spans="1:20" s="26" customFormat="1" hidden="1" outlineLevel="1">
      <c r="A342" s="46" t="s">
        <v>261</v>
      </c>
      <c r="B342" s="19"/>
      <c r="C342" s="105"/>
      <c r="D342" s="105"/>
      <c r="E342" s="105"/>
      <c r="F342" s="174"/>
      <c r="G342" s="105"/>
      <c r="H342" s="492"/>
      <c r="I342" s="25"/>
      <c r="J342" s="232">
        <v>0.8</v>
      </c>
      <c r="K342" s="23">
        <f>I338*J342-K339-K340-K341</f>
        <v>196800</v>
      </c>
      <c r="L342" s="42">
        <v>4</v>
      </c>
      <c r="M342" s="15"/>
      <c r="N342" s="20"/>
      <c r="O342" s="30"/>
      <c r="P342" s="43"/>
      <c r="Q342" s="81" t="str">
        <f t="shared" si="50"/>
        <v/>
      </c>
      <c r="R342" s="365">
        <f>IF(M342="",K342-N342,0)</f>
        <v>196800</v>
      </c>
      <c r="S342" s="81"/>
      <c r="T342" s="163"/>
    </row>
    <row r="343" spans="1:20" s="26" customFormat="1" hidden="1" outlineLevel="1">
      <c r="A343" s="46" t="s">
        <v>261</v>
      </c>
      <c r="B343" s="4"/>
      <c r="C343" s="29"/>
      <c r="D343" s="105"/>
      <c r="E343" s="15"/>
      <c r="F343" s="174"/>
      <c r="G343" s="105"/>
      <c r="H343" s="492"/>
      <c r="I343" s="25"/>
      <c r="J343" s="232">
        <v>1</v>
      </c>
      <c r="K343" s="23">
        <f>+I338-K339-K341-K342-K340</f>
        <v>131200</v>
      </c>
      <c r="L343" s="42">
        <v>5</v>
      </c>
      <c r="M343" s="15"/>
      <c r="N343" s="24"/>
      <c r="O343" s="30"/>
      <c r="P343" s="43"/>
      <c r="Q343" s="81" t="str">
        <f t="shared" si="50"/>
        <v/>
      </c>
      <c r="R343" s="442">
        <f>IF(M343="",K343-N343,0)</f>
        <v>131200</v>
      </c>
      <c r="S343" s="81"/>
      <c r="T343" s="166"/>
    </row>
    <row r="344" spans="1:20" s="26" customFormat="1">
      <c r="A344" s="119" t="s">
        <v>251</v>
      </c>
      <c r="B344" s="125" t="s">
        <v>250</v>
      </c>
      <c r="C344" s="158">
        <v>42606</v>
      </c>
      <c r="D344" s="158">
        <f>DATE(YEAR(C344),MONTH(C344)+18,DAY(C344))</f>
        <v>43155</v>
      </c>
      <c r="E344" s="158"/>
      <c r="F344" s="259"/>
      <c r="G344" s="386">
        <v>44796</v>
      </c>
      <c r="H344" s="552"/>
      <c r="I344" s="258">
        <v>400000</v>
      </c>
      <c r="J344" s="443"/>
      <c r="K344" s="251"/>
      <c r="L344" s="252"/>
      <c r="M344" s="121"/>
      <c r="N344" s="126">
        <f>SUM(N345)</f>
        <v>0</v>
      </c>
      <c r="O344" s="215"/>
      <c r="P344" s="253"/>
      <c r="Q344" s="254">
        <f>SUM(Q345)</f>
        <v>0</v>
      </c>
      <c r="R344" s="159">
        <f>SUM(R345)</f>
        <v>400000</v>
      </c>
      <c r="S344" s="254"/>
      <c r="T344" s="166">
        <f>I344-(N344+Q344+R344)</f>
        <v>0</v>
      </c>
    </row>
    <row r="345" spans="1:20" s="26" customFormat="1">
      <c r="A345" s="118" t="s">
        <v>251</v>
      </c>
      <c r="B345" s="39"/>
      <c r="C345" s="33"/>
      <c r="D345" s="388"/>
      <c r="E345" s="36"/>
      <c r="F345" s="175"/>
      <c r="G345" s="860" t="s">
        <v>245</v>
      </c>
      <c r="H345" s="626"/>
      <c r="I345" s="553"/>
      <c r="J345" s="153"/>
      <c r="K345" s="35">
        <v>400000</v>
      </c>
      <c r="L345" s="44">
        <v>1</v>
      </c>
      <c r="M345" s="36"/>
      <c r="N345" s="37"/>
      <c r="O345" s="155"/>
      <c r="P345" s="156"/>
      <c r="Q345" s="81" t="str">
        <f t="shared" si="50"/>
        <v/>
      </c>
      <c r="R345" s="442">
        <f>IF(M345="",K345-N345,0)</f>
        <v>400000</v>
      </c>
      <c r="S345" s="157"/>
      <c r="T345" s="166"/>
    </row>
    <row r="346" spans="1:20" s="26" customFormat="1">
      <c r="A346" s="119" t="s">
        <v>253</v>
      </c>
      <c r="B346" s="125" t="s">
        <v>254</v>
      </c>
      <c r="C346" s="158">
        <v>42620</v>
      </c>
      <c r="D346" s="151">
        <f>DATE(YEAR(C346),MONTH(C346)+18,DAY(C346))</f>
        <v>43166</v>
      </c>
      <c r="E346" s="158"/>
      <c r="F346" s="259"/>
      <c r="G346" s="386">
        <v>44810</v>
      </c>
      <c r="H346" s="552"/>
      <c r="I346" s="258">
        <v>270000</v>
      </c>
      <c r="J346" s="443"/>
      <c r="K346" s="251"/>
      <c r="L346" s="252"/>
      <c r="M346" s="121"/>
      <c r="N346" s="126">
        <f>SUM(N347)</f>
        <v>0</v>
      </c>
      <c r="O346" s="215"/>
      <c r="P346" s="253"/>
      <c r="Q346" s="254">
        <f>SUM(Q347)</f>
        <v>0</v>
      </c>
      <c r="R346" s="159">
        <f>SUM(R347)</f>
        <v>270000</v>
      </c>
      <c r="S346" s="254"/>
      <c r="T346" s="166">
        <f>I346-(N346+Q346+R346)</f>
        <v>0</v>
      </c>
    </row>
    <row r="347" spans="1:20" s="26" customFormat="1">
      <c r="A347" s="118" t="s">
        <v>253</v>
      </c>
      <c r="B347" s="39"/>
      <c r="C347" s="33"/>
      <c r="D347" s="105"/>
      <c r="E347" s="36"/>
      <c r="F347" s="175"/>
      <c r="G347" s="860" t="s">
        <v>245</v>
      </c>
      <c r="H347" s="626"/>
      <c r="I347" s="553"/>
      <c r="J347" s="153"/>
      <c r="K347" s="35">
        <v>270000</v>
      </c>
      <c r="L347" s="44">
        <v>1</v>
      </c>
      <c r="M347" s="36"/>
      <c r="N347" s="37"/>
      <c r="O347" s="155"/>
      <c r="P347" s="156"/>
      <c r="Q347" s="81" t="str">
        <f t="shared" si="50"/>
        <v/>
      </c>
      <c r="R347" s="442">
        <f>IF(M347="",K347-N347,0)</f>
        <v>270000</v>
      </c>
      <c r="S347" s="157"/>
      <c r="T347" s="166"/>
    </row>
    <row r="348" spans="1:20" s="26" customFormat="1">
      <c r="A348" s="119" t="s">
        <v>255</v>
      </c>
      <c r="B348" s="125" t="s">
        <v>256</v>
      </c>
      <c r="C348" s="158">
        <v>42618</v>
      </c>
      <c r="D348" s="158">
        <f>DATE(YEAR(C348),MONTH(C348)+18,DAY(C348))</f>
        <v>43164</v>
      </c>
      <c r="E348" s="121"/>
      <c r="F348" s="259"/>
      <c r="G348" s="386">
        <v>44809</v>
      </c>
      <c r="H348" s="552"/>
      <c r="I348" s="258">
        <v>270000</v>
      </c>
      <c r="J348" s="443"/>
      <c r="K348" s="251"/>
      <c r="L348" s="252"/>
      <c r="M348" s="121"/>
      <c r="N348" s="126">
        <f>SUM(N349)</f>
        <v>0</v>
      </c>
      <c r="O348" s="215"/>
      <c r="P348" s="253"/>
      <c r="Q348" s="254">
        <f>SUM(Q349)</f>
        <v>0</v>
      </c>
      <c r="R348" s="184">
        <f>SUM(R349)</f>
        <v>270000</v>
      </c>
      <c r="S348" s="254"/>
      <c r="T348" s="166">
        <f>I348-(N348+Q348+R348)</f>
        <v>0</v>
      </c>
    </row>
    <row r="349" spans="1:20" s="26" customFormat="1">
      <c r="A349" s="46" t="s">
        <v>255</v>
      </c>
      <c r="B349" s="4"/>
      <c r="C349" s="29"/>
      <c r="D349" s="388"/>
      <c r="E349" s="15"/>
      <c r="F349" s="174"/>
      <c r="G349" s="860" t="s">
        <v>245</v>
      </c>
      <c r="H349" s="492"/>
      <c r="I349" s="627"/>
      <c r="J349" s="108"/>
      <c r="K349" s="23">
        <v>270000</v>
      </c>
      <c r="L349" s="42">
        <v>1</v>
      </c>
      <c r="M349" s="15"/>
      <c r="N349" s="24"/>
      <c r="O349" s="30"/>
      <c r="P349" s="43"/>
      <c r="Q349" s="81" t="str">
        <f t="shared" si="50"/>
        <v/>
      </c>
      <c r="R349" s="365">
        <f>IF(M349="",K349-N349,0)</f>
        <v>270000</v>
      </c>
      <c r="S349" s="81"/>
      <c r="T349" s="166"/>
    </row>
    <row r="350" spans="1:20" s="26" customFormat="1">
      <c r="A350" s="119" t="s">
        <v>257</v>
      </c>
      <c r="B350" s="125" t="s">
        <v>258</v>
      </c>
      <c r="C350" s="158">
        <v>42629</v>
      </c>
      <c r="D350" s="158">
        <f>DATE(YEAR(C350),MONTH(C350)+18,DAY(C350))</f>
        <v>43175</v>
      </c>
      <c r="E350" s="121"/>
      <c r="F350" s="259"/>
      <c r="G350" s="386">
        <v>44819</v>
      </c>
      <c r="H350" s="552"/>
      <c r="I350" s="258">
        <v>800000</v>
      </c>
      <c r="J350" s="443"/>
      <c r="K350" s="251"/>
      <c r="L350" s="252"/>
      <c r="M350" s="121"/>
      <c r="N350" s="126">
        <f>SUM(N351)</f>
        <v>0</v>
      </c>
      <c r="O350" s="215"/>
      <c r="P350" s="253"/>
      <c r="Q350" s="254">
        <f>SUM(Q351)</f>
        <v>0</v>
      </c>
      <c r="R350" s="170">
        <f>SUM(R351)</f>
        <v>800000</v>
      </c>
      <c r="S350" s="254"/>
      <c r="T350" s="166">
        <f>I350-(N350+Q350+R350)</f>
        <v>0</v>
      </c>
    </row>
    <row r="351" spans="1:20" s="26" customFormat="1">
      <c r="A351" s="118" t="s">
        <v>257</v>
      </c>
      <c r="B351" s="39"/>
      <c r="C351" s="33"/>
      <c r="D351" s="388"/>
      <c r="E351" s="36"/>
      <c r="F351" s="175"/>
      <c r="G351" s="860" t="s">
        <v>245</v>
      </c>
      <c r="H351" s="626"/>
      <c r="I351" s="553"/>
      <c r="J351" s="153"/>
      <c r="K351" s="35">
        <v>800000</v>
      </c>
      <c r="L351" s="44">
        <v>1</v>
      </c>
      <c r="M351" s="36"/>
      <c r="N351" s="37"/>
      <c r="O351" s="155"/>
      <c r="P351" s="156"/>
      <c r="Q351" s="81" t="str">
        <f>IF(N351="en attente",K351,"")</f>
        <v/>
      </c>
      <c r="R351" s="365">
        <f>IF(M351="",K351-N351,0)</f>
        <v>800000</v>
      </c>
      <c r="S351" s="157"/>
      <c r="T351" s="166"/>
    </row>
    <row r="352" spans="1:20" s="26" customFormat="1" collapsed="1">
      <c r="A352" s="119" t="s">
        <v>280</v>
      </c>
      <c r="B352" s="125" t="s">
        <v>271</v>
      </c>
      <c r="C352" s="557">
        <v>42660</v>
      </c>
      <c r="D352" s="151">
        <f>DATE(YEAR(C352),MONTH(C352)+18,DAY(C352))</f>
        <v>43207</v>
      </c>
      <c r="E352" s="557">
        <v>43090</v>
      </c>
      <c r="F352" s="504">
        <v>43164</v>
      </c>
      <c r="G352" s="151">
        <f>DATE(YEAR(C352)+4,MONTH(C352),DAY(C352))</f>
        <v>44121</v>
      </c>
      <c r="H352" s="552"/>
      <c r="I352" s="258">
        <v>945000</v>
      </c>
      <c r="J352" s="443"/>
      <c r="K352" s="251"/>
      <c r="L352" s="255"/>
      <c r="M352" s="215"/>
      <c r="N352" s="126">
        <f>SUM(N353:N358)</f>
        <v>445284</v>
      </c>
      <c r="O352" s="215"/>
      <c r="P352" s="555"/>
      <c r="Q352" s="170">
        <f>SUM(Q353:Q358)</f>
        <v>0</v>
      </c>
      <c r="R352" s="170">
        <f>SUM(R353:R358)</f>
        <v>499716</v>
      </c>
      <c r="S352" s="257"/>
      <c r="T352" s="166">
        <f>I352-(N352+Q352+R352)</f>
        <v>0</v>
      </c>
    </row>
    <row r="353" spans="1:20" s="26" customFormat="1" hidden="1" outlineLevel="1">
      <c r="A353" s="46" t="s">
        <v>280</v>
      </c>
      <c r="B353" s="183"/>
      <c r="C353" s="624"/>
      <c r="D353" s="85"/>
      <c r="E353" s="492"/>
      <c r="F353" s="228"/>
      <c r="G353" s="85"/>
      <c r="H353" s="492"/>
      <c r="I353" s="25"/>
      <c r="J353" s="232">
        <v>0.3</v>
      </c>
      <c r="K353" s="23">
        <v>283500</v>
      </c>
      <c r="L353" s="628">
        <v>1</v>
      </c>
      <c r="M353" s="30">
        <v>43172</v>
      </c>
      <c r="N353" s="24">
        <v>283500</v>
      </c>
      <c r="O353" s="30">
        <v>43207</v>
      </c>
      <c r="P353" s="551"/>
      <c r="Q353" s="365" t="str">
        <f>IF(N353="en attente",K353,"")</f>
        <v/>
      </c>
      <c r="R353" s="365">
        <f>IF(M353="",K353-N353,0)</f>
        <v>0</v>
      </c>
      <c r="S353" s="365"/>
      <c r="T353" s="163"/>
    </row>
    <row r="354" spans="1:20" s="26" customFormat="1" hidden="1" outlineLevel="1">
      <c r="A354" s="46" t="s">
        <v>280</v>
      </c>
      <c r="B354" s="183"/>
      <c r="C354" s="624"/>
      <c r="D354" s="85"/>
      <c r="E354" s="492"/>
      <c r="F354" s="228"/>
      <c r="G354" s="85"/>
      <c r="H354" s="492"/>
      <c r="I354" s="25"/>
      <c r="J354" s="232">
        <v>0.35249999999999998</v>
      </c>
      <c r="K354" s="23">
        <f>I352*J354-K353</f>
        <v>49612.5</v>
      </c>
      <c r="L354" s="628">
        <v>2</v>
      </c>
      <c r="M354" s="30">
        <v>43403</v>
      </c>
      <c r="N354" s="24">
        <v>49612.5</v>
      </c>
      <c r="O354" s="30">
        <v>43448</v>
      </c>
      <c r="P354" s="551"/>
      <c r="Q354" s="365"/>
      <c r="R354" s="365"/>
      <c r="S354" s="365"/>
      <c r="T354" s="163"/>
    </row>
    <row r="355" spans="1:20" s="26" customFormat="1" ht="10.5" hidden="1" customHeight="1" outlineLevel="1">
      <c r="A355" s="46" t="s">
        <v>280</v>
      </c>
      <c r="B355" s="183"/>
      <c r="C355" s="624"/>
      <c r="D355" s="85"/>
      <c r="E355" s="492"/>
      <c r="F355" s="228"/>
      <c r="G355" s="85"/>
      <c r="H355" s="492"/>
      <c r="I355" s="25"/>
      <c r="J355" s="232">
        <v>0.47120000000000001</v>
      </c>
      <c r="K355" s="23">
        <f>I352*J355-K353-K354</f>
        <v>112171.5</v>
      </c>
      <c r="L355" s="628">
        <v>3</v>
      </c>
      <c r="M355" s="30">
        <v>43489</v>
      </c>
      <c r="N355" s="24">
        <v>112171.5</v>
      </c>
      <c r="O355" s="30">
        <v>43524</v>
      </c>
      <c r="P355" s="551"/>
      <c r="Q355" s="365" t="str">
        <f>IF(N355="en attente",K355,"")</f>
        <v/>
      </c>
      <c r="R355" s="365">
        <f>IF(M355="",K355-N355,0)</f>
        <v>0</v>
      </c>
      <c r="S355" s="365"/>
      <c r="T355" s="163"/>
    </row>
    <row r="356" spans="1:20" s="26" customFormat="1" ht="10.5" hidden="1" customHeight="1" outlineLevel="1">
      <c r="A356" s="46" t="s">
        <v>280</v>
      </c>
      <c r="B356" s="183"/>
      <c r="C356" s="624"/>
      <c r="D356" s="85"/>
      <c r="E356" s="492"/>
      <c r="F356" s="228"/>
      <c r="G356" s="85"/>
      <c r="H356" s="492"/>
      <c r="I356" s="25"/>
      <c r="J356" s="232">
        <v>0.54569999999999996</v>
      </c>
      <c r="K356" s="23">
        <f>I352*J356-K353-K354-K355</f>
        <v>70402.499999999942</v>
      </c>
      <c r="L356" s="628">
        <v>4</v>
      </c>
      <c r="M356" s="30">
        <v>43559</v>
      </c>
      <c r="N356" s="112" t="s">
        <v>93</v>
      </c>
      <c r="O356" s="30"/>
      <c r="P356" s="551"/>
      <c r="Q356" s="365"/>
      <c r="R356" s="365"/>
      <c r="S356" s="365"/>
      <c r="T356" s="163"/>
    </row>
    <row r="357" spans="1:20" s="26" customFormat="1" hidden="1" outlineLevel="1">
      <c r="A357" s="46" t="s">
        <v>280</v>
      </c>
      <c r="B357" s="183"/>
      <c r="C357" s="624"/>
      <c r="D357" s="85"/>
      <c r="E357" s="492"/>
      <c r="F357" s="228"/>
      <c r="G357" s="85"/>
      <c r="H357" s="492"/>
      <c r="I357" s="25"/>
      <c r="J357" s="232">
        <v>0.8</v>
      </c>
      <c r="K357" s="23">
        <f>I352*J357-K355-K353-K354</f>
        <v>310716</v>
      </c>
      <c r="L357" s="628">
        <v>5</v>
      </c>
      <c r="M357" s="30"/>
      <c r="N357" s="20"/>
      <c r="O357" s="30"/>
      <c r="P357" s="551"/>
      <c r="Q357" s="365" t="str">
        <f>IF(N357="en attente",K357,"")</f>
        <v/>
      </c>
      <c r="R357" s="365">
        <f>IF(M357="",K357-N357,0)</f>
        <v>310716</v>
      </c>
      <c r="S357" s="365"/>
      <c r="T357" s="163"/>
    </row>
    <row r="358" spans="1:20" s="26" customFormat="1" hidden="1" outlineLevel="1">
      <c r="A358" s="118" t="s">
        <v>280</v>
      </c>
      <c r="B358" s="456"/>
      <c r="C358" s="550"/>
      <c r="D358" s="388"/>
      <c r="E358" s="492"/>
      <c r="F358" s="556"/>
      <c r="G358" s="155"/>
      <c r="H358" s="492"/>
      <c r="I358" s="25"/>
      <c r="J358" s="755">
        <v>1</v>
      </c>
      <c r="K358" s="35">
        <f>945000-K357-K355-K353-K354</f>
        <v>189000</v>
      </c>
      <c r="L358" s="554">
        <v>6</v>
      </c>
      <c r="M358" s="155"/>
      <c r="N358" s="24"/>
      <c r="O358" s="155"/>
      <c r="P358" s="551"/>
      <c r="Q358" s="442" t="str">
        <f>IF(N358="en attente",K358,"")</f>
        <v/>
      </c>
      <c r="R358" s="365">
        <f>IF(M358="",K358-N358,0)</f>
        <v>189000</v>
      </c>
      <c r="S358" s="442"/>
      <c r="T358" s="166"/>
    </row>
    <row r="359" spans="1:20" s="26" customFormat="1" collapsed="1">
      <c r="A359" s="119" t="s">
        <v>301</v>
      </c>
      <c r="B359" s="125" t="s">
        <v>300</v>
      </c>
      <c r="C359" s="557">
        <v>42909</v>
      </c>
      <c r="D359" s="151">
        <f>DATE(YEAR(C359),MONTH(C359)+18,DAY(C359))</f>
        <v>43457</v>
      </c>
      <c r="E359" s="151">
        <v>43073</v>
      </c>
      <c r="F359" s="621">
        <v>43101</v>
      </c>
      <c r="G359" s="151">
        <f>DATE(YEAR(C359)+4,MONTH(C359),DAY(C359))</f>
        <v>44370</v>
      </c>
      <c r="H359" s="552"/>
      <c r="I359" s="258">
        <v>700000</v>
      </c>
      <c r="J359" s="443"/>
      <c r="K359" s="251"/>
      <c r="L359" s="255"/>
      <c r="M359" s="215"/>
      <c r="N359" s="126">
        <f>SUM(N360:N365)</f>
        <v>339990</v>
      </c>
      <c r="O359" s="215"/>
      <c r="P359" s="555"/>
      <c r="Q359" s="170">
        <f>SUM(Q360:Q365)</f>
        <v>114450</v>
      </c>
      <c r="R359" s="170">
        <f>SUM(R360:R365)</f>
        <v>245560</v>
      </c>
      <c r="S359" s="257"/>
      <c r="T359" s="166">
        <f>I359-(N359+Q359+R359)</f>
        <v>0</v>
      </c>
    </row>
    <row r="360" spans="1:20" s="26" customFormat="1" hidden="1" outlineLevel="1">
      <c r="A360" s="46" t="s">
        <v>301</v>
      </c>
      <c r="B360" s="19"/>
      <c r="C360" s="624"/>
      <c r="D360" s="85"/>
      <c r="E360" s="85"/>
      <c r="F360" s="625"/>
      <c r="G360" s="85"/>
      <c r="H360" s="492"/>
      <c r="I360" s="25"/>
      <c r="J360" s="108">
        <v>0.3</v>
      </c>
      <c r="K360" s="23">
        <f>+I359*J360</f>
        <v>210000</v>
      </c>
      <c r="L360" s="42">
        <v>1</v>
      </c>
      <c r="M360" s="15">
        <v>43139</v>
      </c>
      <c r="N360" s="24">
        <v>210000</v>
      </c>
      <c r="O360" s="30">
        <v>43223</v>
      </c>
      <c r="P360" s="551"/>
      <c r="Q360" s="365" t="str">
        <f>IF(N360="en attente",K360,"")</f>
        <v/>
      </c>
      <c r="R360" s="81"/>
      <c r="S360" s="81"/>
      <c r="T360" s="163"/>
    </row>
    <row r="361" spans="1:20" s="26" customFormat="1" hidden="1" outlineLevel="1">
      <c r="A361" s="46" t="s">
        <v>301</v>
      </c>
      <c r="B361" s="19"/>
      <c r="C361" s="624"/>
      <c r="D361" s="85"/>
      <c r="E361" s="85"/>
      <c r="F361" s="625"/>
      <c r="G361" s="85"/>
      <c r="H361" s="492"/>
      <c r="I361" s="25"/>
      <c r="J361" s="232">
        <v>0.37130000000000002</v>
      </c>
      <c r="K361" s="16">
        <v>49910</v>
      </c>
      <c r="L361" s="42">
        <v>2</v>
      </c>
      <c r="M361" s="15">
        <v>43237</v>
      </c>
      <c r="N361" s="24">
        <v>49910</v>
      </c>
      <c r="O361" s="30">
        <v>43530</v>
      </c>
      <c r="P361" s="551"/>
      <c r="Q361" s="365" t="str">
        <f t="shared" ref="Q361:Q365" si="56">IF(N361="en attente",K361,"")</f>
        <v/>
      </c>
      <c r="R361" s="365"/>
      <c r="S361" s="81"/>
      <c r="T361" s="163"/>
    </row>
    <row r="362" spans="1:20" s="26" customFormat="1" hidden="1" outlineLevel="1">
      <c r="A362" s="46" t="s">
        <v>301</v>
      </c>
      <c r="B362" s="19"/>
      <c r="C362" s="624"/>
      <c r="D362" s="85"/>
      <c r="E362" s="85"/>
      <c r="F362" s="625"/>
      <c r="G362" s="85"/>
      <c r="H362" s="492"/>
      <c r="I362" s="25"/>
      <c r="J362" s="232">
        <v>0.48570000000000002</v>
      </c>
      <c r="K362" s="16">
        <f>+I359*J362-K360-K361</f>
        <v>80080</v>
      </c>
      <c r="L362" s="42">
        <v>3</v>
      </c>
      <c r="M362" s="15">
        <v>43489</v>
      </c>
      <c r="N362" s="24">
        <v>80080</v>
      </c>
      <c r="O362" s="30">
        <v>43544</v>
      </c>
      <c r="P362" s="551"/>
      <c r="Q362" s="365" t="str">
        <f t="shared" si="56"/>
        <v/>
      </c>
      <c r="R362" s="365">
        <f>IF(M362="",K362-N362,0)</f>
        <v>0</v>
      </c>
      <c r="S362" s="81"/>
      <c r="T362" s="163"/>
    </row>
    <row r="363" spans="1:20" s="26" customFormat="1" hidden="1" outlineLevel="1">
      <c r="A363" s="46" t="s">
        <v>301</v>
      </c>
      <c r="B363" s="19"/>
      <c r="C363" s="624"/>
      <c r="D363" s="85"/>
      <c r="E363" s="85"/>
      <c r="F363" s="625"/>
      <c r="G363" s="85"/>
      <c r="H363" s="492"/>
      <c r="I363" s="25"/>
      <c r="J363" s="232">
        <v>0.6492</v>
      </c>
      <c r="K363" s="16">
        <v>114450</v>
      </c>
      <c r="L363" s="42">
        <v>4</v>
      </c>
      <c r="M363" s="15">
        <v>43559</v>
      </c>
      <c r="N363" s="112" t="s">
        <v>93</v>
      </c>
      <c r="O363" s="30"/>
      <c r="P363" s="551"/>
      <c r="Q363" s="365">
        <f t="shared" si="56"/>
        <v>114450</v>
      </c>
      <c r="R363" s="365">
        <f>IF(M363="",K363-N363,0)</f>
        <v>0</v>
      </c>
      <c r="S363" s="81"/>
      <c r="T363" s="163"/>
    </row>
    <row r="364" spans="1:20" s="26" customFormat="1" hidden="1" outlineLevel="1">
      <c r="A364" s="46" t="s">
        <v>301</v>
      </c>
      <c r="B364" s="19"/>
      <c r="C364" s="624"/>
      <c r="D364" s="85"/>
      <c r="E364" s="85"/>
      <c r="F364" s="625"/>
      <c r="G364" s="85"/>
      <c r="H364" s="492"/>
      <c r="I364" s="25"/>
      <c r="J364" s="108">
        <v>0.8</v>
      </c>
      <c r="K364" s="16">
        <f>+I359*J364-K360-K361-K362-K363</f>
        <v>105560</v>
      </c>
      <c r="L364" s="42">
        <v>5</v>
      </c>
      <c r="M364" s="15"/>
      <c r="N364" s="20"/>
      <c r="O364" s="30"/>
      <c r="P364" s="551"/>
      <c r="Q364" s="365" t="str">
        <f t="shared" si="56"/>
        <v/>
      </c>
      <c r="R364" s="365">
        <f>IF(M364="",K364-N364,0)</f>
        <v>105560</v>
      </c>
      <c r="S364" s="81"/>
      <c r="T364" s="163"/>
    </row>
    <row r="365" spans="1:20" s="26" customFormat="1" hidden="1" outlineLevel="1">
      <c r="A365" s="118" t="s">
        <v>301</v>
      </c>
      <c r="B365" s="39"/>
      <c r="C365" s="560"/>
      <c r="D365" s="85"/>
      <c r="E365" s="155"/>
      <c r="F365" s="561"/>
      <c r="G365" s="85"/>
      <c r="H365" s="626"/>
      <c r="I365" s="25"/>
      <c r="J365" s="153">
        <v>1</v>
      </c>
      <c r="K365" s="35">
        <f>700000-K360-K362-K361-K364-K363</f>
        <v>140000</v>
      </c>
      <c r="L365" s="44">
        <v>6</v>
      </c>
      <c r="M365" s="36"/>
      <c r="N365" s="37"/>
      <c r="O365" s="155"/>
      <c r="P365" s="156"/>
      <c r="Q365" s="365" t="str">
        <f t="shared" si="56"/>
        <v/>
      </c>
      <c r="R365" s="442">
        <f>IF(M365="",K365-N365,0)</f>
        <v>140000</v>
      </c>
      <c r="S365" s="157"/>
      <c r="T365" s="166"/>
    </row>
    <row r="366" spans="1:20" s="26" customFormat="1">
      <c r="A366" s="119" t="s">
        <v>302</v>
      </c>
      <c r="B366" s="125" t="s">
        <v>303</v>
      </c>
      <c r="C366" s="557">
        <v>42916</v>
      </c>
      <c r="D366" s="151">
        <f>DATE(YEAR(C366),MONTH(C366)+18,DAY(C366))</f>
        <v>43464</v>
      </c>
      <c r="E366" s="552"/>
      <c r="F366" s="674"/>
      <c r="G366" s="151">
        <f>DATE(YEAR(C366)+4,MONTH(C366),DAY(C366))</f>
        <v>44377</v>
      </c>
      <c r="H366" s="552"/>
      <c r="I366" s="258">
        <v>480000</v>
      </c>
      <c r="J366" s="443"/>
      <c r="K366" s="251"/>
      <c r="L366" s="255"/>
      <c r="M366" s="215"/>
      <c r="N366" s="126">
        <f>SUM(N370)</f>
        <v>0</v>
      </c>
      <c r="O366" s="215"/>
      <c r="P366" s="555"/>
      <c r="Q366" s="257">
        <f>SUM(Q367:Q370)</f>
        <v>144000</v>
      </c>
      <c r="R366" s="170">
        <f>SUM(R367:R370)</f>
        <v>336000</v>
      </c>
      <c r="S366" s="254"/>
      <c r="T366" s="166">
        <f>I366-(N366+Q366+R366)</f>
        <v>0</v>
      </c>
    </row>
    <row r="367" spans="1:20" s="26" customFormat="1">
      <c r="A367" s="46" t="s">
        <v>302</v>
      </c>
      <c r="B367" s="19"/>
      <c r="C367" s="624"/>
      <c r="D367" s="85"/>
      <c r="E367" s="492"/>
      <c r="F367" s="228"/>
      <c r="G367" s="85"/>
      <c r="H367" s="492"/>
      <c r="I367" s="25"/>
      <c r="J367" s="109">
        <v>0.3</v>
      </c>
      <c r="K367" s="23">
        <f>+J367*I366</f>
        <v>144000</v>
      </c>
      <c r="L367" s="42">
        <v>1</v>
      </c>
      <c r="M367" s="15">
        <v>43594</v>
      </c>
      <c r="N367" s="112" t="s">
        <v>93</v>
      </c>
      <c r="O367" s="30"/>
      <c r="P367" s="551"/>
      <c r="Q367" s="365">
        <f>IF(N367="en attente",K367,"")</f>
        <v>144000</v>
      </c>
      <c r="R367" s="365">
        <f>IF(M367="",K367-N367,0)</f>
        <v>0</v>
      </c>
      <c r="S367" s="81"/>
      <c r="T367" s="163"/>
    </row>
    <row r="368" spans="1:20" s="26" customFormat="1">
      <c r="A368" s="46" t="s">
        <v>302</v>
      </c>
      <c r="B368" s="19"/>
      <c r="C368" s="624"/>
      <c r="D368" s="85"/>
      <c r="E368" s="492"/>
      <c r="F368" s="228"/>
      <c r="G368" s="85"/>
      <c r="H368" s="492"/>
      <c r="I368" s="25"/>
      <c r="J368" s="109">
        <v>0.5</v>
      </c>
      <c r="K368" s="23">
        <f>+I366*J368-K367</f>
        <v>96000</v>
      </c>
      <c r="L368" s="42">
        <v>2</v>
      </c>
      <c r="M368" s="15"/>
      <c r="N368" s="20"/>
      <c r="O368" s="30"/>
      <c r="P368" s="551"/>
      <c r="Q368" s="365" t="str">
        <f t="shared" ref="Q368:Q370" si="57">IF(N368="en attente",K368,"")</f>
        <v/>
      </c>
      <c r="R368" s="365">
        <f t="shared" ref="R368:R370" si="58">IF(M368="",K368-N368,0)</f>
        <v>96000</v>
      </c>
      <c r="S368" s="81"/>
      <c r="T368" s="163"/>
    </row>
    <row r="369" spans="1:20" s="26" customFormat="1">
      <c r="A369" s="46" t="s">
        <v>302</v>
      </c>
      <c r="B369" s="19"/>
      <c r="C369" s="624"/>
      <c r="D369" s="85"/>
      <c r="E369" s="492"/>
      <c r="F369" s="228"/>
      <c r="G369" s="85"/>
      <c r="H369" s="492"/>
      <c r="I369" s="25"/>
      <c r="J369" s="109">
        <v>0.8</v>
      </c>
      <c r="K369" s="23">
        <f>+I366*J369-K367-K368</f>
        <v>144000</v>
      </c>
      <c r="L369" s="42">
        <v>3</v>
      </c>
      <c r="M369" s="15"/>
      <c r="N369" s="20"/>
      <c r="O369" s="30"/>
      <c r="P369" s="551"/>
      <c r="Q369" s="365" t="str">
        <f t="shared" si="57"/>
        <v/>
      </c>
      <c r="R369" s="365">
        <f t="shared" si="58"/>
        <v>144000</v>
      </c>
      <c r="S369" s="81"/>
      <c r="T369" s="163"/>
    </row>
    <row r="370" spans="1:20" s="26" customFormat="1">
      <c r="A370" s="46" t="s">
        <v>302</v>
      </c>
      <c r="B370" s="4"/>
      <c r="C370" s="550"/>
      <c r="D370" s="388"/>
      <c r="E370" s="492"/>
      <c r="F370" s="556"/>
      <c r="G370" s="388"/>
      <c r="H370" s="492"/>
      <c r="I370" s="25"/>
      <c r="J370" s="964">
        <v>1</v>
      </c>
      <c r="K370" s="23">
        <f>+I366-K367-K368-K369</f>
        <v>96000</v>
      </c>
      <c r="L370" s="42">
        <v>4</v>
      </c>
      <c r="M370" s="15"/>
      <c r="N370" s="24"/>
      <c r="O370" s="30"/>
      <c r="P370" s="551"/>
      <c r="Q370" s="365" t="str">
        <f t="shared" si="57"/>
        <v/>
      </c>
      <c r="R370" s="442">
        <f t="shared" si="58"/>
        <v>96000</v>
      </c>
      <c r="S370" s="81"/>
      <c r="T370" s="166"/>
    </row>
    <row r="371" spans="1:20" s="26" customFormat="1">
      <c r="A371" s="119" t="s">
        <v>305</v>
      </c>
      <c r="B371" s="125" t="s">
        <v>304</v>
      </c>
      <c r="C371" s="557">
        <v>42929</v>
      </c>
      <c r="D371" s="151">
        <f>DATE(YEAR(C371),MONTH(C371)+18,DAY(C371))</f>
        <v>43478</v>
      </c>
      <c r="E371" s="552"/>
      <c r="F371" s="562"/>
      <c r="G371" s="151">
        <f>DATE(YEAR(C371)+4,MONTH(C371),DAY(C371))</f>
        <v>44390</v>
      </c>
      <c r="H371" s="552"/>
      <c r="I371" s="258">
        <v>1512000</v>
      </c>
      <c r="J371" s="443"/>
      <c r="K371" s="251"/>
      <c r="L371" s="255"/>
      <c r="M371" s="215"/>
      <c r="N371" s="126">
        <f>SUM(N372)</f>
        <v>0</v>
      </c>
      <c r="O371" s="215"/>
      <c r="P371" s="555"/>
      <c r="Q371" s="257">
        <f>SUM(Q372)</f>
        <v>0</v>
      </c>
      <c r="R371" s="184">
        <f>SUM(R372)</f>
        <v>1512000</v>
      </c>
      <c r="S371" s="257"/>
      <c r="T371" s="166">
        <f>I371-(N371+Q371+R371)</f>
        <v>0</v>
      </c>
    </row>
    <row r="372" spans="1:20" s="26" customFormat="1">
      <c r="A372" s="118" t="s">
        <v>305</v>
      </c>
      <c r="B372" s="39"/>
      <c r="C372" s="33"/>
      <c r="D372" s="36"/>
      <c r="E372" s="36"/>
      <c r="F372" s="175"/>
      <c r="G372" s="36"/>
      <c r="H372" s="626"/>
      <c r="I372" s="553"/>
      <c r="J372" s="153"/>
      <c r="K372" s="35">
        <v>1512000</v>
      </c>
      <c r="L372" s="44"/>
      <c r="M372" s="36"/>
      <c r="N372" s="37"/>
      <c r="O372" s="155"/>
      <c r="P372" s="156"/>
      <c r="Q372" s="81" t="str">
        <f>IF(N372="en attente",K372,"")</f>
        <v/>
      </c>
      <c r="R372" s="442">
        <f>IF(M372="",K372-N372,0)</f>
        <v>1512000</v>
      </c>
      <c r="S372" s="157"/>
      <c r="T372" s="166"/>
    </row>
    <row r="373" spans="1:20" s="26" customFormat="1">
      <c r="A373" s="119" t="s">
        <v>307</v>
      </c>
      <c r="B373" s="125" t="s">
        <v>308</v>
      </c>
      <c r="C373" s="557">
        <v>42970</v>
      </c>
      <c r="D373" s="151">
        <f>DATE(YEAR(C373),MONTH(C373)+18,DAY(C373))</f>
        <v>43519</v>
      </c>
      <c r="E373" s="552"/>
      <c r="F373" s="562"/>
      <c r="G373" s="151">
        <f>DATE(YEAR(C373)+4,MONTH(C373),DAY(C373))</f>
        <v>44431</v>
      </c>
      <c r="H373" s="552"/>
      <c r="I373" s="258">
        <v>520000</v>
      </c>
      <c r="J373" s="443"/>
      <c r="K373" s="251"/>
      <c r="L373" s="255"/>
      <c r="M373" s="215"/>
      <c r="N373" s="126">
        <f>SUM(N374)</f>
        <v>0</v>
      </c>
      <c r="O373" s="215"/>
      <c r="P373" s="555"/>
      <c r="Q373" s="257">
        <f>SUM(Q374)</f>
        <v>0</v>
      </c>
      <c r="R373" s="170">
        <f>SUM(R374)</f>
        <v>520000</v>
      </c>
      <c r="S373" s="257"/>
      <c r="T373" s="166">
        <f>I373-(N373+Q373+R373)</f>
        <v>0</v>
      </c>
    </row>
    <row r="374" spans="1:20" s="26" customFormat="1">
      <c r="A374" s="46" t="s">
        <v>307</v>
      </c>
      <c r="B374" s="4"/>
      <c r="C374" s="29"/>
      <c r="D374" s="15"/>
      <c r="E374" s="15"/>
      <c r="F374" s="174"/>
      <c r="G374" s="15"/>
      <c r="H374" s="492"/>
      <c r="I374" s="627"/>
      <c r="J374" s="108"/>
      <c r="K374" s="23">
        <v>520000</v>
      </c>
      <c r="L374" s="42"/>
      <c r="M374" s="15"/>
      <c r="N374" s="24"/>
      <c r="O374" s="30"/>
      <c r="P374" s="43"/>
      <c r="Q374" s="81" t="str">
        <f>IF(N374="en attente",K374,"")</f>
        <v/>
      </c>
      <c r="R374" s="442">
        <f>IF(M374="",K374-N374,0)</f>
        <v>520000</v>
      </c>
      <c r="S374" s="81"/>
      <c r="T374" s="166"/>
    </row>
    <row r="375" spans="1:20" s="26" customFormat="1">
      <c r="A375" s="119" t="s">
        <v>316</v>
      </c>
      <c r="B375" s="125" t="s">
        <v>317</v>
      </c>
      <c r="C375" s="557">
        <v>43008</v>
      </c>
      <c r="D375" s="151">
        <f>DATE(YEAR(C375),MONTH(C375)+18,DAY(C375))</f>
        <v>43554</v>
      </c>
      <c r="E375" s="552"/>
      <c r="F375" s="674"/>
      <c r="G375" s="158">
        <f>DATE(YEAR(C375)+4,MONTH(C375),DAY(C375))</f>
        <v>44469</v>
      </c>
      <c r="H375" s="552"/>
      <c r="I375" s="258">
        <v>660000</v>
      </c>
      <c r="J375" s="443"/>
      <c r="K375" s="251"/>
      <c r="L375" s="255"/>
      <c r="M375" s="215"/>
      <c r="N375" s="126">
        <f>SUM(N376)</f>
        <v>0</v>
      </c>
      <c r="O375" s="215"/>
      <c r="P375" s="555"/>
      <c r="Q375" s="257">
        <f>SUM(Q376)</f>
        <v>0</v>
      </c>
      <c r="R375" s="170">
        <f>SUM(R376)</f>
        <v>660000</v>
      </c>
      <c r="S375" s="257"/>
      <c r="T375" s="166">
        <f>I375-(N375+Q375+R375)</f>
        <v>0</v>
      </c>
    </row>
    <row r="376" spans="1:20" s="26" customFormat="1">
      <c r="A376" s="46" t="s">
        <v>316</v>
      </c>
      <c r="B376" s="4"/>
      <c r="C376" s="550"/>
      <c r="D376" s="30"/>
      <c r="E376" s="492"/>
      <c r="F376" s="556"/>
      <c r="G376" s="15"/>
      <c r="H376" s="961"/>
      <c r="I376" s="627"/>
      <c r="J376" s="108"/>
      <c r="K376" s="23">
        <v>660000</v>
      </c>
      <c r="L376" s="42"/>
      <c r="M376" s="15"/>
      <c r="N376" s="24"/>
      <c r="O376" s="30"/>
      <c r="P376" s="551"/>
      <c r="Q376" s="81" t="str">
        <f>IF(N376="en attente",K376,"")</f>
        <v/>
      </c>
      <c r="R376" s="442">
        <f>IF(M376="",K376-N376,0)</f>
        <v>660000</v>
      </c>
      <c r="S376" s="81"/>
      <c r="T376" s="166"/>
    </row>
    <row r="377" spans="1:20" s="26" customFormat="1">
      <c r="A377" s="119" t="s">
        <v>312</v>
      </c>
      <c r="B377" s="125" t="s">
        <v>313</v>
      </c>
      <c r="C377" s="557">
        <v>43014</v>
      </c>
      <c r="D377" s="151">
        <f>DATE(YEAR(C377),MONTH(C377)+18,DAY(C377))</f>
        <v>43561</v>
      </c>
      <c r="E377" s="552"/>
      <c r="F377" s="562"/>
      <c r="G377" s="151">
        <f>DATE(YEAR(C377)+4,MONTH(C377),DAY(C377))</f>
        <v>44475</v>
      </c>
      <c r="H377" s="552"/>
      <c r="I377" s="258">
        <v>500000</v>
      </c>
      <c r="J377" s="443"/>
      <c r="K377" s="251"/>
      <c r="L377" s="255"/>
      <c r="M377" s="215"/>
      <c r="N377" s="126">
        <f>SUM(N378)</f>
        <v>0</v>
      </c>
      <c r="O377" s="215"/>
      <c r="P377" s="555"/>
      <c r="Q377" s="257">
        <f>SUM(Q378)</f>
        <v>0</v>
      </c>
      <c r="R377" s="170">
        <f>SUM(R378)</f>
        <v>500000</v>
      </c>
      <c r="S377" s="257"/>
      <c r="T377" s="166">
        <f>I377-(N377+Q377+R377)</f>
        <v>0</v>
      </c>
    </row>
    <row r="378" spans="1:20" s="26" customFormat="1">
      <c r="A378" s="118" t="s">
        <v>312</v>
      </c>
      <c r="B378" s="39"/>
      <c r="C378" s="560"/>
      <c r="D378" s="30"/>
      <c r="E378" s="36"/>
      <c r="F378" s="175"/>
      <c r="G378" s="15"/>
      <c r="H378" s="626"/>
      <c r="I378" s="553"/>
      <c r="J378" s="153"/>
      <c r="K378" s="35">
        <v>500000</v>
      </c>
      <c r="L378" s="44"/>
      <c r="M378" s="36"/>
      <c r="N378" s="37"/>
      <c r="O378" s="155"/>
      <c r="P378" s="156"/>
      <c r="Q378" s="81" t="str">
        <f>IF(N378="en attente",K378,"")</f>
        <v/>
      </c>
      <c r="R378" s="442">
        <f>IF(M378="",K378-N378,0)</f>
        <v>500000</v>
      </c>
      <c r="S378" s="157"/>
      <c r="T378" s="166"/>
    </row>
    <row r="379" spans="1:20" s="26" customFormat="1">
      <c r="A379" s="119" t="s">
        <v>314</v>
      </c>
      <c r="B379" s="125" t="s">
        <v>315</v>
      </c>
      <c r="C379" s="557">
        <v>43017</v>
      </c>
      <c r="D379" s="151">
        <f>DATE(YEAR(C379),MONTH(C379)+18,DAY(C379))</f>
        <v>43564</v>
      </c>
      <c r="E379" s="557">
        <v>43543</v>
      </c>
      <c r="F379" s="504">
        <v>43556</v>
      </c>
      <c r="G379" s="151">
        <f>DATE(YEAR(C379)+4,MONTH(C379),DAY(C379))</f>
        <v>44478</v>
      </c>
      <c r="H379" s="962"/>
      <c r="I379" s="258">
        <v>504000</v>
      </c>
      <c r="J379" s="443"/>
      <c r="K379" s="251"/>
      <c r="L379" s="255"/>
      <c r="M379" s="215"/>
      <c r="N379" s="126">
        <f>SUM(N383)</f>
        <v>0</v>
      </c>
      <c r="O379" s="215"/>
      <c r="P379" s="555"/>
      <c r="Q379" s="870">
        <f>SUM(Q380:Q383)</f>
        <v>151200</v>
      </c>
      <c r="R379" s="170">
        <f>SUM(R380:R383)</f>
        <v>352800</v>
      </c>
      <c r="S379" s="254"/>
      <c r="T379" s="166">
        <f>I379-(N379+Q379+R379)</f>
        <v>0</v>
      </c>
    </row>
    <row r="380" spans="1:20" s="26" customFormat="1">
      <c r="A380" s="46" t="s">
        <v>314</v>
      </c>
      <c r="B380" s="19"/>
      <c r="C380" s="624"/>
      <c r="D380" s="85"/>
      <c r="E380" s="624"/>
      <c r="F380" s="566"/>
      <c r="G380" s="85"/>
      <c r="H380" s="963"/>
      <c r="I380" s="25"/>
      <c r="J380" s="108">
        <v>0.3</v>
      </c>
      <c r="K380" s="23">
        <f>I379*J380</f>
        <v>151200</v>
      </c>
      <c r="L380" s="42">
        <v>1</v>
      </c>
      <c r="M380" s="15">
        <v>43559</v>
      </c>
      <c r="N380" s="112" t="s">
        <v>93</v>
      </c>
      <c r="O380" s="30"/>
      <c r="P380" s="551"/>
      <c r="Q380" s="869">
        <f>IF(N380="en attente",K380,"")</f>
        <v>151200</v>
      </c>
      <c r="R380" s="365">
        <f>IF(M380="",K380-N380,0)</f>
        <v>0</v>
      </c>
      <c r="S380" s="81"/>
      <c r="T380" s="163"/>
    </row>
    <row r="381" spans="1:20" s="26" customFormat="1">
      <c r="A381" s="46" t="s">
        <v>314</v>
      </c>
      <c r="B381" s="19"/>
      <c r="C381" s="624"/>
      <c r="D381" s="85"/>
      <c r="E381" s="624"/>
      <c r="F381" s="566"/>
      <c r="G381" s="85"/>
      <c r="H381" s="963"/>
      <c r="I381" s="25"/>
      <c r="J381" s="108">
        <v>0.5</v>
      </c>
      <c r="K381" s="23">
        <f>I379*J381-K380</f>
        <v>100800</v>
      </c>
      <c r="L381" s="42">
        <v>2</v>
      </c>
      <c r="M381" s="15"/>
      <c r="N381" s="20"/>
      <c r="O381" s="30"/>
      <c r="P381" s="551"/>
      <c r="Q381" s="869" t="str">
        <f>IF(N381="en attente",K381,"")</f>
        <v/>
      </c>
      <c r="R381" s="365">
        <f>IF(M381="",K381-N381,0)</f>
        <v>100800</v>
      </c>
      <c r="S381" s="81"/>
      <c r="T381" s="163"/>
    </row>
    <row r="382" spans="1:20" s="26" customFormat="1">
      <c r="A382" s="46" t="s">
        <v>314</v>
      </c>
      <c r="B382" s="19"/>
      <c r="C382" s="624"/>
      <c r="D382" s="85"/>
      <c r="E382" s="624"/>
      <c r="F382" s="566"/>
      <c r="G382" s="85"/>
      <c r="H382" s="963"/>
      <c r="I382" s="25"/>
      <c r="J382" s="108">
        <v>0.8</v>
      </c>
      <c r="K382" s="23">
        <f>I379*J382-K380-K381</f>
        <v>151200</v>
      </c>
      <c r="L382" s="42">
        <v>3</v>
      </c>
      <c r="M382" s="15"/>
      <c r="N382" s="20"/>
      <c r="O382" s="30"/>
      <c r="P382" s="551"/>
      <c r="Q382" s="869" t="str">
        <f>IF(N382="en attente",K382,"")</f>
        <v/>
      </c>
      <c r="R382" s="365">
        <f>IF(M382="",K382-N382,0)</f>
        <v>151200</v>
      </c>
      <c r="S382" s="81"/>
      <c r="T382" s="163"/>
    </row>
    <row r="383" spans="1:20" s="26" customFormat="1">
      <c r="A383" s="46" t="s">
        <v>314</v>
      </c>
      <c r="B383" s="4"/>
      <c r="C383" s="550"/>
      <c r="D383" s="85"/>
      <c r="E383" s="492"/>
      <c r="F383" s="556"/>
      <c r="G383" s="85"/>
      <c r="H383" s="961"/>
      <c r="I383" s="38"/>
      <c r="J383" s="108">
        <v>1</v>
      </c>
      <c r="K383" s="23">
        <f>I379-K380-K381-K382</f>
        <v>100800</v>
      </c>
      <c r="L383" s="42">
        <v>4</v>
      </c>
      <c r="M383" s="15"/>
      <c r="N383" s="24"/>
      <c r="O383" s="30"/>
      <c r="P383" s="551"/>
      <c r="Q383" s="871" t="str">
        <f>IF(N383="en attente",K383,"")</f>
        <v/>
      </c>
      <c r="R383" s="442">
        <f>IF(M383="",K383-N383,0)</f>
        <v>100800</v>
      </c>
      <c r="S383" s="81"/>
      <c r="T383" s="163"/>
    </row>
    <row r="384" spans="1:20" s="26" customFormat="1">
      <c r="A384" s="119" t="s">
        <v>347</v>
      </c>
      <c r="B384" s="125" t="s">
        <v>346</v>
      </c>
      <c r="C384" s="557">
        <v>43287</v>
      </c>
      <c r="D384" s="151">
        <f t="shared" ref="D384:D394" si="59">DATE(YEAR(C384),MONTH(C384)+18,DAY(C384))</f>
        <v>43836</v>
      </c>
      <c r="E384" s="552"/>
      <c r="F384" s="562"/>
      <c r="G384" s="151">
        <f t="shared" ref="G384:G394" si="60">DATE(YEAR(C384)+4,MONTH(C384),DAY(C384))</f>
        <v>44748</v>
      </c>
      <c r="H384" s="552"/>
      <c r="I384" s="258">
        <v>780000</v>
      </c>
      <c r="J384" s="258"/>
      <c r="K384" s="251"/>
      <c r="L384" s="255"/>
      <c r="M384" s="215"/>
      <c r="N384" s="126">
        <f>SUM(N385)</f>
        <v>0</v>
      </c>
      <c r="O384" s="215"/>
      <c r="P384" s="555"/>
      <c r="Q384" s="257">
        <f>SUM(Q385)</f>
        <v>0</v>
      </c>
      <c r="R384" s="184">
        <f>SUM(R385)</f>
        <v>780000</v>
      </c>
      <c r="S384" s="257"/>
      <c r="T384" s="166">
        <f>I384-(N384+Q384+R384)</f>
        <v>0</v>
      </c>
    </row>
    <row r="385" spans="1:20" s="26" customFormat="1">
      <c r="A385" s="118" t="s">
        <v>347</v>
      </c>
      <c r="B385" s="39"/>
      <c r="C385" s="560"/>
      <c r="D385" s="85"/>
      <c r="E385" s="36"/>
      <c r="F385" s="561"/>
      <c r="G385" s="85"/>
      <c r="H385" s="36"/>
      <c r="I385" s="153"/>
      <c r="J385" s="153"/>
      <c r="K385" s="35">
        <v>780000</v>
      </c>
      <c r="L385" s="44"/>
      <c r="M385" s="36"/>
      <c r="N385" s="37"/>
      <c r="O385" s="155"/>
      <c r="P385" s="156"/>
      <c r="Q385" s="157" t="str">
        <f>IF(N385="en attente",K385,"")</f>
        <v/>
      </c>
      <c r="R385" s="442">
        <f>IF(M385="",K385-N385,0)</f>
        <v>780000</v>
      </c>
      <c r="S385" s="157"/>
      <c r="T385" s="166"/>
    </row>
    <row r="386" spans="1:20" s="26" customFormat="1">
      <c r="A386" s="119" t="s">
        <v>353</v>
      </c>
      <c r="B386" s="125" t="s">
        <v>357</v>
      </c>
      <c r="C386" s="557">
        <v>43334</v>
      </c>
      <c r="D386" s="151">
        <f t="shared" si="59"/>
        <v>43883</v>
      </c>
      <c r="E386" s="552"/>
      <c r="F386" s="562"/>
      <c r="G386" s="151">
        <f t="shared" si="60"/>
        <v>44795</v>
      </c>
      <c r="H386" s="552"/>
      <c r="I386" s="258">
        <v>418000</v>
      </c>
      <c r="J386" s="258"/>
      <c r="K386" s="251"/>
      <c r="L386" s="255"/>
      <c r="M386" s="215"/>
      <c r="N386" s="126">
        <f>SUM(N387)</f>
        <v>0</v>
      </c>
      <c r="O386" s="215"/>
      <c r="P386" s="555"/>
      <c r="Q386" s="257">
        <f>SUM(Q387)</f>
        <v>0</v>
      </c>
      <c r="R386" s="170">
        <f>SUM(R387)</f>
        <v>418000</v>
      </c>
      <c r="S386" s="257"/>
      <c r="T386" s="166">
        <f t="shared" ref="T386:T394" si="61">I386-(N386+Q386+R386)</f>
        <v>0</v>
      </c>
    </row>
    <row r="387" spans="1:20" s="26" customFormat="1">
      <c r="A387" s="948" t="s">
        <v>353</v>
      </c>
      <c r="B387" s="39"/>
      <c r="C387" s="560"/>
      <c r="D387" s="85"/>
      <c r="E387" s="36"/>
      <c r="F387" s="561"/>
      <c r="G387" s="85"/>
      <c r="H387" s="36"/>
      <c r="I387" s="153"/>
      <c r="J387" s="153"/>
      <c r="K387" s="35">
        <v>418000</v>
      </c>
      <c r="L387" s="44"/>
      <c r="M387" s="36"/>
      <c r="N387" s="37"/>
      <c r="O387" s="155"/>
      <c r="P387" s="707"/>
      <c r="Q387" s="442" t="str">
        <f>IF(N387="en attente",K387,"")</f>
        <v/>
      </c>
      <c r="R387" s="442">
        <f t="shared" ref="R387:R395" si="62">IF(M387="",K387-N387,0)</f>
        <v>418000</v>
      </c>
      <c r="S387" s="81"/>
      <c r="T387" s="166"/>
    </row>
    <row r="388" spans="1:20" s="26" customFormat="1">
      <c r="A388" s="119" t="s">
        <v>354</v>
      </c>
      <c r="B388" s="125" t="s">
        <v>358</v>
      </c>
      <c r="C388" s="557">
        <v>43334</v>
      </c>
      <c r="D388" s="151">
        <f t="shared" si="59"/>
        <v>43883</v>
      </c>
      <c r="E388" s="552"/>
      <c r="F388" s="562"/>
      <c r="G388" s="151">
        <f t="shared" si="60"/>
        <v>44795</v>
      </c>
      <c r="H388" s="552"/>
      <c r="I388" s="258">
        <v>714000</v>
      </c>
      <c r="J388" s="258"/>
      <c r="K388" s="251"/>
      <c r="L388" s="255"/>
      <c r="M388" s="215"/>
      <c r="N388" s="126">
        <f>SUM(N389)</f>
        <v>0</v>
      </c>
      <c r="O388" s="215"/>
      <c r="P388" s="555"/>
      <c r="Q388" s="257">
        <f>SUM(Q389)</f>
        <v>0</v>
      </c>
      <c r="R388" s="170">
        <f>SUM(R389)</f>
        <v>714000</v>
      </c>
      <c r="S388" s="257"/>
      <c r="T388" s="166">
        <f t="shared" si="61"/>
        <v>0</v>
      </c>
    </row>
    <row r="389" spans="1:20" s="26" customFormat="1">
      <c r="A389" s="948" t="s">
        <v>354</v>
      </c>
      <c r="B389" s="39"/>
      <c r="C389" s="560"/>
      <c r="D389" s="85"/>
      <c r="E389" s="36"/>
      <c r="F389" s="561"/>
      <c r="G389" s="85"/>
      <c r="H389" s="36"/>
      <c r="I389" s="153"/>
      <c r="J389" s="153"/>
      <c r="K389" s="35">
        <v>714000</v>
      </c>
      <c r="L389" s="44"/>
      <c r="M389" s="36"/>
      <c r="N389" s="37"/>
      <c r="O389" s="155"/>
      <c r="P389" s="707"/>
      <c r="Q389" s="442" t="str">
        <f>IF(N389="en attente",K389,"")</f>
        <v/>
      </c>
      <c r="R389" s="442">
        <f t="shared" si="62"/>
        <v>714000</v>
      </c>
      <c r="S389" s="81"/>
      <c r="T389" s="166"/>
    </row>
    <row r="390" spans="1:20" s="26" customFormat="1">
      <c r="A390" s="119" t="s">
        <v>355</v>
      </c>
      <c r="B390" s="125" t="s">
        <v>359</v>
      </c>
      <c r="C390" s="557">
        <v>43334</v>
      </c>
      <c r="D390" s="151">
        <f t="shared" si="59"/>
        <v>43883</v>
      </c>
      <c r="E390" s="552"/>
      <c r="F390" s="562"/>
      <c r="G390" s="151">
        <f t="shared" si="60"/>
        <v>44795</v>
      </c>
      <c r="H390" s="552"/>
      <c r="I390" s="258">
        <v>323000</v>
      </c>
      <c r="J390" s="258"/>
      <c r="K390" s="251"/>
      <c r="L390" s="255"/>
      <c r="M390" s="215"/>
      <c r="N390" s="126">
        <f>SUM(N391)</f>
        <v>0</v>
      </c>
      <c r="O390" s="215"/>
      <c r="P390" s="555"/>
      <c r="Q390" s="257">
        <f>SUM(Q391)</f>
        <v>0</v>
      </c>
      <c r="R390" s="170">
        <f>SUM(R391)</f>
        <v>323000</v>
      </c>
      <c r="S390" s="257"/>
      <c r="T390" s="166">
        <f t="shared" si="61"/>
        <v>0</v>
      </c>
    </row>
    <row r="391" spans="1:20" s="26" customFormat="1">
      <c r="A391" s="948" t="s">
        <v>355</v>
      </c>
      <c r="B391" s="39"/>
      <c r="C391" s="560"/>
      <c r="D391" s="85"/>
      <c r="E391" s="36"/>
      <c r="F391" s="561"/>
      <c r="G391" s="85"/>
      <c r="H391" s="36"/>
      <c r="I391" s="153"/>
      <c r="J391" s="153"/>
      <c r="K391" s="35">
        <v>323000</v>
      </c>
      <c r="L391" s="44"/>
      <c r="M391" s="36"/>
      <c r="N391" s="37"/>
      <c r="O391" s="155"/>
      <c r="P391" s="707"/>
      <c r="Q391" s="442" t="str">
        <f>IF(N391="en attente",K391,"")</f>
        <v/>
      </c>
      <c r="R391" s="442">
        <f t="shared" si="62"/>
        <v>323000</v>
      </c>
      <c r="S391" s="81"/>
      <c r="T391" s="166"/>
    </row>
    <row r="392" spans="1:20" s="26" customFormat="1">
      <c r="A392" s="119" t="s">
        <v>356</v>
      </c>
      <c r="B392" s="125" t="s">
        <v>360</v>
      </c>
      <c r="C392" s="557">
        <v>43334</v>
      </c>
      <c r="D392" s="151">
        <f t="shared" si="59"/>
        <v>43883</v>
      </c>
      <c r="E392" s="552"/>
      <c r="F392" s="562"/>
      <c r="G392" s="151">
        <f t="shared" si="60"/>
        <v>44795</v>
      </c>
      <c r="H392" s="552"/>
      <c r="I392" s="258">
        <v>643500</v>
      </c>
      <c r="J392" s="258"/>
      <c r="K392" s="251"/>
      <c r="L392" s="255"/>
      <c r="M392" s="215"/>
      <c r="N392" s="126">
        <f>SUM(N393)</f>
        <v>0</v>
      </c>
      <c r="O392" s="215"/>
      <c r="P392" s="555"/>
      <c r="Q392" s="257">
        <f>SUM(Q393)</f>
        <v>0</v>
      </c>
      <c r="R392" s="170">
        <f>SUM(R393)</f>
        <v>643500</v>
      </c>
      <c r="S392" s="257"/>
      <c r="T392" s="166">
        <f t="shared" si="61"/>
        <v>0</v>
      </c>
    </row>
    <row r="393" spans="1:20" s="26" customFormat="1">
      <c r="A393" s="948" t="s">
        <v>356</v>
      </c>
      <c r="B393" s="4"/>
      <c r="C393" s="550"/>
      <c r="D393" s="30"/>
      <c r="E393" s="15"/>
      <c r="F393" s="545"/>
      <c r="G393" s="30"/>
      <c r="H393" s="15"/>
      <c r="I393" s="108"/>
      <c r="J393" s="108"/>
      <c r="K393" s="23">
        <v>643500</v>
      </c>
      <c r="L393" s="42"/>
      <c r="M393" s="15"/>
      <c r="N393" s="24"/>
      <c r="O393" s="30"/>
      <c r="P393" s="551"/>
      <c r="Q393" s="365" t="str">
        <f>IF(N393="en attente",K393,"")</f>
        <v/>
      </c>
      <c r="R393" s="365">
        <f t="shared" si="62"/>
        <v>643500</v>
      </c>
      <c r="S393" s="81"/>
      <c r="T393" s="166"/>
    </row>
    <row r="394" spans="1:20" s="26" customFormat="1">
      <c r="A394" s="119" t="s">
        <v>371</v>
      </c>
      <c r="B394" s="125" t="s">
        <v>372</v>
      </c>
      <c r="C394" s="557">
        <v>43374</v>
      </c>
      <c r="D394" s="151">
        <f t="shared" si="59"/>
        <v>43922</v>
      </c>
      <c r="E394" s="552"/>
      <c r="F394" s="562"/>
      <c r="G394" s="151">
        <f t="shared" si="60"/>
        <v>44835</v>
      </c>
      <c r="H394" s="552"/>
      <c r="I394" s="258">
        <v>741000</v>
      </c>
      <c r="J394" s="258"/>
      <c r="K394" s="251"/>
      <c r="L394" s="255"/>
      <c r="M394" s="215"/>
      <c r="N394" s="126">
        <f>SUM(N395)</f>
        <v>0</v>
      </c>
      <c r="O394" s="215"/>
      <c r="P394" s="555"/>
      <c r="Q394" s="257">
        <f>SUM(Q395)</f>
        <v>0</v>
      </c>
      <c r="R394" s="170">
        <f>SUM(R395)</f>
        <v>741000</v>
      </c>
      <c r="S394" s="257"/>
      <c r="T394" s="166">
        <f t="shared" si="61"/>
        <v>0</v>
      </c>
    </row>
    <row r="395" spans="1:20" s="26" customFormat="1">
      <c r="A395" s="948" t="s">
        <v>371</v>
      </c>
      <c r="B395" s="39"/>
      <c r="C395" s="560"/>
      <c r="D395" s="155"/>
      <c r="E395" s="36"/>
      <c r="F395" s="561"/>
      <c r="G395" s="155"/>
      <c r="H395" s="36"/>
      <c r="I395" s="153"/>
      <c r="J395" s="153"/>
      <c r="K395" s="35">
        <v>741000</v>
      </c>
      <c r="L395" s="44"/>
      <c r="M395" s="36"/>
      <c r="N395" s="37"/>
      <c r="O395" s="155"/>
      <c r="P395" s="707"/>
      <c r="Q395" s="365" t="str">
        <f>IF(N395="en attente",K395,"")</f>
        <v/>
      </c>
      <c r="R395" s="365">
        <f t="shared" si="62"/>
        <v>741000</v>
      </c>
      <c r="S395" s="157"/>
      <c r="T395" s="166"/>
    </row>
    <row r="396" spans="1:20" s="26" customFormat="1" ht="12" customHeight="1">
      <c r="A396" s="444"/>
      <c r="B396" s="57"/>
      <c r="C396" s="260"/>
      <c r="D396" s="262"/>
      <c r="E396" s="262"/>
      <c r="F396" s="445"/>
      <c r="G396" s="262"/>
      <c r="H396" s="262"/>
      <c r="I396" s="446"/>
      <c r="J396" s="446"/>
      <c r="K396" s="263"/>
      <c r="L396" s="264"/>
      <c r="M396" s="262"/>
      <c r="N396" s="265"/>
      <c r="O396" s="266"/>
      <c r="P396" s="447"/>
      <c r="Q396" s="267"/>
      <c r="R396" s="267"/>
      <c r="S396" s="267"/>
      <c r="T396" s="163"/>
    </row>
    <row r="397" spans="1:20" s="26" customFormat="1">
      <c r="A397" s="118"/>
      <c r="B397" s="39"/>
      <c r="C397" s="33"/>
      <c r="D397" s="36"/>
      <c r="E397" s="36"/>
      <c r="F397" s="175"/>
      <c r="G397" s="36"/>
      <c r="H397" s="36"/>
      <c r="I397" s="153"/>
      <c r="J397" s="153"/>
      <c r="K397" s="35"/>
      <c r="L397" s="44"/>
      <c r="M397" s="36"/>
      <c r="N397" s="37"/>
      <c r="O397" s="155"/>
      <c r="P397" s="156"/>
      <c r="Q397" s="157"/>
      <c r="R397" s="157"/>
      <c r="S397" s="157"/>
      <c r="T397" s="163"/>
    </row>
    <row r="398" spans="1:20" s="8" customFormat="1">
      <c r="A398" s="48"/>
      <c r="B398" s="48"/>
      <c r="C398" s="48"/>
      <c r="D398" s="48"/>
      <c r="E398" s="48"/>
      <c r="F398" s="179"/>
      <c r="G398" s="48"/>
      <c r="H398" s="48"/>
      <c r="I398" s="41">
        <f>I6+I23+I94+I98+I158+I54+I62+I34+I44+I70+I100+I108+I78+I84+I89+I115+I163+I245+I168+I175+I123+I131+I137+I177+I184+I229+I143+I148+I153+I231+I233+I243+I195+I197+I204+I251+I211+I253+I268+I217+I274+I260+I276+I284+I291+I313+I320+I299+I307+I328+I333+I223+I190+I13+I344+I346+I348+I350+I338+I352+I359+I366+I371+I373+I377+I379+I375+I384+I386+I388+I390+I392+I394</f>
        <v>38901471</v>
      </c>
      <c r="J398" s="41"/>
      <c r="K398" s="41">
        <f>SUMPRODUCT((DateAF_LBU&lt;&gt;"")*MontantAF_LBU)</f>
        <v>25983371.969999999</v>
      </c>
      <c r="L398" s="49"/>
      <c r="M398" s="50"/>
      <c r="N398" s="41">
        <f>N6+N13+N190+N23+N94+N98+N158+N54+N62+N34+N44+N70+N100+N108+N78+N84+N89+N115+N163+N245+N168+N175+N123+N131+N137+N177+N184+N229+N143+N148+N153+N231+N233+N243+N195+N197+N204+N251+N211+N253+N268+N217+N274+N260+N276+N284+N291+N313+N320+N299+N307+N328+N333+N223+N344+N346+N348+N350+N338+N352+N359+N366+N371+N373+N377+N379+N375+N384+N386+N388+N390+N392+N394</f>
        <v>25452869</v>
      </c>
      <c r="O398" s="86"/>
      <c r="P398" s="79"/>
      <c r="Q398" s="82">
        <f>Q6+Q23+Q94+Q98+Q158+Q54+Q62+Q34+Q44+Q70+Q100+Q108+Q78+Q84+Q89+Q115+Q163+Q245+Q168+Q175+Q123+Q131+Q137+Q177+Q184+Q229+Q143+Q148+Q153+Q231+Q233+Q243+Q195+Q197+Q204+Q251+Q211+Q253+Q268+Q217+Q274+Q260+Q276+Q284+Q291+Q313+Q320+Q299+Q307+Q328+Q333+Q223+Q344+Q346+Q348+Q350+Q338+Q352+Q359+Q366+Q371+Q373+Q377+Q379+Q375+Q384+Q13+Q190+Q386+Q388+Q390+Q392+Q394</f>
        <v>523812</v>
      </c>
      <c r="R398" s="82">
        <f>R6+R23+R94+R98+R158+R54+R62+R34+R44+R70+R100+R108+R78+R84+R89+R115+R163+R245+R168+R175+R123+R131+R137+R177+R184+R229+R143+R148+R153+R231+R233+R243+R195+R197+R204+R251+R211+R253+R268+R217+R274+R260+R276+R284+R291+R313+R320+R299+R307+R328+R333+R223+R344+R346+R348+R350+R338+R352+R359+R366+R371+R373+R377+R379+R375+R384+R13+R190+R386+R388+R390+R392+R394</f>
        <v>12924786</v>
      </c>
      <c r="S398" s="82"/>
      <c r="T398" s="166">
        <f>I398-(N398+Q398+R398)</f>
        <v>4</v>
      </c>
    </row>
    <row r="399" spans="1:20">
      <c r="A399" s="75"/>
      <c r="B399" s="76"/>
      <c r="C399" s="76"/>
      <c r="D399" s="76"/>
      <c r="E399" s="76"/>
      <c r="F399" s="180"/>
      <c r="G399" s="76"/>
      <c r="H399" s="76"/>
      <c r="I399" s="76"/>
      <c r="J399" s="76"/>
      <c r="K399" s="76"/>
      <c r="L399" s="75"/>
      <c r="M399" s="76"/>
      <c r="N399" s="76"/>
      <c r="O399" s="87"/>
      <c r="P399" s="80"/>
      <c r="Q399" s="1025">
        <f>SUM(Q398:R398)</f>
        <v>13448598</v>
      </c>
      <c r="R399" s="1026"/>
    </row>
    <row r="400" spans="1:20" ht="13.5" thickBot="1">
      <c r="L400" s="91"/>
    </row>
    <row r="401" spans="1:20" ht="13.5" thickBot="1">
      <c r="K401" s="743" t="s">
        <v>207</v>
      </c>
      <c r="L401" s="736"/>
      <c r="M401" s="737"/>
      <c r="N401" s="747" t="s">
        <v>209</v>
      </c>
    </row>
    <row r="402" spans="1:20">
      <c r="J402" s="750">
        <v>2009</v>
      </c>
      <c r="K402" s="744">
        <f t="shared" ref="K402:K409" si="63">SUMPRODUCT((YEAR($J$421:$J$501)=J402)*($K$421:$K$501))</f>
        <v>0</v>
      </c>
      <c r="L402" s="522"/>
      <c r="M402" s="47"/>
      <c r="N402" s="744">
        <f t="shared" ref="N402:N409" si="64">SUMPRODUCT((YEAR($J$421:$J$501)=J402)*($N$421:$N$501))</f>
        <v>830071.5</v>
      </c>
    </row>
    <row r="403" spans="1:20">
      <c r="J403" s="748">
        <v>2010</v>
      </c>
      <c r="K403" s="744">
        <f t="shared" si="63"/>
        <v>2578304.0300000003</v>
      </c>
      <c r="L403" s="522"/>
      <c r="M403" s="47"/>
      <c r="N403" s="744">
        <f t="shared" si="64"/>
        <v>1071068.93</v>
      </c>
    </row>
    <row r="404" spans="1:20">
      <c r="J404" s="748">
        <v>2011</v>
      </c>
      <c r="K404" s="744">
        <f t="shared" si="63"/>
        <v>1379921.74</v>
      </c>
      <c r="L404" s="522"/>
      <c r="M404" s="47"/>
      <c r="N404" s="744">
        <f t="shared" si="64"/>
        <v>1745441.3800000001</v>
      </c>
    </row>
    <row r="405" spans="1:20">
      <c r="F405" s="677"/>
      <c r="J405" s="749">
        <v>2012</v>
      </c>
      <c r="K405" s="744">
        <f t="shared" si="63"/>
        <v>2290444.0999999996</v>
      </c>
      <c r="L405" s="522"/>
      <c r="M405" s="47"/>
      <c r="N405" s="744">
        <f t="shared" si="64"/>
        <v>2192494.3899999997</v>
      </c>
    </row>
    <row r="406" spans="1:20">
      <c r="J406" s="749">
        <v>2013</v>
      </c>
      <c r="K406" s="744">
        <f t="shared" si="63"/>
        <v>2713185.75</v>
      </c>
      <c r="L406" s="522"/>
      <c r="M406" s="47"/>
      <c r="N406" s="744">
        <f t="shared" si="64"/>
        <v>3091587.22</v>
      </c>
    </row>
    <row r="407" spans="1:20">
      <c r="J407" s="749">
        <v>2014</v>
      </c>
      <c r="K407" s="744">
        <f t="shared" si="63"/>
        <v>2180533.38</v>
      </c>
      <c r="L407" s="522"/>
      <c r="M407" s="47"/>
      <c r="N407" s="744">
        <f t="shared" si="64"/>
        <v>1926685.98</v>
      </c>
    </row>
    <row r="408" spans="1:20">
      <c r="J408" s="749">
        <v>2015</v>
      </c>
      <c r="K408" s="744">
        <f t="shared" si="63"/>
        <v>3885594.4799999995</v>
      </c>
      <c r="L408" s="522"/>
      <c r="M408" s="47"/>
      <c r="N408" s="744">
        <f t="shared" si="64"/>
        <v>3628789.28</v>
      </c>
    </row>
    <row r="409" spans="1:20" ht="12">
      <c r="A409" s="1"/>
      <c r="F409" s="1"/>
      <c r="J409" s="749">
        <v>2016</v>
      </c>
      <c r="K409" s="744">
        <f t="shared" si="63"/>
        <v>2177727.7512000003</v>
      </c>
      <c r="L409" s="522"/>
      <c r="M409" s="47"/>
      <c r="N409" s="744">
        <f t="shared" si="64"/>
        <v>2546228.35</v>
      </c>
      <c r="T409" s="1"/>
    </row>
    <row r="410" spans="1:20" ht="12">
      <c r="A410" s="1"/>
      <c r="F410" s="1"/>
      <c r="J410" s="749">
        <v>2017</v>
      </c>
      <c r="K410" s="744">
        <f>SUMPRODUCT((YEAR($J$421:$J$513)=J410)*($K$421:$K$513))</f>
        <v>3905691.3887999998</v>
      </c>
      <c r="L410" s="522"/>
      <c r="M410" s="47"/>
      <c r="N410" s="744">
        <f>SUMPRODUCT((YEAR($J$421:$J$513)=J410)*($N$421:$N$513))</f>
        <v>3536728.59</v>
      </c>
      <c r="T410" s="1"/>
    </row>
    <row r="411" spans="1:20" thickBot="1">
      <c r="A411" s="1"/>
      <c r="F411" s="1"/>
      <c r="J411" s="749">
        <v>2018</v>
      </c>
      <c r="K411" s="744">
        <f>SUMPRODUCT((YEAR($J$421:$J$525)=J411)*($K$421:$K$525))</f>
        <v>3811521.15</v>
      </c>
      <c r="L411" s="522"/>
      <c r="M411" s="47"/>
      <c r="N411" s="744">
        <f>SUMPRODUCT((YEAR($J$421:$J$525)=J411)*($N$421:$N$525))</f>
        <v>4229192.16</v>
      </c>
      <c r="T411" s="1"/>
    </row>
    <row r="412" spans="1:20" thickBot="1">
      <c r="A412" s="1"/>
      <c r="F412" s="1"/>
      <c r="J412" s="751">
        <v>2019</v>
      </c>
      <c r="K412" s="745">
        <f>SUMPRODUCT((YEAR($J$421:$J$537)=J412)*($K$421:$K$537))</f>
        <v>1060448.2</v>
      </c>
      <c r="L412" s="752"/>
      <c r="M412" s="753"/>
      <c r="N412" s="754">
        <f>SUMPRODUCT((YEAR($J$421:$J$537)=J412)*($N$421:$N$537))</f>
        <v>570865.69999999995</v>
      </c>
      <c r="T412" s="1"/>
    </row>
    <row r="413" spans="1:20" thickBot="1">
      <c r="A413" s="1"/>
      <c r="F413" s="1"/>
      <c r="I413" s="77"/>
      <c r="J413" s="77"/>
      <c r="K413" s="746">
        <f>SUM(K402:K412)</f>
        <v>25983371.969999999</v>
      </c>
      <c r="L413" s="741"/>
      <c r="M413" s="742"/>
      <c r="N413" s="746">
        <f>SUM(N402:N412)</f>
        <v>25369153.48</v>
      </c>
      <c r="T413" s="1"/>
    </row>
    <row r="414" spans="1:20" ht="12">
      <c r="A414" s="1"/>
      <c r="F414" s="1"/>
      <c r="I414" s="77"/>
      <c r="J414" s="77"/>
      <c r="K414" s="91">
        <f>K413-K538</f>
        <v>0</v>
      </c>
      <c r="N414" s="91">
        <f>N413-N538</f>
        <v>0</v>
      </c>
      <c r="T414" s="1"/>
    </row>
    <row r="415" spans="1:20" ht="12">
      <c r="A415" s="1"/>
      <c r="F415" s="1"/>
      <c r="K415" s="91"/>
      <c r="T415" s="1"/>
    </row>
    <row r="416" spans="1:20" ht="12">
      <c r="A416" s="1"/>
      <c r="F416" s="1"/>
      <c r="K416" s="91"/>
      <c r="T416" s="1"/>
    </row>
    <row r="417" spans="1:20" ht="12">
      <c r="A417" s="1"/>
      <c r="F417" s="1"/>
      <c r="K417" s="91"/>
      <c r="T417" s="1"/>
    </row>
    <row r="418" spans="1:20" ht="12">
      <c r="A418" s="1"/>
      <c r="F418" s="1"/>
      <c r="K418" s="91"/>
      <c r="T418" s="1"/>
    </row>
    <row r="419" spans="1:20" ht="12">
      <c r="A419" s="1"/>
      <c r="F419" s="1"/>
      <c r="T419" s="1"/>
    </row>
    <row r="420" spans="1:20" collapsed="1">
      <c r="A420" s="1"/>
      <c r="F420" s="1"/>
      <c r="K420" s="369" t="s">
        <v>207</v>
      </c>
      <c r="N420" s="370" t="s">
        <v>209</v>
      </c>
      <c r="T420" s="1"/>
    </row>
    <row r="421" spans="1:20" ht="12" hidden="1" outlineLevel="1">
      <c r="A421" s="1"/>
      <c r="F421" s="1"/>
      <c r="H421" s="91">
        <f>N24</f>
        <v>830071.5</v>
      </c>
      <c r="J421" s="378">
        <v>40026</v>
      </c>
      <c r="K421" s="373">
        <f t="shared" ref="K421:K452" si="65">SUMPRODUCT((DateAF_LBU&lt;&gt;"")*(MONTH(DateAF_LBU)=MONTH(J421))*(YEAR(DateAF_LBU)=YEAR(J421))*MontantAF_LBU)</f>
        <v>0</v>
      </c>
      <c r="N421" s="373">
        <f t="shared" ref="N421:N452" si="66">SUMPRODUCT((DatePmt_LBU&lt;&gt;"")*(DatePmt_LBU&lt;&gt;"en attente")*(MONTH(DatePmt_LBU)=MONTH(J421))*(YEAR(DatePmt_LBU)=YEAR(J421))*(ISNUMBER(MtntPaye_LBU)),MtntPaye_LBU)</f>
        <v>830071.5</v>
      </c>
      <c r="Q421" s="91"/>
      <c r="T421" s="1"/>
    </row>
    <row r="422" spans="1:20" ht="12" hidden="1" outlineLevel="1">
      <c r="A422" s="1"/>
      <c r="F422" s="1"/>
      <c r="H422" s="91">
        <f>N25</f>
        <v>74153.05</v>
      </c>
      <c r="J422" s="378">
        <v>40299</v>
      </c>
      <c r="K422" s="373">
        <f t="shared" si="65"/>
        <v>0</v>
      </c>
      <c r="N422" s="373">
        <f t="shared" si="66"/>
        <v>74153.05</v>
      </c>
      <c r="T422" s="1"/>
    </row>
    <row r="423" spans="1:20" ht="12" hidden="1" outlineLevel="1">
      <c r="A423" s="1"/>
      <c r="F423" s="1"/>
      <c r="H423" s="91">
        <f>N26</f>
        <v>89094.34</v>
      </c>
      <c r="J423" s="378">
        <v>40330</v>
      </c>
      <c r="K423" s="373">
        <f t="shared" si="65"/>
        <v>0</v>
      </c>
      <c r="N423" s="373">
        <f t="shared" si="66"/>
        <v>89094.34</v>
      </c>
      <c r="T423" s="1"/>
    </row>
    <row r="424" spans="1:20" ht="12" hidden="1" outlineLevel="1">
      <c r="A424" s="1"/>
      <c r="F424" s="1"/>
      <c r="H424" s="91">
        <f>N27</f>
        <v>149966.26</v>
      </c>
      <c r="J424" s="378">
        <v>40360</v>
      </c>
      <c r="K424" s="373">
        <f t="shared" si="65"/>
        <v>0</v>
      </c>
      <c r="N424" s="373">
        <f t="shared" si="66"/>
        <v>149966.26</v>
      </c>
      <c r="T424" s="1"/>
    </row>
    <row r="425" spans="1:20" ht="12" hidden="1" outlineLevel="1">
      <c r="A425" s="1"/>
      <c r="F425" s="1"/>
      <c r="H425" s="91">
        <f>N28</f>
        <v>177358.61000000002</v>
      </c>
      <c r="J425" s="378">
        <v>40391</v>
      </c>
      <c r="K425" s="373">
        <f t="shared" si="65"/>
        <v>0</v>
      </c>
      <c r="N425" s="373">
        <f t="shared" si="66"/>
        <v>177358.61000000002</v>
      </c>
      <c r="O425" s="1"/>
      <c r="T425" s="1"/>
    </row>
    <row r="426" spans="1:20" ht="12" hidden="1" outlineLevel="1">
      <c r="A426" s="1"/>
      <c r="F426" s="1"/>
      <c r="H426" s="1">
        <f>0</f>
        <v>0</v>
      </c>
      <c r="J426" s="378">
        <v>40422</v>
      </c>
      <c r="K426" s="373">
        <f t="shared" si="65"/>
        <v>0</v>
      </c>
      <c r="N426" s="373">
        <f t="shared" si="66"/>
        <v>0</v>
      </c>
      <c r="O426" s="1"/>
      <c r="T426" s="1"/>
    </row>
    <row r="427" spans="1:20" ht="12" hidden="1" outlineLevel="1">
      <c r="A427" s="1"/>
      <c r="F427" s="1"/>
      <c r="H427" s="1">
        <f>0</f>
        <v>0</v>
      </c>
      <c r="J427" s="378">
        <v>40452</v>
      </c>
      <c r="K427" s="373">
        <f t="shared" si="65"/>
        <v>0</v>
      </c>
      <c r="N427" s="373">
        <f t="shared" si="66"/>
        <v>0</v>
      </c>
      <c r="O427" s="1"/>
      <c r="P427" s="1"/>
      <c r="T427" s="1"/>
    </row>
    <row r="428" spans="1:20" ht="12" hidden="1" outlineLevel="1">
      <c r="A428" s="1"/>
      <c r="F428" s="1"/>
      <c r="H428" s="91">
        <f>N29</f>
        <v>370488.57999999996</v>
      </c>
      <c r="J428" s="366">
        <v>40483</v>
      </c>
      <c r="K428" s="373">
        <f t="shared" si="65"/>
        <v>2328699.83</v>
      </c>
      <c r="N428" s="373">
        <f t="shared" si="66"/>
        <v>370488.57999999996</v>
      </c>
      <c r="O428" s="1"/>
      <c r="P428" s="1"/>
      <c r="T428" s="1"/>
    </row>
    <row r="429" spans="1:20" ht="12" hidden="1" outlineLevel="1">
      <c r="A429" s="1"/>
      <c r="F429" s="1"/>
      <c r="H429" s="91">
        <f>N30</f>
        <v>210008.09</v>
      </c>
      <c r="J429" s="366">
        <v>40513</v>
      </c>
      <c r="K429" s="373">
        <f t="shared" si="65"/>
        <v>249604.2</v>
      </c>
      <c r="N429" s="373">
        <f t="shared" si="66"/>
        <v>210008.09</v>
      </c>
      <c r="O429" s="1"/>
      <c r="P429" s="1"/>
      <c r="T429" s="1"/>
    </row>
    <row r="430" spans="1:20" ht="12" hidden="1" outlineLevel="1">
      <c r="A430" s="1"/>
      <c r="F430" s="1"/>
      <c r="H430" s="1">
        <f>0</f>
        <v>0</v>
      </c>
      <c r="J430" s="366">
        <v>40544</v>
      </c>
      <c r="K430" s="373">
        <f t="shared" si="65"/>
        <v>0</v>
      </c>
      <c r="N430" s="373">
        <f t="shared" si="66"/>
        <v>0</v>
      </c>
      <c r="O430" s="1"/>
      <c r="P430" s="1"/>
      <c r="T430" s="1"/>
    </row>
    <row r="431" spans="1:20" ht="12" hidden="1" outlineLevel="1">
      <c r="A431" s="1"/>
      <c r="F431" s="1"/>
      <c r="H431" s="1">
        <f>0</f>
        <v>0</v>
      </c>
      <c r="J431" s="366">
        <v>40575</v>
      </c>
      <c r="K431" s="373">
        <f t="shared" si="65"/>
        <v>260919.13999999998</v>
      </c>
      <c r="N431" s="373">
        <f t="shared" si="66"/>
        <v>0</v>
      </c>
      <c r="O431" s="1"/>
      <c r="P431" s="1"/>
      <c r="T431" s="1"/>
    </row>
    <row r="432" spans="1:20" ht="12" hidden="1" outlineLevel="1">
      <c r="A432" s="1"/>
      <c r="F432" s="1"/>
      <c r="H432" s="91">
        <f>N7+N14</f>
        <v>677163.60000000009</v>
      </c>
      <c r="J432" s="366">
        <v>40603</v>
      </c>
      <c r="K432" s="373">
        <f t="shared" si="65"/>
        <v>0</v>
      </c>
      <c r="N432" s="373">
        <f t="shared" si="66"/>
        <v>677163.60000000009</v>
      </c>
      <c r="O432" s="1"/>
      <c r="P432" s="1"/>
      <c r="T432" s="1"/>
    </row>
    <row r="433" spans="1:20" ht="12" hidden="1" outlineLevel="1">
      <c r="A433" s="1"/>
      <c r="F433" s="1"/>
      <c r="H433" s="1">
        <f>0</f>
        <v>0</v>
      </c>
      <c r="J433" s="366">
        <v>40634</v>
      </c>
      <c r="K433" s="373">
        <f t="shared" si="65"/>
        <v>51464.43</v>
      </c>
      <c r="N433" s="373">
        <f t="shared" si="66"/>
        <v>0</v>
      </c>
      <c r="O433" s="1"/>
      <c r="P433" s="1"/>
      <c r="T433" s="1"/>
    </row>
    <row r="434" spans="1:20" ht="12" hidden="1" outlineLevel="1">
      <c r="A434" s="1"/>
      <c r="F434" s="1"/>
      <c r="H434" s="91">
        <f>N31</f>
        <v>260919.13999999998</v>
      </c>
      <c r="J434" s="366">
        <v>40664</v>
      </c>
      <c r="K434" s="373">
        <f t="shared" si="65"/>
        <v>0</v>
      </c>
      <c r="N434" s="373">
        <f t="shared" si="66"/>
        <v>260919.13999999998</v>
      </c>
      <c r="O434" s="1"/>
      <c r="P434" s="1"/>
      <c r="T434" s="1"/>
    </row>
    <row r="435" spans="1:20" ht="12" hidden="1" outlineLevel="1">
      <c r="A435" s="1"/>
      <c r="F435" s="1"/>
      <c r="H435" s="91">
        <f>N32</f>
        <v>51464.43</v>
      </c>
      <c r="J435" s="366">
        <v>40695</v>
      </c>
      <c r="K435" s="373">
        <f t="shared" si="65"/>
        <v>93435.17</v>
      </c>
      <c r="N435" s="373">
        <f t="shared" si="66"/>
        <v>51464.43</v>
      </c>
      <c r="O435" s="1"/>
      <c r="P435" s="1"/>
      <c r="T435" s="1"/>
    </row>
    <row r="436" spans="1:20" ht="12" hidden="1" outlineLevel="1">
      <c r="A436" s="1"/>
      <c r="F436" s="1"/>
      <c r="H436" s="1">
        <f>0</f>
        <v>0</v>
      </c>
      <c r="J436" s="366">
        <v>40725</v>
      </c>
      <c r="K436" s="373">
        <f t="shared" si="65"/>
        <v>0</v>
      </c>
      <c r="N436" s="373">
        <f t="shared" si="66"/>
        <v>0</v>
      </c>
      <c r="O436" s="1"/>
      <c r="P436" s="1"/>
      <c r="T436" s="1"/>
    </row>
    <row r="437" spans="1:20" ht="12" hidden="1" outlineLevel="1">
      <c r="A437" s="1"/>
      <c r="F437" s="1"/>
      <c r="H437" s="91">
        <f>N8</f>
        <v>93435.17</v>
      </c>
      <c r="J437" s="366">
        <v>40756</v>
      </c>
      <c r="K437" s="373">
        <f t="shared" si="65"/>
        <v>446113.99</v>
      </c>
      <c r="N437" s="373">
        <f t="shared" si="66"/>
        <v>93435.17</v>
      </c>
      <c r="O437" s="1"/>
      <c r="P437" s="1"/>
      <c r="T437" s="1"/>
    </row>
    <row r="438" spans="1:20" ht="12" hidden="1" outlineLevel="1">
      <c r="A438" s="1"/>
      <c r="F438" s="1"/>
      <c r="H438" s="1">
        <f>0</f>
        <v>0</v>
      </c>
      <c r="J438" s="366">
        <v>40787</v>
      </c>
      <c r="K438" s="373">
        <f t="shared" si="65"/>
        <v>225044.63</v>
      </c>
      <c r="N438" s="373">
        <f t="shared" si="66"/>
        <v>0</v>
      </c>
      <c r="O438" s="1"/>
      <c r="P438" s="1"/>
      <c r="T438" s="1"/>
    </row>
    <row r="439" spans="1:20" ht="12" hidden="1" outlineLevel="1">
      <c r="A439" s="1"/>
      <c r="F439" s="1"/>
      <c r="H439" s="91">
        <f>N15+N45</f>
        <v>446113.99</v>
      </c>
      <c r="J439" s="366">
        <v>40817</v>
      </c>
      <c r="K439" s="373">
        <f t="shared" si="65"/>
        <v>205460.83000000002</v>
      </c>
      <c r="N439" s="373">
        <f t="shared" si="66"/>
        <v>446113.99</v>
      </c>
      <c r="O439" s="1"/>
      <c r="P439" s="1"/>
      <c r="T439" s="1"/>
    </row>
    <row r="440" spans="1:20" ht="12" hidden="1" outlineLevel="1">
      <c r="A440" s="1"/>
      <c r="F440" s="1"/>
      <c r="H440" s="91">
        <f>N16+N17</f>
        <v>216345.05000000002</v>
      </c>
      <c r="J440" s="366">
        <v>40848</v>
      </c>
      <c r="K440" s="373">
        <f t="shared" si="65"/>
        <v>0</v>
      </c>
      <c r="N440" s="373">
        <f t="shared" si="66"/>
        <v>216345.05000000002</v>
      </c>
      <c r="O440" s="1"/>
      <c r="P440" s="1"/>
      <c r="T440" s="1"/>
    </row>
    <row r="441" spans="1:20" ht="12" hidden="1" outlineLevel="1">
      <c r="A441" s="1"/>
      <c r="F441" s="1"/>
      <c r="H441" s="1">
        <f>0</f>
        <v>0</v>
      </c>
      <c r="J441" s="366">
        <v>40878</v>
      </c>
      <c r="K441" s="373">
        <f t="shared" si="65"/>
        <v>97483.55</v>
      </c>
      <c r="N441" s="373">
        <f t="shared" si="66"/>
        <v>0</v>
      </c>
      <c r="O441" s="1"/>
      <c r="P441" s="1"/>
      <c r="T441" s="1"/>
    </row>
    <row r="442" spans="1:20" ht="12" hidden="1" outlineLevel="1">
      <c r="A442" s="1"/>
      <c r="F442" s="1"/>
      <c r="H442" s="1">
        <f>0</f>
        <v>0</v>
      </c>
      <c r="J442" s="366">
        <v>40909</v>
      </c>
      <c r="K442" s="373">
        <f t="shared" si="65"/>
        <v>0</v>
      </c>
      <c r="L442" s="374"/>
      <c r="M442" s="373"/>
      <c r="N442" s="373">
        <f t="shared" si="66"/>
        <v>0</v>
      </c>
      <c r="O442" s="1"/>
      <c r="P442" s="1"/>
      <c r="T442" s="1"/>
    </row>
    <row r="443" spans="1:20" ht="12" hidden="1" outlineLevel="1">
      <c r="A443" s="1"/>
      <c r="F443" s="1"/>
      <c r="H443" s="1">
        <f>0</f>
        <v>0</v>
      </c>
      <c r="J443" s="366">
        <v>40940</v>
      </c>
      <c r="K443" s="373">
        <f t="shared" si="65"/>
        <v>810182.2</v>
      </c>
      <c r="L443" s="374"/>
      <c r="M443" s="368"/>
      <c r="N443" s="373">
        <f t="shared" si="66"/>
        <v>0</v>
      </c>
      <c r="O443" s="1"/>
      <c r="P443" s="1"/>
      <c r="T443" s="1"/>
    </row>
    <row r="444" spans="1:20" ht="12" hidden="1" outlineLevel="1">
      <c r="A444" s="1"/>
      <c r="F444" s="1"/>
      <c r="H444" s="91">
        <f>N9+N10+N11+N18</f>
        <v>420055.37999999995</v>
      </c>
      <c r="J444" s="366">
        <v>40969</v>
      </c>
      <c r="K444" s="373">
        <f t="shared" si="65"/>
        <v>0</v>
      </c>
      <c r="L444" s="374"/>
      <c r="M444" s="368"/>
      <c r="N444" s="373">
        <f t="shared" si="66"/>
        <v>420055.37999999995</v>
      </c>
      <c r="O444" s="1"/>
      <c r="P444" s="1"/>
      <c r="T444" s="1"/>
    </row>
    <row r="445" spans="1:20" ht="12" hidden="1" outlineLevel="1">
      <c r="A445" s="1"/>
      <c r="F445" s="1"/>
      <c r="H445" s="27">
        <f>N19+N55+N63+N191</f>
        <v>320889.28000000003</v>
      </c>
      <c r="J445" s="366">
        <v>41000</v>
      </c>
      <c r="K445" s="373">
        <f t="shared" si="65"/>
        <v>186139.2</v>
      </c>
      <c r="L445" s="374"/>
      <c r="M445" s="368"/>
      <c r="N445" s="373">
        <f t="shared" si="66"/>
        <v>320889.28000000003</v>
      </c>
      <c r="O445" s="1"/>
      <c r="P445" s="1"/>
      <c r="T445" s="1"/>
    </row>
    <row r="446" spans="1:20" ht="12" hidden="1" outlineLevel="1">
      <c r="A446" s="1"/>
      <c r="F446" s="1"/>
      <c r="H446" s="1">
        <f>0</f>
        <v>0</v>
      </c>
      <c r="J446" s="366">
        <v>41030</v>
      </c>
      <c r="K446" s="373">
        <f t="shared" si="65"/>
        <v>429389.97</v>
      </c>
      <c r="L446" s="374"/>
      <c r="M446" s="368"/>
      <c r="N446" s="373">
        <f t="shared" si="66"/>
        <v>0</v>
      </c>
      <c r="O446" s="1"/>
      <c r="P446" s="1"/>
      <c r="T446" s="1"/>
    </row>
    <row r="447" spans="1:20" ht="12" hidden="1" outlineLevel="1">
      <c r="A447" s="1"/>
      <c r="F447" s="1"/>
      <c r="H447" s="91">
        <f>N71</f>
        <v>186139.2</v>
      </c>
      <c r="J447" s="366">
        <v>41061</v>
      </c>
      <c r="K447" s="373">
        <f t="shared" si="65"/>
        <v>67683.709999999992</v>
      </c>
      <c r="L447" s="374"/>
      <c r="M447" s="368"/>
      <c r="N447" s="373">
        <f t="shared" si="66"/>
        <v>186139.2</v>
      </c>
      <c r="O447" s="1"/>
      <c r="P447" s="1"/>
      <c r="T447" s="1"/>
    </row>
    <row r="448" spans="1:20" ht="12" hidden="1" outlineLevel="1">
      <c r="A448" s="1"/>
      <c r="F448" s="1"/>
      <c r="H448" s="91">
        <f>N20+N35+N79+N85+N90</f>
        <v>737074.52</v>
      </c>
      <c r="J448" s="366">
        <v>41091</v>
      </c>
      <c r="K448" s="373">
        <f t="shared" si="65"/>
        <v>0</v>
      </c>
      <c r="L448" s="374"/>
      <c r="M448" s="368"/>
      <c r="N448" s="373">
        <f t="shared" si="66"/>
        <v>737074.52</v>
      </c>
      <c r="O448" s="1"/>
      <c r="P448" s="1"/>
      <c r="T448" s="1"/>
    </row>
    <row r="449" spans="1:20" ht="12" hidden="1" outlineLevel="1">
      <c r="A449" s="1"/>
      <c r="F449" s="1"/>
      <c r="H449" s="91">
        <f>N46+N47</f>
        <v>140880.65999999997</v>
      </c>
      <c r="J449" s="366">
        <v>41122</v>
      </c>
      <c r="K449" s="373">
        <f t="shared" si="65"/>
        <v>174329.66999999998</v>
      </c>
      <c r="L449" s="374"/>
      <c r="M449" s="368"/>
      <c r="N449" s="373">
        <f t="shared" si="66"/>
        <v>140880.65999999997</v>
      </c>
      <c r="O449" s="1"/>
      <c r="P449" s="1"/>
      <c r="T449" s="1"/>
    </row>
    <row r="450" spans="1:20" ht="12" hidden="1" outlineLevel="1">
      <c r="A450" s="1"/>
      <c r="F450" s="1"/>
      <c r="H450" s="91">
        <f>N48</f>
        <v>98651.66</v>
      </c>
      <c r="J450" s="366">
        <v>41153</v>
      </c>
      <c r="K450" s="373">
        <f t="shared" si="65"/>
        <v>95691.05</v>
      </c>
      <c r="L450" s="374"/>
      <c r="M450" s="368"/>
      <c r="N450" s="373">
        <f t="shared" si="66"/>
        <v>98651.66</v>
      </c>
      <c r="O450" s="1"/>
      <c r="P450" s="1"/>
      <c r="T450" s="1"/>
    </row>
    <row r="451" spans="1:20" ht="12" hidden="1" outlineLevel="1">
      <c r="A451" s="1"/>
      <c r="F451" s="1"/>
      <c r="H451" s="91">
        <f>N21</f>
        <v>75678.009999999995</v>
      </c>
      <c r="J451" s="366">
        <v>41183</v>
      </c>
      <c r="K451" s="373">
        <f t="shared" si="65"/>
        <v>237228.13</v>
      </c>
      <c r="L451" s="374"/>
      <c r="M451" s="368"/>
      <c r="N451" s="373">
        <f t="shared" si="66"/>
        <v>75678.009999999995</v>
      </c>
      <c r="O451" s="1"/>
      <c r="P451" s="1"/>
      <c r="T451" s="1"/>
    </row>
    <row r="452" spans="1:20" ht="12" hidden="1" outlineLevel="1">
      <c r="A452" s="1"/>
      <c r="F452" s="1"/>
      <c r="H452" s="91">
        <f>N36+N49+N80</f>
        <v>213125.68</v>
      </c>
      <c r="J452" s="366">
        <v>41214</v>
      </c>
      <c r="K452" s="373">
        <f t="shared" si="65"/>
        <v>289800.17000000004</v>
      </c>
      <c r="L452" s="374"/>
      <c r="M452" s="368"/>
      <c r="N452" s="373">
        <f t="shared" si="66"/>
        <v>213125.68</v>
      </c>
      <c r="O452" s="1"/>
      <c r="P452" s="1"/>
      <c r="T452" s="1"/>
    </row>
    <row r="453" spans="1:20" ht="12" hidden="1" outlineLevel="1">
      <c r="A453" s="1"/>
      <c r="F453" s="1"/>
      <c r="H453" s="1">
        <f>0</f>
        <v>0</v>
      </c>
      <c r="J453" s="366">
        <v>41244</v>
      </c>
      <c r="K453" s="373">
        <f t="shared" ref="K453:K484" si="67">SUMPRODUCT((DateAF_LBU&lt;&gt;"")*(MONTH(DateAF_LBU)=MONTH(J453))*(YEAR(DateAF_LBU)=YEAR(J453))*MontantAF_LBU)</f>
        <v>0</v>
      </c>
      <c r="L453" s="374"/>
      <c r="M453" s="368"/>
      <c r="N453" s="373">
        <f t="shared" ref="N453:N484" si="68">SUMPRODUCT((DatePmt_LBU&lt;&gt;"")*(DatePmt_LBU&lt;&gt;"en attente")*(MONTH(DatePmt_LBU)=MONTH(J453))*(YEAR(DatePmt_LBU)=YEAR(J453))*(ISNUMBER(MtntPaye_LBU)),MtntPaye_LBU)</f>
        <v>0</v>
      </c>
      <c r="O453" s="1"/>
      <c r="P453" s="1"/>
      <c r="T453" s="1"/>
    </row>
    <row r="454" spans="1:20" ht="12" hidden="1" outlineLevel="1">
      <c r="A454" s="1"/>
      <c r="F454" s="1"/>
      <c r="H454" s="1">
        <f>0</f>
        <v>0</v>
      </c>
      <c r="J454" s="366">
        <v>41275</v>
      </c>
      <c r="K454" s="373">
        <f t="shared" si="67"/>
        <v>314839.27</v>
      </c>
      <c r="L454" s="374"/>
      <c r="M454" s="368"/>
      <c r="N454" s="373">
        <f t="shared" si="68"/>
        <v>0</v>
      </c>
      <c r="O454" s="1"/>
      <c r="P454" s="1"/>
      <c r="T454" s="1"/>
    </row>
    <row r="455" spans="1:20" ht="12" hidden="1" outlineLevel="1">
      <c r="A455" s="1"/>
      <c r="F455" s="1"/>
      <c r="H455" s="91">
        <f>N56+N64+N72</f>
        <v>81536.540000000008</v>
      </c>
      <c r="J455" s="366">
        <v>41306</v>
      </c>
      <c r="K455" s="373">
        <f t="shared" si="67"/>
        <v>307597.56</v>
      </c>
      <c r="L455" s="374"/>
      <c r="M455" s="368"/>
      <c r="N455" s="373">
        <f t="shared" si="68"/>
        <v>81536.540000000008</v>
      </c>
      <c r="O455" s="1"/>
      <c r="P455" s="1"/>
      <c r="T455" s="1"/>
    </row>
    <row r="456" spans="1:20" ht="12" hidden="1" outlineLevel="1">
      <c r="A456" s="1"/>
      <c r="F456" s="1"/>
      <c r="H456" s="1">
        <f>0</f>
        <v>0</v>
      </c>
      <c r="J456" s="366">
        <v>41334</v>
      </c>
      <c r="K456" s="373">
        <f t="shared" si="67"/>
        <v>725638.74</v>
      </c>
      <c r="L456" s="374"/>
      <c r="M456" s="368"/>
      <c r="N456" s="373">
        <f t="shared" si="68"/>
        <v>0</v>
      </c>
      <c r="O456" s="1"/>
      <c r="P456" s="1"/>
      <c r="T456" s="1"/>
    </row>
    <row r="457" spans="1:20" ht="12" hidden="1" outlineLevel="1">
      <c r="A457" s="1"/>
      <c r="F457" s="1"/>
      <c r="H457" s="91">
        <f>N37+N73+N95+N109</f>
        <v>273008.43000000005</v>
      </c>
      <c r="J457" s="366">
        <v>41365</v>
      </c>
      <c r="K457" s="373">
        <f t="shared" si="67"/>
        <v>0</v>
      </c>
      <c r="L457" s="374"/>
      <c r="M457" s="368"/>
      <c r="N457" s="373">
        <f t="shared" si="68"/>
        <v>273008.43000000005</v>
      </c>
      <c r="O457" s="1"/>
      <c r="P457" s="1"/>
      <c r="T457" s="1"/>
    </row>
    <row r="458" spans="1:20" ht="12" hidden="1" outlineLevel="1">
      <c r="A458" s="1"/>
      <c r="F458" s="1"/>
      <c r="H458" s="91">
        <f>N38+N57+N65+N74+N86+N91+N101+N132</f>
        <v>516931.51</v>
      </c>
      <c r="J458" s="366">
        <v>41395</v>
      </c>
      <c r="K458" s="373">
        <f t="shared" si="67"/>
        <v>236742.24</v>
      </c>
      <c r="L458" s="374"/>
      <c r="M458" s="368"/>
      <c r="N458" s="373">
        <f t="shared" si="68"/>
        <v>516931.51</v>
      </c>
      <c r="O458" s="1"/>
      <c r="P458" s="1"/>
      <c r="T458" s="1"/>
    </row>
    <row r="459" spans="1:20" ht="12" hidden="1" outlineLevel="1">
      <c r="A459" s="1"/>
      <c r="F459" s="1"/>
      <c r="H459" s="91">
        <f>N39+N50+N51+N81+N124+N138+N192+N193</f>
        <v>855000.56</v>
      </c>
      <c r="J459" s="366">
        <v>41426</v>
      </c>
      <c r="K459" s="373">
        <f t="shared" si="67"/>
        <v>0</v>
      </c>
      <c r="L459" s="374"/>
      <c r="M459" s="368"/>
      <c r="N459" s="373">
        <f t="shared" si="68"/>
        <v>855000.56</v>
      </c>
      <c r="O459" s="1"/>
      <c r="P459" s="1"/>
      <c r="T459" s="1"/>
    </row>
    <row r="460" spans="1:20" ht="12" hidden="1" outlineLevel="1">
      <c r="A460" s="1"/>
      <c r="F460" s="1"/>
      <c r="H460" s="91">
        <f>N40+N75</f>
        <v>157022.24</v>
      </c>
      <c r="J460" s="366">
        <v>41456</v>
      </c>
      <c r="K460" s="373">
        <f t="shared" si="67"/>
        <v>815653.07000000007</v>
      </c>
      <c r="L460" s="374"/>
      <c r="M460" s="368"/>
      <c r="N460" s="373">
        <f t="shared" si="68"/>
        <v>157022.24</v>
      </c>
      <c r="O460" s="1"/>
      <c r="P460" s="1"/>
      <c r="T460" s="1"/>
    </row>
    <row r="461" spans="1:20" ht="12" hidden="1" outlineLevel="1">
      <c r="A461" s="1"/>
      <c r="F461" s="1"/>
      <c r="H461" s="91">
        <f>N52+N87+N92</f>
        <v>170512.37</v>
      </c>
      <c r="J461" s="366">
        <v>41487</v>
      </c>
      <c r="K461" s="373">
        <f t="shared" si="67"/>
        <v>0</v>
      </c>
      <c r="L461" s="374"/>
      <c r="M461" s="368"/>
      <c r="N461" s="373">
        <f t="shared" si="68"/>
        <v>170512.37</v>
      </c>
      <c r="O461" s="1"/>
      <c r="P461" s="1"/>
      <c r="T461" s="1"/>
    </row>
    <row r="462" spans="1:20" ht="12" hidden="1" outlineLevel="1">
      <c r="A462" s="1"/>
      <c r="F462" s="1"/>
      <c r="H462" s="91">
        <f>N41+N58+N66+N76+N82+N116+N144</f>
        <v>675360.70000000007</v>
      </c>
      <c r="J462" s="366">
        <v>41518</v>
      </c>
      <c r="K462" s="373">
        <f t="shared" si="67"/>
        <v>139037.37</v>
      </c>
      <c r="L462" s="374"/>
      <c r="M462" s="368"/>
      <c r="N462" s="373">
        <f t="shared" si="68"/>
        <v>675360.70000000007</v>
      </c>
      <c r="O462" s="1"/>
      <c r="P462" s="1"/>
      <c r="T462" s="1"/>
    </row>
    <row r="463" spans="1:20" ht="12" hidden="1" outlineLevel="1">
      <c r="A463" s="1"/>
      <c r="F463" s="1"/>
      <c r="H463" s="91">
        <f>N154</f>
        <v>49500</v>
      </c>
      <c r="J463" s="366">
        <v>41548</v>
      </c>
      <c r="K463" s="373">
        <f t="shared" si="67"/>
        <v>0</v>
      </c>
      <c r="L463" s="374"/>
      <c r="M463" s="368"/>
      <c r="N463" s="373">
        <f t="shared" si="68"/>
        <v>49500</v>
      </c>
      <c r="O463" s="1"/>
      <c r="P463" s="1"/>
      <c r="T463" s="1"/>
    </row>
    <row r="464" spans="1:20" ht="12" hidden="1" outlineLevel="1">
      <c r="A464" s="1"/>
      <c r="F464" s="1"/>
      <c r="H464" s="91">
        <f>N42+N59+N67</f>
        <v>139037.37</v>
      </c>
      <c r="J464" s="366">
        <v>41579</v>
      </c>
      <c r="K464" s="373">
        <f t="shared" si="67"/>
        <v>173677.5</v>
      </c>
      <c r="L464" s="374"/>
      <c r="M464" s="368"/>
      <c r="N464" s="373">
        <f t="shared" si="68"/>
        <v>139037.37</v>
      </c>
      <c r="O464" s="1"/>
      <c r="P464" s="1"/>
      <c r="T464" s="1"/>
    </row>
    <row r="465" spans="1:20" ht="12" hidden="1" outlineLevel="1">
      <c r="A465" s="1"/>
      <c r="F465" s="1"/>
      <c r="H465" s="91">
        <f>N125+N149</f>
        <v>173677.5</v>
      </c>
      <c r="J465" s="366">
        <v>41609</v>
      </c>
      <c r="K465" s="373">
        <f t="shared" si="67"/>
        <v>0</v>
      </c>
      <c r="L465" s="374"/>
      <c r="M465" s="368"/>
      <c r="N465" s="373">
        <f t="shared" si="68"/>
        <v>173677.5</v>
      </c>
      <c r="O465" s="1"/>
      <c r="P465" s="1"/>
      <c r="T465" s="1"/>
    </row>
    <row r="466" spans="1:20" ht="12" hidden="1" outlineLevel="1">
      <c r="A466" s="1"/>
      <c r="F466" s="1"/>
      <c r="H466" s="1">
        <f>0</f>
        <v>0</v>
      </c>
      <c r="J466" s="366">
        <v>41640</v>
      </c>
      <c r="K466" s="373">
        <f t="shared" si="67"/>
        <v>106271.81</v>
      </c>
      <c r="L466" s="374"/>
      <c r="M466" s="368"/>
      <c r="N466" s="373">
        <f t="shared" si="68"/>
        <v>0</v>
      </c>
      <c r="O466" s="1"/>
      <c r="P466" s="1"/>
      <c r="T466" s="1"/>
    </row>
    <row r="467" spans="1:20" ht="12" hidden="1" outlineLevel="1">
      <c r="A467" s="1"/>
      <c r="F467" s="1"/>
      <c r="H467" s="91">
        <f>N126+N133</f>
        <v>106271.81</v>
      </c>
      <c r="J467" s="366">
        <v>41671</v>
      </c>
      <c r="K467" s="373">
        <f t="shared" si="67"/>
        <v>34168.479999999996</v>
      </c>
      <c r="L467" s="374"/>
      <c r="M467" s="368"/>
      <c r="N467" s="373">
        <f t="shared" si="68"/>
        <v>106271.81</v>
      </c>
      <c r="O467" s="1"/>
      <c r="P467" s="1"/>
      <c r="T467" s="1"/>
    </row>
    <row r="468" spans="1:20" ht="12" hidden="1" outlineLevel="1">
      <c r="A468" s="1"/>
      <c r="F468" s="1"/>
      <c r="H468" s="91">
        <f>N134</f>
        <v>9583.869999999999</v>
      </c>
      <c r="J468" s="366">
        <v>41699</v>
      </c>
      <c r="K468" s="373">
        <f t="shared" si="67"/>
        <v>211983.78999999998</v>
      </c>
      <c r="L468" s="374"/>
      <c r="M468" s="368"/>
      <c r="N468" s="373">
        <f t="shared" si="68"/>
        <v>9583.869999999999</v>
      </c>
      <c r="O468" s="1"/>
      <c r="P468" s="1"/>
      <c r="T468" s="1"/>
    </row>
    <row r="469" spans="1:20" ht="12" hidden="1" outlineLevel="1">
      <c r="A469" s="1"/>
      <c r="F469" s="1"/>
      <c r="H469" s="91">
        <f>N102+N103+N117+N127+N145</f>
        <v>233592.12</v>
      </c>
      <c r="J469" s="366">
        <v>41730</v>
      </c>
      <c r="K469" s="373">
        <f t="shared" si="67"/>
        <v>275708.12</v>
      </c>
      <c r="L469" s="374"/>
      <c r="M469" s="368"/>
      <c r="N469" s="373">
        <f t="shared" si="68"/>
        <v>233592.12</v>
      </c>
      <c r="O469" s="1"/>
      <c r="P469" s="1"/>
      <c r="T469" s="1"/>
    </row>
    <row r="470" spans="1:20" ht="12" hidden="1" outlineLevel="1">
      <c r="A470" s="1"/>
      <c r="F470" s="1"/>
      <c r="H470" s="91">
        <f>N178</f>
        <v>204000</v>
      </c>
      <c r="J470" s="366">
        <v>41760</v>
      </c>
      <c r="K470" s="373">
        <f t="shared" si="67"/>
        <v>248641.2</v>
      </c>
      <c r="L470" s="374"/>
      <c r="M470" s="368"/>
      <c r="N470" s="373">
        <f t="shared" si="68"/>
        <v>204000</v>
      </c>
      <c r="O470" s="1"/>
      <c r="P470" s="1"/>
      <c r="T470" s="1"/>
    </row>
    <row r="471" spans="1:20" ht="12" hidden="1" outlineLevel="1">
      <c r="A471" s="1"/>
      <c r="F471" s="1"/>
      <c r="H471" s="91">
        <f>N118+N128+N135+N198</f>
        <v>281903.12</v>
      </c>
      <c r="J471" s="366">
        <v>41791</v>
      </c>
      <c r="K471" s="373">
        <f t="shared" si="67"/>
        <v>238244.1</v>
      </c>
      <c r="L471" s="374"/>
      <c r="M471" s="368"/>
      <c r="N471" s="373">
        <f t="shared" si="68"/>
        <v>281903.12</v>
      </c>
      <c r="O471" s="1"/>
      <c r="P471" s="1"/>
      <c r="T471" s="1"/>
    </row>
    <row r="472" spans="1:20" ht="12" hidden="1" outlineLevel="1">
      <c r="A472" s="1"/>
      <c r="F472" s="1"/>
      <c r="H472" s="91">
        <f>N129</f>
        <v>40244.1</v>
      </c>
      <c r="J472" s="366">
        <v>41821</v>
      </c>
      <c r="K472" s="373">
        <f t="shared" si="67"/>
        <v>0</v>
      </c>
      <c r="L472" s="374"/>
      <c r="M472" s="368"/>
      <c r="N472" s="373">
        <f t="shared" si="68"/>
        <v>40244.1</v>
      </c>
      <c r="O472" s="1"/>
      <c r="P472" s="1"/>
      <c r="T472" s="1"/>
    </row>
    <row r="473" spans="1:20" ht="12" hidden="1" outlineLevel="1">
      <c r="A473" s="1"/>
      <c r="F473" s="1"/>
      <c r="H473" s="91">
        <f>N60+N68+N104+N169</f>
        <v>270614.68</v>
      </c>
      <c r="J473" s="366">
        <v>41852</v>
      </c>
      <c r="K473" s="373">
        <f t="shared" si="67"/>
        <v>216007.48</v>
      </c>
      <c r="L473" s="374"/>
      <c r="M473" s="368"/>
      <c r="N473" s="373">
        <f t="shared" si="68"/>
        <v>270614.68</v>
      </c>
      <c r="O473" s="1"/>
      <c r="P473" s="1"/>
      <c r="T473" s="1"/>
    </row>
    <row r="474" spans="1:20" ht="12" hidden="1" outlineLevel="1">
      <c r="A474" s="1"/>
      <c r="F474" s="1"/>
      <c r="H474" s="91">
        <f>N119+N146</f>
        <v>139970.98000000001</v>
      </c>
      <c r="J474" s="366">
        <v>41883</v>
      </c>
      <c r="K474" s="373">
        <f t="shared" si="67"/>
        <v>0</v>
      </c>
      <c r="L474" s="374"/>
      <c r="M474" s="368"/>
      <c r="N474" s="373">
        <f t="shared" si="68"/>
        <v>139970.98000000001</v>
      </c>
      <c r="O474" s="1"/>
      <c r="P474" s="1"/>
      <c r="T474" s="1"/>
    </row>
    <row r="475" spans="1:20" ht="12" hidden="1" outlineLevel="1">
      <c r="A475" s="1"/>
      <c r="F475" s="1"/>
      <c r="H475" s="91">
        <f>N105+N110+N120+N139+N155</f>
        <v>315005.30000000005</v>
      </c>
      <c r="J475" s="366">
        <v>41913</v>
      </c>
      <c r="K475" s="373">
        <f t="shared" si="67"/>
        <v>564468.80000000005</v>
      </c>
      <c r="L475" s="374"/>
      <c r="M475" s="368"/>
      <c r="N475" s="373">
        <f t="shared" si="68"/>
        <v>315005.30000000005</v>
      </c>
      <c r="O475" s="1"/>
      <c r="P475" s="1"/>
      <c r="T475" s="1"/>
    </row>
    <row r="476" spans="1:20" ht="12" hidden="1" outlineLevel="1">
      <c r="A476" s="1"/>
      <c r="F476" s="1"/>
      <c r="H476" s="91">
        <f>N164</f>
        <v>67500</v>
      </c>
      <c r="J476" s="366">
        <v>41944</v>
      </c>
      <c r="K476" s="373">
        <f t="shared" si="67"/>
        <v>285039.59999999998</v>
      </c>
      <c r="L476" s="374"/>
      <c r="M476" s="368"/>
      <c r="N476" s="373">
        <f t="shared" si="68"/>
        <v>67500</v>
      </c>
      <c r="O476" s="1"/>
      <c r="P476" s="1"/>
      <c r="T476" s="1"/>
    </row>
    <row r="477" spans="1:20" ht="12" hidden="1" outlineLevel="1">
      <c r="A477" s="1"/>
      <c r="F477" s="1"/>
      <c r="H477" s="91">
        <f>N159+N205</f>
        <v>258000</v>
      </c>
      <c r="J477" s="366">
        <v>41974</v>
      </c>
      <c r="K477" s="373">
        <f t="shared" si="67"/>
        <v>0</v>
      </c>
      <c r="L477" s="374"/>
      <c r="M477" s="368"/>
      <c r="N477" s="373">
        <f t="shared" si="68"/>
        <v>258000</v>
      </c>
      <c r="O477" s="1"/>
      <c r="P477" s="1"/>
      <c r="T477" s="1"/>
    </row>
    <row r="478" spans="1:20" ht="12" hidden="1" outlineLevel="1">
      <c r="A478" s="1"/>
      <c r="F478" s="1"/>
      <c r="H478" s="1">
        <f>0</f>
        <v>0</v>
      </c>
      <c r="J478" s="366">
        <v>42005</v>
      </c>
      <c r="K478" s="373">
        <f t="shared" si="67"/>
        <v>47917.4</v>
      </c>
      <c r="L478" s="374"/>
      <c r="M478" s="368"/>
      <c r="N478" s="373">
        <f t="shared" si="68"/>
        <v>0</v>
      </c>
      <c r="O478" s="1"/>
      <c r="P478" s="1"/>
      <c r="T478" s="1"/>
    </row>
    <row r="479" spans="1:20" ht="12" hidden="1" outlineLevel="1">
      <c r="A479" s="1"/>
      <c r="F479" s="1"/>
      <c r="H479" s="1">
        <v>0</v>
      </c>
      <c r="J479" s="366">
        <v>42036</v>
      </c>
      <c r="K479" s="373">
        <f t="shared" si="67"/>
        <v>0</v>
      </c>
      <c r="L479" s="374"/>
      <c r="M479" s="368"/>
      <c r="N479" s="373">
        <f t="shared" si="68"/>
        <v>0</v>
      </c>
      <c r="O479" s="1"/>
      <c r="P479" s="1"/>
      <c r="T479" s="1"/>
    </row>
    <row r="480" spans="1:20" ht="12" hidden="1" outlineLevel="1">
      <c r="A480" s="1"/>
      <c r="F480" s="1"/>
      <c r="H480" s="1">
        <v>0</v>
      </c>
      <c r="J480" s="366">
        <v>42064</v>
      </c>
      <c r="K480" s="373">
        <f t="shared" si="67"/>
        <v>0</v>
      </c>
      <c r="L480" s="374"/>
      <c r="M480" s="368"/>
      <c r="N480" s="373">
        <f t="shared" si="68"/>
        <v>0</v>
      </c>
      <c r="O480" s="1"/>
      <c r="P480" s="1"/>
      <c r="T480" s="1"/>
    </row>
    <row r="481" spans="1:20" ht="12" hidden="1" outlineLevel="1">
      <c r="A481" s="1"/>
      <c r="F481" s="1"/>
      <c r="H481" s="1">
        <v>0</v>
      </c>
      <c r="J481" s="366">
        <v>42095</v>
      </c>
      <c r="K481" s="373">
        <f t="shared" si="67"/>
        <v>0</v>
      </c>
      <c r="L481" s="374"/>
      <c r="M481" s="368"/>
      <c r="N481" s="373">
        <f t="shared" si="68"/>
        <v>0</v>
      </c>
      <c r="O481" s="1"/>
      <c r="P481" s="1"/>
      <c r="T481" s="1"/>
    </row>
    <row r="482" spans="1:20" ht="12" hidden="1" outlineLevel="1">
      <c r="A482" s="1"/>
      <c r="F482" s="1"/>
      <c r="H482" s="91">
        <f>N22+N194</f>
        <v>332957</v>
      </c>
      <c r="J482" s="366">
        <v>42125</v>
      </c>
      <c r="K482" s="373">
        <f t="shared" si="67"/>
        <v>553381</v>
      </c>
      <c r="L482" s="374"/>
      <c r="M482" s="368"/>
      <c r="N482" s="373">
        <f t="shared" si="68"/>
        <v>332957</v>
      </c>
      <c r="O482" s="1"/>
      <c r="P482" s="1"/>
      <c r="T482" s="1"/>
    </row>
    <row r="483" spans="1:20" ht="12" hidden="1" outlineLevel="1">
      <c r="A483" s="1"/>
      <c r="F483" s="1"/>
      <c r="H483" s="1">
        <f>0</f>
        <v>0</v>
      </c>
      <c r="J483" s="366">
        <v>42156</v>
      </c>
      <c r="K483" s="373">
        <f t="shared" si="67"/>
        <v>1331058.8999999999</v>
      </c>
      <c r="L483" s="374"/>
      <c r="M483" s="368"/>
      <c r="N483" s="373">
        <f t="shared" si="68"/>
        <v>0</v>
      </c>
      <c r="O483" s="1"/>
      <c r="P483" s="1"/>
      <c r="T483" s="1"/>
    </row>
    <row r="484" spans="1:20" ht="12" hidden="1" outlineLevel="1">
      <c r="A484" s="1"/>
      <c r="F484" s="1"/>
      <c r="H484" s="1">
        <v>0</v>
      </c>
      <c r="J484" s="366">
        <v>42186</v>
      </c>
      <c r="K484" s="373">
        <f t="shared" si="67"/>
        <v>314807.37</v>
      </c>
      <c r="L484" s="374"/>
      <c r="M484" s="368"/>
      <c r="N484" s="373">
        <f t="shared" si="68"/>
        <v>0</v>
      </c>
      <c r="O484" s="1"/>
      <c r="P484" s="1"/>
      <c r="T484" s="1"/>
    </row>
    <row r="485" spans="1:20" ht="12" hidden="1" outlineLevel="1">
      <c r="A485" s="1"/>
      <c r="F485" s="1"/>
      <c r="H485" s="91">
        <f>N33+N150+N156+N160+N165+N170+N179+N234+N199+N218+N206</f>
        <v>1659053.6</v>
      </c>
      <c r="J485" s="366">
        <v>42217</v>
      </c>
      <c r="K485" s="373">
        <f t="shared" ref="K485:K516" si="69">SUMPRODUCT((DateAF_LBU&lt;&gt;"")*(MONTH(DateAF_LBU)=MONTH(J485))*(YEAR(DateAF_LBU)=YEAR(J485))*MontantAF_LBU)</f>
        <v>209127.01</v>
      </c>
      <c r="L485" s="374"/>
      <c r="M485" s="368"/>
      <c r="N485" s="373">
        <f t="shared" ref="N485:N516" si="70">SUMPRODUCT((DatePmt_LBU&lt;&gt;"")*(DatePmt_LBU&lt;&gt;"en attente")*(MONTH(DatePmt_LBU)=MONTH(J485))*(YEAR(DatePmt_LBU)=YEAR(J485))*(ISNUMBER(MtntPaye_LBU)),MtntPaye_LBU)</f>
        <v>1659053.6</v>
      </c>
      <c r="O485" s="1"/>
      <c r="P485" s="1"/>
      <c r="T485" s="1"/>
    </row>
    <row r="486" spans="1:20" ht="12" hidden="1" outlineLevel="1">
      <c r="A486" s="1"/>
      <c r="F486" s="1"/>
      <c r="H486" s="91">
        <f>N12</f>
        <v>166402.79999999999</v>
      </c>
      <c r="J486" s="366">
        <v>42248</v>
      </c>
      <c r="K486" s="373">
        <f t="shared" si="69"/>
        <v>324921</v>
      </c>
      <c r="L486" s="374"/>
      <c r="M486" s="368"/>
      <c r="N486" s="373">
        <f t="shared" si="70"/>
        <v>166402.79999999999</v>
      </c>
      <c r="O486" s="1"/>
      <c r="P486" s="1"/>
      <c r="T486" s="1"/>
    </row>
    <row r="487" spans="1:20" ht="12" hidden="1" outlineLevel="1">
      <c r="A487" s="1"/>
      <c r="F487" s="1"/>
      <c r="H487" s="91">
        <f>N106+N111+N140</f>
        <v>348312.28</v>
      </c>
      <c r="J487" s="366">
        <v>42278</v>
      </c>
      <c r="K487" s="373">
        <f t="shared" si="69"/>
        <v>611052.6</v>
      </c>
      <c r="L487" s="374"/>
      <c r="M487" s="368"/>
      <c r="N487" s="373">
        <f t="shared" si="70"/>
        <v>348312.28</v>
      </c>
      <c r="O487" s="1"/>
      <c r="P487" s="1"/>
      <c r="T487" s="1"/>
    </row>
    <row r="488" spans="1:20" ht="12" hidden="1" outlineLevel="1">
      <c r="A488" s="1"/>
      <c r="F488" s="1"/>
      <c r="H488" s="91">
        <f>N43+N83+N88+N121+N219+N93</f>
        <v>935973.6</v>
      </c>
      <c r="J488" s="366">
        <v>42309</v>
      </c>
      <c r="K488" s="373">
        <f t="shared" si="69"/>
        <v>389346.8</v>
      </c>
      <c r="L488" s="374"/>
      <c r="M488" s="368"/>
      <c r="N488" s="373">
        <f t="shared" si="70"/>
        <v>935973.6</v>
      </c>
      <c r="O488" s="1"/>
      <c r="P488" s="1"/>
      <c r="T488" s="1"/>
    </row>
    <row r="489" spans="1:20" ht="12" hidden="1" outlineLevel="1">
      <c r="A489" s="1"/>
      <c r="F489" s="1"/>
      <c r="H489" s="91">
        <f>N161+N171</f>
        <v>186090</v>
      </c>
      <c r="J489" s="366">
        <v>42339</v>
      </c>
      <c r="K489" s="373">
        <f t="shared" si="69"/>
        <v>103982.39999999999</v>
      </c>
      <c r="L489" s="374"/>
      <c r="M489" s="368"/>
      <c r="N489" s="373">
        <f t="shared" si="70"/>
        <v>186090</v>
      </c>
      <c r="O489" s="1"/>
      <c r="P489" s="1"/>
      <c r="T489" s="1"/>
    </row>
    <row r="490" spans="1:20" ht="12" hidden="1" outlineLevel="1">
      <c r="A490" s="1"/>
      <c r="F490" s="1"/>
      <c r="H490" s="91">
        <f>N200+N207</f>
        <v>183146.4</v>
      </c>
      <c r="J490" s="366">
        <v>42370</v>
      </c>
      <c r="K490" s="373">
        <f t="shared" si="69"/>
        <v>430313.83999999997</v>
      </c>
      <c r="L490" s="374"/>
      <c r="M490" s="368"/>
      <c r="N490" s="373">
        <f t="shared" si="70"/>
        <v>183146.4</v>
      </c>
      <c r="O490" s="1"/>
      <c r="P490" s="1"/>
      <c r="T490" s="1"/>
    </row>
    <row r="491" spans="1:20" ht="12" hidden="1" outlineLevel="1">
      <c r="A491" s="1"/>
      <c r="F491" s="1"/>
      <c r="H491" s="91">
        <f>N220</f>
        <v>107887</v>
      </c>
      <c r="J491" s="366">
        <v>42401</v>
      </c>
      <c r="K491" s="373">
        <f t="shared" si="69"/>
        <v>524302.19999999995</v>
      </c>
      <c r="L491" s="374"/>
      <c r="M491" s="368"/>
      <c r="N491" s="373">
        <f t="shared" si="70"/>
        <v>107887</v>
      </c>
      <c r="O491" s="1"/>
      <c r="P491" s="1"/>
      <c r="T491" s="1"/>
    </row>
    <row r="492" spans="1:20" ht="12" hidden="1" outlineLevel="1">
      <c r="A492" s="1"/>
      <c r="F492" s="1"/>
      <c r="H492" s="91">
        <f>N141+N151+N166+N180+N185+N269</f>
        <v>711310.84000000008</v>
      </c>
      <c r="J492" s="366">
        <v>42430</v>
      </c>
      <c r="K492" s="373">
        <f t="shared" si="69"/>
        <v>328223.40000000002</v>
      </c>
      <c r="L492" s="374"/>
      <c r="M492" s="368"/>
      <c r="N492" s="373">
        <f t="shared" si="70"/>
        <v>711310.84000000008</v>
      </c>
      <c r="O492" s="1"/>
      <c r="P492" s="1"/>
      <c r="T492" s="1"/>
    </row>
    <row r="493" spans="1:20" ht="12" hidden="1" outlineLevel="1">
      <c r="A493" s="1"/>
      <c r="F493" s="1"/>
      <c r="H493" s="91">
        <f>N172+N201+N208+N221</f>
        <v>328223.40000000002</v>
      </c>
      <c r="J493" s="366">
        <v>42461</v>
      </c>
      <c r="K493" s="373">
        <f t="shared" si="69"/>
        <v>0</v>
      </c>
      <c r="L493" s="374"/>
      <c r="M493" s="368"/>
      <c r="N493" s="373">
        <f t="shared" si="70"/>
        <v>328223.40000000002</v>
      </c>
      <c r="O493" s="1"/>
      <c r="P493" s="1"/>
      <c r="T493" s="1"/>
    </row>
    <row r="494" spans="1:20" ht="12" hidden="1" outlineLevel="1">
      <c r="A494" s="1"/>
      <c r="F494" s="1"/>
      <c r="H494" s="91">
        <f>N69++N61</f>
        <v>99879.6</v>
      </c>
      <c r="J494" s="366">
        <v>42491</v>
      </c>
      <c r="K494" s="373">
        <f t="shared" si="69"/>
        <v>154004</v>
      </c>
      <c r="L494" s="374"/>
      <c r="M494" s="368"/>
      <c r="N494" s="373">
        <f t="shared" si="70"/>
        <v>99879.6</v>
      </c>
      <c r="O494" s="1"/>
      <c r="P494" s="1"/>
      <c r="T494" s="1"/>
    </row>
    <row r="495" spans="1:20" ht="12" hidden="1" outlineLevel="1">
      <c r="A495" s="1"/>
      <c r="F495" s="1"/>
      <c r="H495" s="91">
        <f>N181</f>
        <v>58004</v>
      </c>
      <c r="J495" s="366">
        <v>42522</v>
      </c>
      <c r="K495" s="373">
        <f t="shared" si="69"/>
        <v>182844.9</v>
      </c>
      <c r="L495" s="374"/>
      <c r="M495" s="368"/>
      <c r="N495" s="373">
        <f t="shared" si="70"/>
        <v>58004</v>
      </c>
      <c r="O495" s="1"/>
      <c r="P495" s="1"/>
      <c r="T495" s="1"/>
    </row>
    <row r="496" spans="1:20" ht="12" hidden="1" outlineLevel="1">
      <c r="A496" s="1"/>
      <c r="F496" s="1"/>
      <c r="H496" s="91">
        <f>N77+N173+N235+N202+N212</f>
        <v>402937.7</v>
      </c>
      <c r="J496" s="366">
        <v>42552</v>
      </c>
      <c r="K496" s="373">
        <f t="shared" si="69"/>
        <v>0</v>
      </c>
      <c r="L496" s="374"/>
      <c r="M496" s="368"/>
      <c r="N496" s="373">
        <f t="shared" si="70"/>
        <v>402937.69999999995</v>
      </c>
      <c r="O496" s="1"/>
      <c r="P496" s="1"/>
      <c r="T496" s="1"/>
    </row>
    <row r="497" spans="1:20" ht="12" hidden="1" outlineLevel="1">
      <c r="A497" s="1"/>
      <c r="F497" s="1"/>
      <c r="H497" s="91">
        <f>N147</f>
        <v>35537.599999999999</v>
      </c>
      <c r="J497" s="366">
        <v>42583</v>
      </c>
      <c r="K497" s="373">
        <f t="shared" si="69"/>
        <v>92254.5</v>
      </c>
      <c r="L497" s="374"/>
      <c r="M497" s="368"/>
      <c r="N497" s="373">
        <f t="shared" si="70"/>
        <v>35537.599999999999</v>
      </c>
      <c r="O497" s="1"/>
      <c r="P497" s="1"/>
      <c r="T497" s="1"/>
    </row>
    <row r="498" spans="1:20" ht="12" hidden="1" outlineLevel="1">
      <c r="A498" s="1"/>
      <c r="F498" s="1"/>
      <c r="H498" s="91">
        <f>N53+N236</f>
        <v>326860.09999999998</v>
      </c>
      <c r="J498" s="366">
        <v>42614</v>
      </c>
      <c r="K498" s="373">
        <f t="shared" si="69"/>
        <v>122113.50120000003</v>
      </c>
      <c r="L498" s="374"/>
      <c r="M498" s="368"/>
      <c r="N498" s="373">
        <f t="shared" si="70"/>
        <v>326860.09999999998</v>
      </c>
      <c r="O498" s="1"/>
      <c r="P498" s="1"/>
      <c r="T498" s="1"/>
    </row>
    <row r="499" spans="1:20" ht="12" hidden="1" outlineLevel="1">
      <c r="A499" s="1"/>
      <c r="F499" s="1"/>
      <c r="H499" s="91">
        <f>N186+N209</f>
        <v>122113.5</v>
      </c>
      <c r="J499" s="366">
        <v>42644</v>
      </c>
      <c r="K499" s="373">
        <f t="shared" si="69"/>
        <v>138405.00000000012</v>
      </c>
      <c r="L499" s="374"/>
      <c r="M499" s="368"/>
      <c r="N499" s="373">
        <f t="shared" si="70"/>
        <v>122113.5</v>
      </c>
      <c r="O499" s="1"/>
      <c r="P499" s="1"/>
      <c r="T499" s="1"/>
    </row>
    <row r="500" spans="1:20" ht="12" hidden="1" outlineLevel="1">
      <c r="A500" s="1"/>
      <c r="F500" s="1"/>
      <c r="H500" s="1">
        <v>0</v>
      </c>
      <c r="J500" s="366">
        <v>42675</v>
      </c>
      <c r="K500" s="373">
        <f t="shared" si="69"/>
        <v>205266.41000000003</v>
      </c>
      <c r="L500" s="374"/>
      <c r="M500" s="368"/>
      <c r="N500" s="373">
        <f t="shared" si="70"/>
        <v>0</v>
      </c>
      <c r="O500" s="1"/>
      <c r="P500" s="1"/>
      <c r="T500" s="1"/>
    </row>
    <row r="501" spans="1:20" ht="12" hidden="1" outlineLevel="1">
      <c r="A501" s="1"/>
      <c r="F501" s="1"/>
      <c r="H501" s="91">
        <f>N187+N237</f>
        <v>170328.21000000002</v>
      </c>
      <c r="J501" s="366">
        <v>42705</v>
      </c>
      <c r="K501" s="373">
        <f t="shared" si="69"/>
        <v>0</v>
      </c>
      <c r="L501" s="374"/>
      <c r="M501" s="368"/>
      <c r="N501" s="373">
        <f t="shared" si="70"/>
        <v>170328.21000000002</v>
      </c>
      <c r="O501" s="1"/>
      <c r="P501" s="1"/>
      <c r="T501" s="1"/>
    </row>
    <row r="502" spans="1:20" ht="12" hidden="1" outlineLevel="1">
      <c r="A502" s="1"/>
      <c r="F502" s="1"/>
      <c r="H502" s="1">
        <v>0</v>
      </c>
      <c r="J502" s="366">
        <v>42736</v>
      </c>
      <c r="K502" s="373">
        <f t="shared" si="69"/>
        <v>501036.28880000004</v>
      </c>
      <c r="L502" s="374"/>
      <c r="M502" s="368"/>
      <c r="N502" s="373">
        <f t="shared" si="70"/>
        <v>0</v>
      </c>
      <c r="O502" s="1"/>
      <c r="P502" s="1"/>
      <c r="T502" s="1"/>
    </row>
    <row r="503" spans="1:20" ht="12" hidden="1" outlineLevel="1">
      <c r="A503" s="1"/>
      <c r="F503" s="1"/>
      <c r="H503" s="91">
        <f>N238</f>
        <v>107941.5</v>
      </c>
      <c r="J503" s="366">
        <v>42767</v>
      </c>
      <c r="K503" s="373">
        <f t="shared" si="69"/>
        <v>915600</v>
      </c>
      <c r="L503" s="374"/>
      <c r="M503" s="368"/>
      <c r="N503" s="373">
        <f t="shared" si="70"/>
        <v>107941.5</v>
      </c>
      <c r="O503" s="1"/>
      <c r="P503" s="1"/>
      <c r="T503" s="1"/>
    </row>
    <row r="504" spans="1:20" ht="12" hidden="1" outlineLevel="1">
      <c r="A504" s="1"/>
      <c r="F504" s="1"/>
      <c r="H504" s="733">
        <f>N188+N213+N254+N261+N277+N292+N300+N314+N321+N224</f>
        <v>1284094.79</v>
      </c>
      <c r="J504" s="366">
        <v>42795</v>
      </c>
      <c r="K504" s="373">
        <f t="shared" si="69"/>
        <v>138000</v>
      </c>
      <c r="L504" s="374"/>
      <c r="M504" s="368"/>
      <c r="N504" s="373">
        <f t="shared" si="70"/>
        <v>1284094.79</v>
      </c>
      <c r="O504" s="1"/>
      <c r="P504" s="1"/>
      <c r="T504" s="1"/>
    </row>
    <row r="505" spans="1:20" ht="12" hidden="1" outlineLevel="1">
      <c r="A505" s="1"/>
      <c r="F505" s="1"/>
      <c r="H505" s="91">
        <f>N130</f>
        <v>132600</v>
      </c>
      <c r="J505" s="366">
        <v>42826</v>
      </c>
      <c r="K505" s="373">
        <f t="shared" si="69"/>
        <v>223600</v>
      </c>
      <c r="L505" s="374"/>
      <c r="M505" s="368"/>
      <c r="N505" s="373">
        <f t="shared" si="70"/>
        <v>132600</v>
      </c>
      <c r="O505" s="1"/>
      <c r="P505" s="1"/>
      <c r="T505" s="1"/>
    </row>
    <row r="506" spans="1:20" ht="12" hidden="1" outlineLevel="1">
      <c r="A506" s="1"/>
      <c r="F506" s="1"/>
      <c r="H506" s="91">
        <f>N96+N157</f>
        <v>66564</v>
      </c>
      <c r="J506" s="366">
        <v>42856</v>
      </c>
      <c r="K506" s="373">
        <f t="shared" si="69"/>
        <v>485167.09999999986</v>
      </c>
      <c r="L506" s="374"/>
      <c r="M506" s="368"/>
      <c r="N506" s="373">
        <f t="shared" si="70"/>
        <v>66564</v>
      </c>
      <c r="O506" s="1"/>
      <c r="P506" s="1"/>
      <c r="T506" s="1"/>
    </row>
    <row r="507" spans="1:20" ht="12" hidden="1" outlineLevel="1">
      <c r="A507" s="1"/>
      <c r="F507" s="1"/>
      <c r="H507" s="91">
        <f>N136+N182+N239+N214+N270</f>
        <v>339740</v>
      </c>
      <c r="J507" s="366">
        <v>42887</v>
      </c>
      <c r="K507" s="373">
        <f t="shared" si="69"/>
        <v>127550</v>
      </c>
      <c r="L507" s="374"/>
      <c r="M507" s="368"/>
      <c r="N507" s="373">
        <f t="shared" si="70"/>
        <v>339740</v>
      </c>
      <c r="O507" s="373"/>
      <c r="P507" s="1"/>
      <c r="T507" s="1"/>
    </row>
    <row r="508" spans="1:20" ht="12" hidden="1" outlineLevel="1">
      <c r="A508" s="1"/>
      <c r="F508" s="1"/>
      <c r="H508" s="733">
        <f>N107+N225</f>
        <v>282206.3</v>
      </c>
      <c r="J508" s="366">
        <v>42917</v>
      </c>
      <c r="K508" s="373">
        <f t="shared" si="69"/>
        <v>258825</v>
      </c>
      <c r="L508" s="374"/>
      <c r="M508" s="368"/>
      <c r="N508" s="373">
        <f t="shared" si="70"/>
        <v>282206.3</v>
      </c>
      <c r="O508" s="373"/>
      <c r="P508" s="1"/>
      <c r="T508" s="1"/>
    </row>
    <row r="509" spans="1:20" ht="12" hidden="1" outlineLevel="1">
      <c r="A509" s="1"/>
      <c r="F509" s="1"/>
      <c r="H509" s="91">
        <f>N222</f>
        <v>223600</v>
      </c>
      <c r="J509" s="366">
        <v>42948</v>
      </c>
      <c r="K509" s="373">
        <f t="shared" si="69"/>
        <v>88146</v>
      </c>
      <c r="L509" s="374"/>
      <c r="M509" s="368"/>
      <c r="N509" s="373">
        <f t="shared" si="70"/>
        <v>223600</v>
      </c>
      <c r="O509" s="373"/>
      <c r="P509" s="1"/>
      <c r="T509" s="1"/>
    </row>
    <row r="510" spans="1:20" ht="12" hidden="1" outlineLevel="1">
      <c r="A510" s="1"/>
      <c r="F510" s="1"/>
      <c r="H510" s="91">
        <f>N240+N246+N285</f>
        <v>346971</v>
      </c>
      <c r="J510" s="366">
        <v>42979</v>
      </c>
      <c r="K510" s="373">
        <f t="shared" si="69"/>
        <v>308519</v>
      </c>
      <c r="L510" s="374"/>
      <c r="M510" s="368"/>
      <c r="N510" s="373">
        <f t="shared" si="70"/>
        <v>346971</v>
      </c>
      <c r="O510" s="373"/>
      <c r="P510" s="1"/>
      <c r="T510" s="1"/>
    </row>
    <row r="511" spans="1:20" ht="12" hidden="1" outlineLevel="1">
      <c r="A511" s="1"/>
      <c r="F511" s="1"/>
      <c r="H511" s="91">
        <f>N122+N162+N215</f>
        <v>390934</v>
      </c>
      <c r="J511" s="366">
        <v>43009</v>
      </c>
      <c r="K511" s="373">
        <f t="shared" si="69"/>
        <v>261228.60000000006</v>
      </c>
      <c r="L511" s="374"/>
      <c r="M511" s="368"/>
      <c r="N511" s="373">
        <f t="shared" si="70"/>
        <v>390934</v>
      </c>
      <c r="O511" s="373"/>
      <c r="P511" s="1"/>
      <c r="T511" s="1"/>
    </row>
    <row r="512" spans="1:20" ht="12" hidden="1" outlineLevel="1">
      <c r="A512" s="1"/>
      <c r="F512" s="1"/>
      <c r="H512" s="733">
        <f>N112+N167</f>
        <v>128850.52</v>
      </c>
      <c r="J512" s="366">
        <v>43040</v>
      </c>
      <c r="K512" s="373">
        <f t="shared" si="69"/>
        <v>497565</v>
      </c>
      <c r="L512" s="374"/>
      <c r="M512" s="368"/>
      <c r="N512" s="373">
        <f t="shared" si="70"/>
        <v>45135</v>
      </c>
      <c r="O512" s="373"/>
      <c r="P512" s="1"/>
      <c r="T512" s="1"/>
    </row>
    <row r="513" spans="1:20" ht="12" hidden="1" outlineLevel="1">
      <c r="A513" s="1"/>
      <c r="F513" s="1"/>
      <c r="H513" s="733">
        <f>N271+N278+N322+N226+N262</f>
        <v>316942</v>
      </c>
      <c r="J513" s="366">
        <v>43070</v>
      </c>
      <c r="K513" s="373">
        <f t="shared" si="69"/>
        <v>100454.39999999997</v>
      </c>
      <c r="L513" s="374"/>
      <c r="M513" s="368"/>
      <c r="N513" s="373">
        <f t="shared" si="70"/>
        <v>316942</v>
      </c>
      <c r="O513" s="373"/>
      <c r="P513" s="1"/>
      <c r="T513" s="1"/>
    </row>
    <row r="514" spans="1:20" ht="12" hidden="1" outlineLevel="1">
      <c r="A514" s="1"/>
      <c r="F514" s="1"/>
      <c r="G514" s="91"/>
      <c r="H514" s="91">
        <f>N241</f>
        <v>98728.5</v>
      </c>
      <c r="J514" s="366">
        <v>43101</v>
      </c>
      <c r="K514" s="373">
        <f t="shared" si="69"/>
        <v>378000</v>
      </c>
      <c r="L514" s="374"/>
      <c r="M514" s="368"/>
      <c r="N514" s="373">
        <f t="shared" si="70"/>
        <v>98728.5</v>
      </c>
      <c r="O514" s="373"/>
      <c r="P514" s="1"/>
      <c r="T514" s="1"/>
    </row>
    <row r="515" spans="1:20" ht="12" hidden="1" outlineLevel="1">
      <c r="A515" s="1"/>
      <c r="F515" s="1"/>
      <c r="H515" s="1">
        <v>0</v>
      </c>
      <c r="J515" s="366">
        <v>43132</v>
      </c>
      <c r="K515" s="373">
        <f t="shared" si="69"/>
        <v>424543.80000000005</v>
      </c>
      <c r="L515" s="374"/>
      <c r="M515" s="368"/>
      <c r="N515" s="373">
        <f t="shared" si="70"/>
        <v>0</v>
      </c>
      <c r="O515" s="373"/>
      <c r="P515" s="1"/>
      <c r="T515" s="1"/>
    </row>
    <row r="516" spans="1:20" ht="12" hidden="1" outlineLevel="1">
      <c r="A516" s="1"/>
      <c r="F516" s="1"/>
      <c r="H516" s="733">
        <f>N255+N263+N279+N293+N301+N315+N323+N329+N334+N227+N97</f>
        <v>619757.20000000007</v>
      </c>
      <c r="J516" s="366">
        <v>43160</v>
      </c>
      <c r="K516" s="373">
        <f t="shared" si="69"/>
        <v>362266.19999999995</v>
      </c>
      <c r="L516" s="374"/>
      <c r="M516" s="368"/>
      <c r="N516" s="373">
        <f t="shared" si="70"/>
        <v>619757.19999999995</v>
      </c>
      <c r="O516" s="373"/>
      <c r="P516" s="1"/>
      <c r="T516" s="1"/>
    </row>
    <row r="517" spans="1:20" ht="12" hidden="1" outlineLevel="1">
      <c r="A517" s="1"/>
      <c r="F517" s="1"/>
      <c r="H517" s="733">
        <f>N272+N353</f>
        <v>510772.5</v>
      </c>
      <c r="J517" s="366">
        <v>43191</v>
      </c>
      <c r="K517" s="373">
        <f t="shared" ref="K517:K548" si="71">SUMPRODUCT((DateAF_LBU&lt;&gt;"")*(MONTH(DateAF_LBU)=MONTH(J517))*(YEAR(DateAF_LBU)=YEAR(J517))*MontantAF_LBU)</f>
        <v>138074.00000000006</v>
      </c>
      <c r="L517" s="374"/>
      <c r="M517" s="368"/>
      <c r="N517" s="373">
        <f t="shared" ref="N517:N537" si="72">SUMPRODUCT((DatePmt_LBU&lt;&gt;"")*(DatePmt_LBU&lt;&gt;"en attente")*(MONTH(DatePmt_LBU)=MONTH(J517))*(YEAR(DatePmt_LBU)=YEAR(J517))*(ISNUMBER(MtntPaye_LBU)),MtntPaye_LBU)</f>
        <v>510772.5</v>
      </c>
      <c r="O517" s="373"/>
      <c r="P517" s="1"/>
      <c r="T517" s="1"/>
    </row>
    <row r="518" spans="1:20" ht="12" hidden="1" outlineLevel="1">
      <c r="A518" s="1"/>
      <c r="F518" s="1"/>
      <c r="H518" s="733">
        <f>N189+N286+N308+N316+N360</f>
        <v>512160.2</v>
      </c>
      <c r="J518" s="366">
        <v>43221</v>
      </c>
      <c r="K518" s="373">
        <f t="shared" si="71"/>
        <v>562183.32499999995</v>
      </c>
      <c r="L518" s="374"/>
      <c r="M518" s="368"/>
      <c r="N518" s="373">
        <f t="shared" si="72"/>
        <v>512160.2</v>
      </c>
      <c r="O518" s="373"/>
      <c r="P518" s="1"/>
      <c r="T518" s="1"/>
    </row>
    <row r="519" spans="1:20" ht="12" hidden="1" outlineLevel="1">
      <c r="A519" s="1"/>
      <c r="F519" s="1"/>
      <c r="H519" s="91">
        <f>N152+N247+N256+N264+N280+N324</f>
        <v>269661.87</v>
      </c>
      <c r="J519" s="366">
        <v>43252</v>
      </c>
      <c r="K519" s="373">
        <f t="shared" si="71"/>
        <v>368952</v>
      </c>
      <c r="L519" s="374"/>
      <c r="M519" s="368"/>
      <c r="N519" s="373">
        <f t="shared" si="72"/>
        <v>269661.87</v>
      </c>
      <c r="O519" s="373"/>
      <c r="P519" s="1"/>
      <c r="T519" s="1"/>
    </row>
    <row r="520" spans="1:20" ht="12" hidden="1" outlineLevel="1">
      <c r="A520" s="1"/>
      <c r="F520" s="1"/>
      <c r="H520" s="91">
        <f>N142+N183+N294+N302</f>
        <v>390721.06</v>
      </c>
      <c r="J520" s="366">
        <v>43282</v>
      </c>
      <c r="K520" s="373">
        <f t="shared" si="71"/>
        <v>604018.67500000005</v>
      </c>
      <c r="L520" s="374"/>
      <c r="M520" s="368"/>
      <c r="N520" s="373">
        <f t="shared" si="72"/>
        <v>390721.06</v>
      </c>
      <c r="O520" s="1" t="s">
        <v>374</v>
      </c>
      <c r="P520" s="1"/>
      <c r="T520" s="1"/>
    </row>
    <row r="521" spans="1:20" ht="12" hidden="1" outlineLevel="1">
      <c r="A521" s="1"/>
      <c r="F521" s="1"/>
      <c r="H521" s="733">
        <f>N203+N210+N248+N257+N281+N295+N303+N325+N339</f>
        <v>614208.68000000005</v>
      </c>
      <c r="J521" s="366">
        <v>43313</v>
      </c>
      <c r="K521" s="373">
        <f t="shared" si="71"/>
        <v>44156</v>
      </c>
      <c r="L521" s="374"/>
      <c r="M521" s="368"/>
      <c r="N521" s="373">
        <f t="shared" si="72"/>
        <v>614208.68000000005</v>
      </c>
      <c r="O521" s="1"/>
      <c r="P521" s="1"/>
      <c r="T521" s="1"/>
    </row>
    <row r="522" spans="1:20" hidden="1" outlineLevel="1">
      <c r="H522" s="91">
        <f>N258+N265+N287</f>
        <v>198128</v>
      </c>
      <c r="J522" s="366">
        <v>43344</v>
      </c>
      <c r="K522" s="373">
        <f t="shared" si="71"/>
        <v>303662.25000000006</v>
      </c>
      <c r="L522" s="374"/>
      <c r="M522" s="368"/>
      <c r="N522" s="373">
        <f t="shared" si="72"/>
        <v>198128</v>
      </c>
      <c r="P522" s="1"/>
    </row>
    <row r="523" spans="1:20" hidden="1" outlineLevel="1">
      <c r="H523" s="91">
        <f>N174</f>
        <v>140448</v>
      </c>
      <c r="J523" s="366">
        <v>43374</v>
      </c>
      <c r="K523" s="373">
        <f t="shared" si="71"/>
        <v>570943.89999999991</v>
      </c>
      <c r="L523" s="374"/>
      <c r="M523" s="368"/>
      <c r="N523" s="373">
        <f t="shared" si="72"/>
        <v>140448</v>
      </c>
      <c r="P523" s="1"/>
    </row>
    <row r="524" spans="1:20" hidden="1" outlineLevel="1">
      <c r="H524" s="733">
        <f>N216+N309+N326+N228</f>
        <v>251052</v>
      </c>
      <c r="J524" s="366">
        <v>43405</v>
      </c>
      <c r="K524" s="373">
        <f t="shared" si="71"/>
        <v>0</v>
      </c>
      <c r="L524" s="374"/>
      <c r="M524" s="368"/>
      <c r="N524" s="373">
        <f t="shared" si="72"/>
        <v>251052</v>
      </c>
    </row>
    <row r="525" spans="1:20" hidden="1" outlineLevel="1">
      <c r="H525" s="733">
        <f>N249+N288+N296+N304+N317+N354</f>
        <v>623554.15</v>
      </c>
      <c r="J525" s="366">
        <v>43435</v>
      </c>
      <c r="K525" s="373">
        <f t="shared" si="71"/>
        <v>54721</v>
      </c>
      <c r="L525" s="374"/>
      <c r="M525" s="368"/>
      <c r="N525" s="373">
        <f t="shared" si="72"/>
        <v>623554.15</v>
      </c>
    </row>
    <row r="526" spans="1:20">
      <c r="H526" s="733"/>
      <c r="J526" s="366">
        <v>43466</v>
      </c>
      <c r="K526" s="373">
        <f t="shared" si="71"/>
        <v>466235.70000000007</v>
      </c>
      <c r="L526" s="374"/>
      <c r="M526" s="368"/>
      <c r="N526" s="373">
        <f t="shared" si="72"/>
        <v>0</v>
      </c>
    </row>
    <row r="527" spans="1:20">
      <c r="H527" s="733"/>
      <c r="J527" s="366">
        <v>43497</v>
      </c>
      <c r="K527" s="373">
        <f t="shared" si="71"/>
        <v>0</v>
      </c>
      <c r="L527" s="374"/>
      <c r="M527" s="368"/>
      <c r="N527" s="373">
        <f t="shared" si="72"/>
        <v>251241.5</v>
      </c>
    </row>
    <row r="528" spans="1:20">
      <c r="H528" s="733"/>
      <c r="J528" s="366">
        <v>43525</v>
      </c>
      <c r="K528" s="373">
        <f t="shared" si="71"/>
        <v>0</v>
      </c>
      <c r="L528" s="374"/>
      <c r="M528" s="368"/>
      <c r="N528" s="373">
        <f t="shared" si="72"/>
        <v>319624.2</v>
      </c>
    </row>
    <row r="529" spans="5:14">
      <c r="H529" s="733"/>
      <c r="J529" s="366">
        <v>43556</v>
      </c>
      <c r="K529" s="373">
        <f t="shared" si="71"/>
        <v>450212.49999999994</v>
      </c>
      <c r="L529" s="374"/>
      <c r="M529" s="368"/>
      <c r="N529" s="373">
        <f t="shared" si="72"/>
        <v>0</v>
      </c>
    </row>
    <row r="530" spans="5:14">
      <c r="H530" s="733"/>
      <c r="J530" s="366">
        <v>43586</v>
      </c>
      <c r="K530" s="373">
        <f t="shared" si="71"/>
        <v>144000</v>
      </c>
      <c r="L530" s="374"/>
      <c r="M530" s="368"/>
      <c r="N530" s="373">
        <f t="shared" si="72"/>
        <v>0</v>
      </c>
    </row>
    <row r="531" spans="5:14">
      <c r="H531" s="733"/>
      <c r="J531" s="366">
        <v>43617</v>
      </c>
      <c r="K531" s="373">
        <f t="shared" si="71"/>
        <v>0</v>
      </c>
      <c r="L531" s="374"/>
      <c r="M531" s="368"/>
      <c r="N531" s="373">
        <f t="shared" si="72"/>
        <v>0</v>
      </c>
    </row>
    <row r="532" spans="5:14">
      <c r="H532" s="733"/>
      <c r="J532" s="366">
        <v>43647</v>
      </c>
      <c r="K532" s="373">
        <f t="shared" si="71"/>
        <v>0</v>
      </c>
      <c r="L532" s="374"/>
      <c r="M532" s="368"/>
      <c r="N532" s="373">
        <f t="shared" si="72"/>
        <v>0</v>
      </c>
    </row>
    <row r="533" spans="5:14">
      <c r="H533" s="733"/>
      <c r="J533" s="366">
        <v>43678</v>
      </c>
      <c r="K533" s="373">
        <f t="shared" si="71"/>
        <v>0</v>
      </c>
      <c r="L533" s="374"/>
      <c r="M533" s="368"/>
      <c r="N533" s="373">
        <f t="shared" si="72"/>
        <v>0</v>
      </c>
    </row>
    <row r="534" spans="5:14">
      <c r="H534" s="733"/>
      <c r="J534" s="366">
        <v>43709</v>
      </c>
      <c r="K534" s="373">
        <f t="shared" si="71"/>
        <v>0</v>
      </c>
      <c r="L534" s="374"/>
      <c r="M534" s="368"/>
      <c r="N534" s="373">
        <f t="shared" si="72"/>
        <v>0</v>
      </c>
    </row>
    <row r="535" spans="5:14">
      <c r="H535" s="733"/>
      <c r="J535" s="366">
        <v>43739</v>
      </c>
      <c r="K535" s="373">
        <f t="shared" si="71"/>
        <v>0</v>
      </c>
      <c r="L535" s="374"/>
      <c r="M535" s="368"/>
      <c r="N535" s="373">
        <f t="shared" si="72"/>
        <v>0</v>
      </c>
    </row>
    <row r="536" spans="5:14">
      <c r="H536" s="733"/>
      <c r="J536" s="366">
        <v>43770</v>
      </c>
      <c r="K536" s="373">
        <f t="shared" si="71"/>
        <v>0</v>
      </c>
      <c r="L536" s="374"/>
      <c r="M536" s="368"/>
      <c r="N536" s="373">
        <f t="shared" si="72"/>
        <v>0</v>
      </c>
    </row>
    <row r="537" spans="5:14">
      <c r="E537" s="91"/>
      <c r="H537" s="733"/>
      <c r="J537" s="366">
        <v>43800</v>
      </c>
      <c r="K537" s="373">
        <f t="shared" si="71"/>
        <v>0</v>
      </c>
      <c r="L537" s="374"/>
      <c r="M537" s="368"/>
      <c r="N537" s="373">
        <f t="shared" si="72"/>
        <v>0</v>
      </c>
    </row>
    <row r="538" spans="5:14">
      <c r="E538" s="91"/>
      <c r="H538" s="460">
        <f>SUM(H421:H537)</f>
        <v>24882003.299999993</v>
      </c>
      <c r="K538" s="375">
        <f>SUM(K422:K537)</f>
        <v>25983371.969999999</v>
      </c>
      <c r="L538" s="374"/>
      <c r="M538" s="368"/>
      <c r="N538" s="375">
        <f>SUM(N421:N537)</f>
        <v>25369153.479999993</v>
      </c>
    </row>
    <row r="539" spans="5:14">
      <c r="E539" s="91"/>
      <c r="K539" s="91">
        <f>K538-K398</f>
        <v>0</v>
      </c>
      <c r="N539" s="91">
        <f>N538-N398</f>
        <v>-83715.520000007004</v>
      </c>
    </row>
    <row r="542" spans="5:14">
      <c r="G542" s="734" t="s">
        <v>375</v>
      </c>
      <c r="H542" s="91">
        <f>N398-H538</f>
        <v>570865.70000000671</v>
      </c>
    </row>
    <row r="544" spans="5:14">
      <c r="N544" s="91"/>
    </row>
    <row r="552" spans="7:10">
      <c r="G552" s="91"/>
      <c r="I552" s="91"/>
      <c r="J552" s="91"/>
    </row>
  </sheetData>
  <autoFilter ref="A4:T399">
    <filterColumn colId="10" showButton="0"/>
    <filterColumn colId="11" showButton="0"/>
    <filterColumn colId="12" showButton="0"/>
    <filterColumn colId="13" showButton="0"/>
    <filterColumn colId="14" showButton="0"/>
    <filterColumn colId="16" showButton="0"/>
  </autoFilter>
  <mergeCells count="13">
    <mergeCell ref="D4:D5"/>
    <mergeCell ref="G4:G5"/>
    <mergeCell ref="Q399:R399"/>
    <mergeCell ref="A2:Q2"/>
    <mergeCell ref="A4:A5"/>
    <mergeCell ref="B4:B5"/>
    <mergeCell ref="C4:C5"/>
    <mergeCell ref="I4:I5"/>
    <mergeCell ref="K4:P4"/>
    <mergeCell ref="Q4:R4"/>
    <mergeCell ref="L112:L114"/>
    <mergeCell ref="M112:M114"/>
    <mergeCell ref="N112:N114"/>
  </mergeCells>
  <conditionalFormatting sqref="F6">
    <cfRule type="cellIs" dxfId="107" priority="105" operator="greaterThan">
      <formula>$D$6</formula>
    </cfRule>
  </conditionalFormatting>
  <conditionalFormatting sqref="F23">
    <cfRule type="cellIs" dxfId="106" priority="104" operator="greaterThan">
      <formula>$D$23</formula>
    </cfRule>
  </conditionalFormatting>
  <conditionalFormatting sqref="F94">
    <cfRule type="cellIs" dxfId="105" priority="103" operator="greaterThan">
      <formula>$D$94</formula>
    </cfRule>
  </conditionalFormatting>
  <conditionalFormatting sqref="F98">
    <cfRule type="cellIs" dxfId="104" priority="102" operator="greaterThan">
      <formula>$D$98</formula>
    </cfRule>
  </conditionalFormatting>
  <conditionalFormatting sqref="F158">
    <cfRule type="cellIs" dxfId="103" priority="101" operator="greaterThan">
      <formula>$D$158</formula>
    </cfRule>
  </conditionalFormatting>
  <conditionalFormatting sqref="F54">
    <cfRule type="cellIs" dxfId="102" priority="100" operator="greaterThan">
      <formula>$D$54</formula>
    </cfRule>
  </conditionalFormatting>
  <conditionalFormatting sqref="F62">
    <cfRule type="cellIs" dxfId="101" priority="99" operator="greaterThan">
      <formula>$D$62</formula>
    </cfRule>
  </conditionalFormatting>
  <conditionalFormatting sqref="F34">
    <cfRule type="cellIs" dxfId="100" priority="98" operator="greaterThan">
      <formula>$D$34</formula>
    </cfRule>
  </conditionalFormatting>
  <conditionalFormatting sqref="F44">
    <cfRule type="cellIs" dxfId="99" priority="97" operator="greaterThan">
      <formula>$D$44</formula>
    </cfRule>
  </conditionalFormatting>
  <conditionalFormatting sqref="F70">
    <cfRule type="cellIs" dxfId="98" priority="96" operator="greaterThan">
      <formula>$D$70</formula>
    </cfRule>
  </conditionalFormatting>
  <conditionalFormatting sqref="F100">
    <cfRule type="cellIs" dxfId="97" priority="95" operator="greaterThan">
      <formula>$D$100</formula>
    </cfRule>
  </conditionalFormatting>
  <conditionalFormatting sqref="F108">
    <cfRule type="cellIs" dxfId="96" priority="94" operator="greaterThan">
      <formula>$D$108</formula>
    </cfRule>
  </conditionalFormatting>
  <conditionalFormatting sqref="F78">
    <cfRule type="cellIs" dxfId="95" priority="93" operator="greaterThan">
      <formula>$D$78</formula>
    </cfRule>
  </conditionalFormatting>
  <conditionalFormatting sqref="F84">
    <cfRule type="cellIs" dxfId="94" priority="92" operator="greaterThan">
      <formula>$D$84</formula>
    </cfRule>
  </conditionalFormatting>
  <conditionalFormatting sqref="F89">
    <cfRule type="cellIs" dxfId="93" priority="91" operator="greaterThan">
      <formula>$D$89</formula>
    </cfRule>
  </conditionalFormatting>
  <conditionalFormatting sqref="F115">
    <cfRule type="cellIs" dxfId="92" priority="90" operator="greaterThan">
      <formula>$D$115</formula>
    </cfRule>
  </conditionalFormatting>
  <conditionalFormatting sqref="F163">
    <cfRule type="cellIs" dxfId="91" priority="89" operator="greaterThan">
      <formula>$D$163</formula>
    </cfRule>
  </conditionalFormatting>
  <conditionalFormatting sqref="F168">
    <cfRule type="cellIs" dxfId="90" priority="86" operator="greaterThan">
      <formula>$D$168</formula>
    </cfRule>
  </conditionalFormatting>
  <conditionalFormatting sqref="F175">
    <cfRule type="cellIs" dxfId="89" priority="85" operator="greaterThan">
      <formula>$D$175</formula>
    </cfRule>
  </conditionalFormatting>
  <conditionalFormatting sqref="F123">
    <cfRule type="cellIs" dxfId="88" priority="84" operator="greaterThan">
      <formula>$D$123</formula>
    </cfRule>
  </conditionalFormatting>
  <conditionalFormatting sqref="F131">
    <cfRule type="cellIs" dxfId="87" priority="83" operator="greaterThan">
      <formula>$D$131</formula>
    </cfRule>
  </conditionalFormatting>
  <conditionalFormatting sqref="F137">
    <cfRule type="cellIs" dxfId="86" priority="82" operator="greaterThan">
      <formula>$D$137</formula>
    </cfRule>
  </conditionalFormatting>
  <conditionalFormatting sqref="F177">
    <cfRule type="cellIs" dxfId="85" priority="81" operator="greaterThan">
      <formula>$D$177</formula>
    </cfRule>
  </conditionalFormatting>
  <conditionalFormatting sqref="F229">
    <cfRule type="cellIs" dxfId="84" priority="79" operator="greaterThan">
      <formula>$D$229</formula>
    </cfRule>
  </conditionalFormatting>
  <conditionalFormatting sqref="F143">
    <cfRule type="cellIs" dxfId="83" priority="78" operator="greaterThan">
      <formula>$D$143</formula>
    </cfRule>
  </conditionalFormatting>
  <conditionalFormatting sqref="F148">
    <cfRule type="cellIs" dxfId="82" priority="77" operator="greaterThan">
      <formula>$D$148</formula>
    </cfRule>
  </conditionalFormatting>
  <conditionalFormatting sqref="F153">
    <cfRule type="cellIs" dxfId="81" priority="76" operator="greaterThan">
      <formula>$D$153</formula>
    </cfRule>
  </conditionalFormatting>
  <conditionalFormatting sqref="F231">
    <cfRule type="cellIs" dxfId="80" priority="75" operator="greaterThan">
      <formula>$D$231</formula>
    </cfRule>
  </conditionalFormatting>
  <conditionalFormatting sqref="F233">
    <cfRule type="cellIs" dxfId="79" priority="74" operator="greaterThan">
      <formula>$D$233</formula>
    </cfRule>
  </conditionalFormatting>
  <conditionalFormatting sqref="F243">
    <cfRule type="cellIs" dxfId="78" priority="73" operator="greaterThan">
      <formula>$D$243</formula>
    </cfRule>
  </conditionalFormatting>
  <conditionalFormatting sqref="F195">
    <cfRule type="cellIs" dxfId="77" priority="72" operator="greaterThan">
      <formula>D195</formula>
    </cfRule>
  </conditionalFormatting>
  <conditionalFormatting sqref="H6">
    <cfRule type="cellIs" dxfId="76" priority="64" operator="greaterThan">
      <formula>$G$6</formula>
    </cfRule>
  </conditionalFormatting>
  <conditionalFormatting sqref="H23">
    <cfRule type="cellIs" dxfId="75" priority="63" operator="greaterThan">
      <formula>G23</formula>
    </cfRule>
  </conditionalFormatting>
  <conditionalFormatting sqref="H34">
    <cfRule type="cellIs" dxfId="74" priority="62" operator="greaterThan">
      <formula>$G$6</formula>
    </cfRule>
  </conditionalFormatting>
  <conditionalFormatting sqref="H44">
    <cfRule type="cellIs" dxfId="73" priority="61" operator="greaterThan">
      <formula>$G$6</formula>
    </cfRule>
  </conditionalFormatting>
  <conditionalFormatting sqref="H54">
    <cfRule type="cellIs" dxfId="72" priority="59" operator="greaterThan">
      <formula>$G$6</formula>
    </cfRule>
  </conditionalFormatting>
  <conditionalFormatting sqref="H62">
    <cfRule type="cellIs" dxfId="71" priority="58" operator="greaterThan">
      <formula>$G$6</formula>
    </cfRule>
  </conditionalFormatting>
  <conditionalFormatting sqref="H70">
    <cfRule type="cellIs" dxfId="70" priority="57" operator="greaterThan">
      <formula>$G$6</formula>
    </cfRule>
  </conditionalFormatting>
  <conditionalFormatting sqref="H78">
    <cfRule type="cellIs" dxfId="69" priority="56" operator="greaterThan">
      <formula>$G$6</formula>
    </cfRule>
  </conditionalFormatting>
  <conditionalFormatting sqref="H84">
    <cfRule type="cellIs" dxfId="68" priority="55" operator="greaterThan">
      <formula>$G$6</formula>
    </cfRule>
  </conditionalFormatting>
  <conditionalFormatting sqref="H89">
    <cfRule type="cellIs" dxfId="67" priority="54" operator="greaterThan">
      <formula>$G$6</formula>
    </cfRule>
  </conditionalFormatting>
  <conditionalFormatting sqref="H94">
    <cfRule type="cellIs" dxfId="66" priority="53" operator="greaterThan">
      <formula>G94</formula>
    </cfRule>
  </conditionalFormatting>
  <conditionalFormatting sqref="F197">
    <cfRule type="cellIs" dxfId="65" priority="52" operator="greaterThan">
      <formula>D197</formula>
    </cfRule>
  </conditionalFormatting>
  <conditionalFormatting sqref="F204">
    <cfRule type="cellIs" dxfId="64" priority="51" operator="greaterThan">
      <formula>D204</formula>
    </cfRule>
  </conditionalFormatting>
  <conditionalFormatting sqref="F245:F249">
    <cfRule type="cellIs" dxfId="63" priority="50" operator="greaterThan">
      <formula>D245</formula>
    </cfRule>
  </conditionalFormatting>
  <conditionalFormatting sqref="F251">
    <cfRule type="cellIs" dxfId="62" priority="49" operator="greaterThan">
      <formula>D251</formula>
    </cfRule>
  </conditionalFormatting>
  <conditionalFormatting sqref="F212:F215">
    <cfRule type="cellIs" dxfId="61" priority="48" operator="greaterThan">
      <formula>D212</formula>
    </cfRule>
  </conditionalFormatting>
  <conditionalFormatting sqref="F253:F258">
    <cfRule type="cellIs" dxfId="60" priority="47" operator="greaterThan">
      <formula>D253</formula>
    </cfRule>
  </conditionalFormatting>
  <conditionalFormatting sqref="F268">
    <cfRule type="cellIs" dxfId="59" priority="46" operator="greaterThan">
      <formula>D268</formula>
    </cfRule>
  </conditionalFormatting>
  <conditionalFormatting sqref="F217">
    <cfRule type="cellIs" dxfId="58" priority="44" operator="greaterThan">
      <formula>D217</formula>
    </cfRule>
  </conditionalFormatting>
  <conditionalFormatting sqref="H98">
    <cfRule type="cellIs" dxfId="57" priority="43" operator="greaterThan">
      <formula>G98</formula>
    </cfRule>
  </conditionalFormatting>
  <conditionalFormatting sqref="H100">
    <cfRule type="cellIs" dxfId="56" priority="42" operator="greaterThan">
      <formula>G100</formula>
    </cfRule>
  </conditionalFormatting>
  <conditionalFormatting sqref="H108">
    <cfRule type="cellIs" dxfId="55" priority="41" operator="greaterThan">
      <formula>G108</formula>
    </cfRule>
  </conditionalFormatting>
  <conditionalFormatting sqref="H115">
    <cfRule type="cellIs" dxfId="54" priority="40" operator="greaterThan">
      <formula>G115</formula>
    </cfRule>
  </conditionalFormatting>
  <conditionalFormatting sqref="H123">
    <cfRule type="cellIs" dxfId="53" priority="39" operator="greaterThan">
      <formula>G123</formula>
    </cfRule>
  </conditionalFormatting>
  <conditionalFormatting sqref="H131">
    <cfRule type="cellIs" dxfId="52" priority="38" operator="greaterThan">
      <formula>G131</formula>
    </cfRule>
  </conditionalFormatting>
  <conditionalFormatting sqref="H137">
    <cfRule type="cellIs" dxfId="51" priority="37" operator="greaterThan">
      <formula>G137</formula>
    </cfRule>
  </conditionalFormatting>
  <conditionalFormatting sqref="H229">
    <cfRule type="cellIs" dxfId="50" priority="36" operator="greaterThan">
      <formula>G229</formula>
    </cfRule>
  </conditionalFormatting>
  <conditionalFormatting sqref="H143">
    <cfRule type="cellIs" dxfId="49" priority="35" operator="greaterThan">
      <formula>G143</formula>
    </cfRule>
  </conditionalFormatting>
  <conditionalFormatting sqref="H148">
    <cfRule type="cellIs" dxfId="48" priority="34" operator="greaterThan">
      <formula>G148</formula>
    </cfRule>
  </conditionalFormatting>
  <conditionalFormatting sqref="H153">
    <cfRule type="cellIs" dxfId="47" priority="33" operator="greaterThan">
      <formula>G153</formula>
    </cfRule>
  </conditionalFormatting>
  <conditionalFormatting sqref="H158">
    <cfRule type="cellIs" dxfId="46" priority="32" operator="greaterThan">
      <formula>G158</formula>
    </cfRule>
  </conditionalFormatting>
  <conditionalFormatting sqref="H163">
    <cfRule type="cellIs" dxfId="45" priority="31" operator="greaterThan">
      <formula>G163</formula>
    </cfRule>
  </conditionalFormatting>
  <conditionalFormatting sqref="H177">
    <cfRule type="cellIs" dxfId="44" priority="28" operator="greaterThan">
      <formula>G177</formula>
    </cfRule>
  </conditionalFormatting>
  <conditionalFormatting sqref="H233">
    <cfRule type="cellIs" dxfId="43" priority="25" operator="greaterThan">
      <formula>G233</formula>
    </cfRule>
  </conditionalFormatting>
  <conditionalFormatting sqref="H243">
    <cfRule type="cellIs" dxfId="42" priority="24" operator="greaterThan">
      <formula>G243</formula>
    </cfRule>
  </conditionalFormatting>
  <conditionalFormatting sqref="H195">
    <cfRule type="cellIs" dxfId="41" priority="23" operator="greaterThan">
      <formula>G195</formula>
    </cfRule>
  </conditionalFormatting>
  <conditionalFormatting sqref="H197">
    <cfRule type="cellIs" dxfId="40" priority="22" operator="greaterThan">
      <formula>G197</formula>
    </cfRule>
  </conditionalFormatting>
  <conditionalFormatting sqref="H245:H249">
    <cfRule type="cellIs" dxfId="39" priority="20" operator="greaterThan">
      <formula>G245</formula>
    </cfRule>
  </conditionalFormatting>
  <conditionalFormatting sqref="H251">
    <cfRule type="cellIs" dxfId="38" priority="19" operator="greaterThan">
      <formula>G251</formula>
    </cfRule>
  </conditionalFormatting>
  <conditionalFormatting sqref="H211:H215">
    <cfRule type="cellIs" dxfId="37" priority="18" operator="greaterThan">
      <formula>G211</formula>
    </cfRule>
  </conditionalFormatting>
  <conditionalFormatting sqref="H253:H258">
    <cfRule type="cellIs" dxfId="36" priority="17" operator="greaterThan">
      <formula>G253</formula>
    </cfRule>
  </conditionalFormatting>
  <conditionalFormatting sqref="H217">
    <cfRule type="cellIs" dxfId="35" priority="15" operator="greaterThan">
      <formula>G217</formula>
    </cfRule>
  </conditionalFormatting>
  <conditionalFormatting sqref="F274">
    <cfRule type="cellIs" dxfId="34" priority="12" operator="greaterThan">
      <formula>D274</formula>
    </cfRule>
  </conditionalFormatting>
  <conditionalFormatting sqref="H274">
    <cfRule type="cellIs" dxfId="33" priority="11" operator="greaterThan">
      <formula>G274</formula>
    </cfRule>
  </conditionalFormatting>
  <conditionalFormatting sqref="F276:F282">
    <cfRule type="cellIs" dxfId="32" priority="10" operator="greaterThan">
      <formula>D276</formula>
    </cfRule>
  </conditionalFormatting>
  <conditionalFormatting sqref="H276:H282">
    <cfRule type="cellIs" dxfId="31" priority="9" operator="greaterThan">
      <formula>G276</formula>
    </cfRule>
  </conditionalFormatting>
  <conditionalFormatting sqref="F284:F289">
    <cfRule type="cellIs" dxfId="30" priority="8" operator="greaterThan">
      <formula>D284</formula>
    </cfRule>
  </conditionalFormatting>
  <conditionalFormatting sqref="H284:H289">
    <cfRule type="cellIs" dxfId="29" priority="7" operator="greaterThan">
      <formula>G284</formula>
    </cfRule>
  </conditionalFormatting>
  <conditionalFormatting sqref="F190">
    <cfRule type="cellIs" dxfId="28" priority="6" operator="greaterThan">
      <formula>$D$184</formula>
    </cfRule>
  </conditionalFormatting>
  <conditionalFormatting sqref="H190">
    <cfRule type="cellIs" dxfId="27" priority="5" operator="greaterThan">
      <formula>G190</formula>
    </cfRule>
  </conditionalFormatting>
  <conditionalFormatting sqref="F184">
    <cfRule type="cellIs" dxfId="26" priority="4" operator="greaterThan">
      <formula>$D$231</formula>
    </cfRule>
  </conditionalFormatting>
  <conditionalFormatting sqref="H268">
    <cfRule type="cellIs" dxfId="25" priority="2" operator="greaterThan">
      <formula>G268</formula>
    </cfRule>
  </conditionalFormatting>
  <conditionalFormatting sqref="H260">
    <cfRule type="cellIs" dxfId="24" priority="1" operator="greaterThan">
      <formula>G260</formula>
    </cfRule>
  </conditionalFormatting>
  <pageMargins left="0.70866141732283472" right="0.70866141732283472" top="0.74803149606299213" bottom="0.74803149606299213" header="0.31496062992125984" footer="0.31496062992125984"/>
  <pageSetup paperSize="8" scale="70" orientation="landscape" r:id="rId1"/>
  <rowBreaks count="1" manualBreakCount="1">
    <brk id="167" max="17" man="1"/>
  </rowBreaks>
  <colBreaks count="1" manualBreakCount="1">
    <brk id="20" max="255" man="1"/>
  </colBreaks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FF66CC"/>
    <outlinePr summaryBelow="0"/>
  </sheetPr>
  <dimension ref="A1:U78"/>
  <sheetViews>
    <sheetView zoomScale="70" zoomScaleNormal="70" workbookViewId="0">
      <selection activeCell="A7" sqref="A7"/>
    </sheetView>
  </sheetViews>
  <sheetFormatPr defaultColWidth="11.42578125" defaultRowHeight="12.75" outlineLevelRow="1" outlineLevelCol="1"/>
  <cols>
    <col min="1" max="1" width="27.7109375" style="6" customWidth="1"/>
    <col min="2" max="2" width="17.42578125" style="1" customWidth="1" outlineLevel="1"/>
    <col min="3" max="3" width="14.28515625" style="1" customWidth="1"/>
    <col min="4" max="5" width="15.140625" style="1" customWidth="1"/>
    <col min="6" max="6" width="11.5703125" style="181" customWidth="1"/>
    <col min="7" max="7" width="16.140625" style="1" customWidth="1"/>
    <col min="8" max="8" width="13" style="1" customWidth="1"/>
    <col min="9" max="10" width="17.5703125" style="1" customWidth="1"/>
    <col min="11" max="11" width="16" style="1" customWidth="1"/>
    <col min="12" max="12" width="4.140625" style="6" bestFit="1" customWidth="1"/>
    <col min="13" max="13" width="10.42578125" style="1" bestFit="1" customWidth="1"/>
    <col min="14" max="14" width="16" style="1" customWidth="1"/>
    <col min="15" max="15" width="10.42578125" style="83" bestFit="1" customWidth="1"/>
    <col min="16" max="16" width="18.5703125" style="77" bestFit="1" customWidth="1"/>
    <col min="17" max="17" width="17.5703125" style="1" customWidth="1"/>
    <col min="18" max="19" width="18.7109375" style="1" customWidth="1"/>
    <col min="20" max="20" width="11.42578125" style="166"/>
    <col min="21" max="16384" width="11.42578125" style="1"/>
  </cols>
  <sheetData>
    <row r="1" spans="1:21">
      <c r="K1" s="91"/>
    </row>
    <row r="2" spans="1:21">
      <c r="A2" s="1027" t="s">
        <v>318</v>
      </c>
      <c r="B2" s="1027"/>
      <c r="C2" s="1027"/>
      <c r="D2" s="1027"/>
      <c r="E2" s="1027"/>
      <c r="F2" s="1027"/>
      <c r="G2" s="1027"/>
      <c r="H2" s="1027"/>
      <c r="I2" s="1027"/>
      <c r="J2" s="1027"/>
      <c r="K2" s="1027"/>
      <c r="L2" s="1027"/>
      <c r="M2" s="1027"/>
      <c r="N2" s="1027"/>
      <c r="O2" s="1027"/>
      <c r="P2" s="1027"/>
      <c r="Q2" s="1027"/>
      <c r="R2" s="9">
        <f ca="1">TODAY()</f>
        <v>43599</v>
      </c>
      <c r="S2" s="9"/>
    </row>
    <row r="3" spans="1:21">
      <c r="Q3" s="91"/>
    </row>
    <row r="4" spans="1:21" s="2" customFormat="1" ht="24" customHeight="1">
      <c r="A4" s="1044" t="s">
        <v>2</v>
      </c>
      <c r="B4" s="1032" t="s">
        <v>0</v>
      </c>
      <c r="C4" s="1032" t="s">
        <v>21</v>
      </c>
      <c r="D4" s="1044" t="s">
        <v>324</v>
      </c>
      <c r="E4" s="568" t="s">
        <v>227</v>
      </c>
      <c r="F4" s="171" t="s">
        <v>99</v>
      </c>
      <c r="G4" s="1044" t="s">
        <v>367</v>
      </c>
      <c r="H4" s="568" t="s">
        <v>100</v>
      </c>
      <c r="I4" s="1032" t="s">
        <v>12</v>
      </c>
      <c r="J4" s="919" t="s">
        <v>408</v>
      </c>
      <c r="K4" s="1028" t="s">
        <v>4</v>
      </c>
      <c r="L4" s="1029"/>
      <c r="M4" s="1029"/>
      <c r="N4" s="1029"/>
      <c r="O4" s="1029"/>
      <c r="P4" s="1030"/>
      <c r="Q4" s="1031" t="s">
        <v>13</v>
      </c>
      <c r="R4" s="1032"/>
      <c r="S4" s="3" t="s">
        <v>96</v>
      </c>
      <c r="T4" s="167"/>
      <c r="U4" s="63"/>
    </row>
    <row r="5" spans="1:21" s="13" customFormat="1" ht="13.5" customHeight="1">
      <c r="A5" s="1045"/>
      <c r="B5" s="1046"/>
      <c r="C5" s="1046"/>
      <c r="D5" s="1045"/>
      <c r="E5" s="569"/>
      <c r="F5" s="172"/>
      <c r="G5" s="1045"/>
      <c r="H5" s="569"/>
      <c r="I5" s="1046"/>
      <c r="J5" s="947"/>
      <c r="K5" s="10" t="s">
        <v>1</v>
      </c>
      <c r="L5" s="11" t="s">
        <v>3</v>
      </c>
      <c r="M5" s="11" t="s">
        <v>15</v>
      </c>
      <c r="N5" s="12" t="s">
        <v>14</v>
      </c>
      <c r="O5" s="84" t="s">
        <v>15</v>
      </c>
      <c r="P5" s="78" t="s">
        <v>18</v>
      </c>
      <c r="Q5" s="3" t="s">
        <v>20</v>
      </c>
      <c r="R5" s="3" t="s">
        <v>19</v>
      </c>
      <c r="S5" s="3"/>
      <c r="T5" s="168"/>
    </row>
    <row r="6" spans="1:21" s="572" customFormat="1" ht="15.95" customHeight="1">
      <c r="A6" s="119" t="s">
        <v>319</v>
      </c>
      <c r="B6" s="120" t="s">
        <v>327</v>
      </c>
      <c r="C6" s="598">
        <v>43005</v>
      </c>
      <c r="D6" s="593">
        <f>DATE(YEAR(C6),MONTH(C6)+12,DAY(C6))</f>
        <v>43370</v>
      </c>
      <c r="E6" s="593">
        <v>43328</v>
      </c>
      <c r="F6" s="173"/>
      <c r="G6" s="593">
        <f>DATE(YEAR(C6)+2,MONTH(C6),DAY(C6))</f>
        <v>43735</v>
      </c>
      <c r="H6" s="593"/>
      <c r="I6" s="595">
        <v>18200</v>
      </c>
      <c r="J6" s="595"/>
      <c r="K6" s="595"/>
      <c r="L6" s="607"/>
      <c r="M6" s="592"/>
      <c r="N6" s="597">
        <f>SUM(N7:N9)</f>
        <v>3640</v>
      </c>
      <c r="O6" s="598"/>
      <c r="P6" s="599"/>
      <c r="Q6" s="594">
        <f>SUM(Q7:Q9)</f>
        <v>0</v>
      </c>
      <c r="R6" s="594">
        <f>SUM(R7:R9)</f>
        <v>14560</v>
      </c>
      <c r="S6" s="594"/>
      <c r="T6" s="571">
        <f>I6-(N6+Q6+R6)</f>
        <v>0</v>
      </c>
    </row>
    <row r="7" spans="1:21" s="220" customFormat="1" ht="15.95" customHeight="1" outlineLevel="1">
      <c r="A7" s="46" t="s">
        <v>319</v>
      </c>
      <c r="B7" s="573"/>
      <c r="C7" s="574"/>
      <c r="D7" s="574"/>
      <c r="E7" s="574"/>
      <c r="F7" s="174"/>
      <c r="G7" s="574"/>
      <c r="H7" s="574"/>
      <c r="I7" s="1006"/>
      <c r="J7" s="1007">
        <v>0.2</v>
      </c>
      <c r="K7" s="576">
        <f>+I6*J7</f>
        <v>3640</v>
      </c>
      <c r="L7" s="217">
        <v>1</v>
      </c>
      <c r="M7" s="570">
        <v>43333</v>
      </c>
      <c r="N7" s="576">
        <v>3640</v>
      </c>
      <c r="O7" s="570">
        <v>43385</v>
      </c>
      <c r="P7" s="578"/>
      <c r="Q7" s="579" t="str">
        <f>IF(N7="en attente",K7,"")</f>
        <v/>
      </c>
      <c r="R7" s="579">
        <f>IF(M7="",K7-N7,0)</f>
        <v>0</v>
      </c>
      <c r="S7" s="579"/>
      <c r="T7" s="571"/>
    </row>
    <row r="8" spans="1:21" s="220" customFormat="1" ht="15.95" customHeight="1" outlineLevel="1">
      <c r="A8" s="46" t="s">
        <v>319</v>
      </c>
      <c r="B8" s="573"/>
      <c r="C8" s="574"/>
      <c r="D8" s="574"/>
      <c r="E8" s="574"/>
      <c r="F8" s="174"/>
      <c r="G8" s="574"/>
      <c r="H8" s="574"/>
      <c r="I8" s="1006"/>
      <c r="J8" s="1007">
        <v>0.8</v>
      </c>
      <c r="K8" s="576">
        <f>+I6*J8-K7</f>
        <v>10920</v>
      </c>
      <c r="L8" s="217">
        <v>2</v>
      </c>
      <c r="M8" s="574"/>
      <c r="N8" s="577"/>
      <c r="O8" s="609"/>
      <c r="P8" s="578"/>
      <c r="Q8" s="579" t="str">
        <f t="shared" ref="Q8:Q9" si="0">IF(N8="en attente",K8,"")</f>
        <v/>
      </c>
      <c r="R8" s="579">
        <f>IF(M8="",K8-N8,0)</f>
        <v>10920</v>
      </c>
      <c r="S8" s="579"/>
      <c r="T8" s="571"/>
    </row>
    <row r="9" spans="1:21" s="220" customFormat="1" ht="15.95" customHeight="1" outlineLevel="1">
      <c r="A9" s="46" t="s">
        <v>319</v>
      </c>
      <c r="B9" s="573"/>
      <c r="C9" s="574"/>
      <c r="D9" s="574"/>
      <c r="E9" s="574"/>
      <c r="F9" s="174"/>
      <c r="G9" s="574"/>
      <c r="H9" s="574"/>
      <c r="I9" s="1006"/>
      <c r="J9" s="1007">
        <v>1</v>
      </c>
      <c r="K9" s="576">
        <f>+I6-K7-K8</f>
        <v>3640</v>
      </c>
      <c r="L9" s="217">
        <v>3</v>
      </c>
      <c r="M9" s="574"/>
      <c r="N9" s="577"/>
      <c r="O9" s="609"/>
      <c r="P9" s="578"/>
      <c r="Q9" s="579" t="str">
        <f t="shared" si="0"/>
        <v/>
      </c>
      <c r="R9" s="579">
        <f>IF(M9="",K9-N9,0)</f>
        <v>3640</v>
      </c>
      <c r="S9" s="579"/>
      <c r="T9" s="571"/>
    </row>
    <row r="10" spans="1:21" s="220" customFormat="1" ht="15.95" customHeight="1">
      <c r="A10" s="119" t="s">
        <v>320</v>
      </c>
      <c r="B10" s="592" t="s">
        <v>322</v>
      </c>
      <c r="C10" s="593">
        <v>43005</v>
      </c>
      <c r="D10" s="593">
        <f>DATE(YEAR(C10),MONTH(C10)+12,DAY(C10))</f>
        <v>43370</v>
      </c>
      <c r="E10" s="593">
        <v>43328</v>
      </c>
      <c r="F10" s="259"/>
      <c r="G10" s="593">
        <f>DATE(YEAR(C10)+2,MONTH(C10),DAY(C10))</f>
        <v>43735</v>
      </c>
      <c r="H10" s="601"/>
      <c r="I10" s="595">
        <v>47320</v>
      </c>
      <c r="J10" s="595"/>
      <c r="K10" s="602"/>
      <c r="L10" s="603"/>
      <c r="M10" s="601"/>
      <c r="N10" s="597">
        <f>SUM(N11:N13)</f>
        <v>9464</v>
      </c>
      <c r="O10" s="604"/>
      <c r="P10" s="605"/>
      <c r="Q10" s="600">
        <f>SUM(Q11:Q13)</f>
        <v>0</v>
      </c>
      <c r="R10" s="600">
        <f>SUM(R11:R13)</f>
        <v>37856</v>
      </c>
      <c r="S10" s="606"/>
      <c r="T10" s="571">
        <f>I10-(N10+Q10+R10)</f>
        <v>0</v>
      </c>
    </row>
    <row r="11" spans="1:21" s="220" customFormat="1" ht="15.95" customHeight="1" outlineLevel="1">
      <c r="A11" s="46" t="s">
        <v>320</v>
      </c>
      <c r="B11" s="694"/>
      <c r="C11" s="695"/>
      <c r="D11" s="695"/>
      <c r="E11" s="695"/>
      <c r="F11" s="174"/>
      <c r="G11" s="695"/>
      <c r="H11" s="574"/>
      <c r="I11" s="1006"/>
      <c r="J11" s="1008">
        <v>0.2</v>
      </c>
      <c r="K11" s="576">
        <f>+I10*20%</f>
        <v>9464</v>
      </c>
      <c r="L11" s="217">
        <v>1</v>
      </c>
      <c r="M11" s="574">
        <v>43333</v>
      </c>
      <c r="N11" s="577">
        <v>9464</v>
      </c>
      <c r="O11" s="609">
        <v>43385</v>
      </c>
      <c r="P11" s="578"/>
      <c r="Q11" s="579" t="str">
        <f>IF(N11="en attente",K11,"")</f>
        <v/>
      </c>
      <c r="R11" s="579"/>
      <c r="S11" s="579"/>
      <c r="T11" s="571"/>
    </row>
    <row r="12" spans="1:21" s="220" customFormat="1" ht="15.95" customHeight="1" outlineLevel="1">
      <c r="A12" s="46" t="s">
        <v>320</v>
      </c>
      <c r="B12" s="694"/>
      <c r="C12" s="695"/>
      <c r="D12" s="695"/>
      <c r="E12" s="695"/>
      <c r="F12" s="174"/>
      <c r="G12" s="695"/>
      <c r="H12" s="574"/>
      <c r="I12" s="1006"/>
      <c r="J12" s="1008">
        <v>0.8</v>
      </c>
      <c r="K12" s="576">
        <f>+I10*J12-K11</f>
        <v>28392</v>
      </c>
      <c r="L12" s="217">
        <v>2</v>
      </c>
      <c r="M12" s="574"/>
      <c r="N12" s="696"/>
      <c r="O12" s="609"/>
      <c r="P12" s="578"/>
      <c r="Q12" s="579" t="str">
        <f t="shared" ref="Q12:Q13" si="1">IF(N12="en attente",K12,"")</f>
        <v/>
      </c>
      <c r="R12" s="579">
        <f>IF(M12="",K12-N12,0)</f>
        <v>28392</v>
      </c>
      <c r="S12" s="579"/>
      <c r="T12" s="571"/>
    </row>
    <row r="13" spans="1:21" s="220" customFormat="1" ht="15.95" customHeight="1" outlineLevel="1">
      <c r="A13" s="46" t="s">
        <v>320</v>
      </c>
      <c r="B13" s="580"/>
      <c r="C13" s="581"/>
      <c r="D13" s="581"/>
      <c r="E13" s="581"/>
      <c r="F13" s="176"/>
      <c r="G13" s="581"/>
      <c r="H13" s="581"/>
      <c r="I13" s="1006"/>
      <c r="J13" s="1008">
        <v>1</v>
      </c>
      <c r="K13" s="698">
        <f>+I10-K11-K12</f>
        <v>9464</v>
      </c>
      <c r="L13" s="697">
        <v>3</v>
      </c>
      <c r="M13" s="574"/>
      <c r="N13" s="577"/>
      <c r="O13" s="570"/>
      <c r="P13" s="578"/>
      <c r="Q13" s="579" t="str">
        <f t="shared" si="1"/>
        <v/>
      </c>
      <c r="R13" s="579">
        <f>IF(M13="",K13-N13,0)</f>
        <v>9464</v>
      </c>
      <c r="S13" s="579"/>
      <c r="T13" s="571"/>
    </row>
    <row r="14" spans="1:21" s="572" customFormat="1" ht="15.95" customHeight="1">
      <c r="A14" s="119" t="s">
        <v>321</v>
      </c>
      <c r="B14" s="592" t="s">
        <v>323</v>
      </c>
      <c r="C14" s="593">
        <v>43005</v>
      </c>
      <c r="D14" s="593">
        <f>DATE(YEAR(C14),MONTH(C14)+12,DAY(C14))</f>
        <v>43370</v>
      </c>
      <c r="E14" s="593">
        <v>43368</v>
      </c>
      <c r="F14" s="173"/>
      <c r="G14" s="593">
        <f>DATE(YEAR(C14)+2,MONTH(C14),DAY(C14))</f>
        <v>43735</v>
      </c>
      <c r="H14" s="593"/>
      <c r="I14" s="595">
        <v>10920</v>
      </c>
      <c r="J14" s="595"/>
      <c r="K14" s="595"/>
      <c r="L14" s="596"/>
      <c r="M14" s="593"/>
      <c r="N14" s="597">
        <f>SUM(N15:N17)</f>
        <v>2184</v>
      </c>
      <c r="O14" s="598"/>
      <c r="P14" s="599"/>
      <c r="Q14" s="600">
        <f>SUM(Q15:Q17)</f>
        <v>0</v>
      </c>
      <c r="R14" s="600">
        <f>SUM(R15:R17)</f>
        <v>8736</v>
      </c>
      <c r="S14" s="600"/>
      <c r="T14" s="571">
        <f>I14-(N14+Q14+R14)</f>
        <v>0</v>
      </c>
    </row>
    <row r="15" spans="1:21" s="572" customFormat="1" ht="15.95" customHeight="1" outlineLevel="1">
      <c r="A15" s="46" t="s">
        <v>321</v>
      </c>
      <c r="B15" s="694"/>
      <c r="C15" s="695"/>
      <c r="D15" s="695"/>
      <c r="E15" s="695"/>
      <c r="F15" s="178"/>
      <c r="G15" s="695"/>
      <c r="H15" s="695"/>
      <c r="I15" s="1009"/>
      <c r="J15" s="1010">
        <v>0.2</v>
      </c>
      <c r="K15" s="576">
        <f>+I14*J15</f>
        <v>2184</v>
      </c>
      <c r="L15" s="217">
        <v>1</v>
      </c>
      <c r="M15" s="574">
        <v>43370</v>
      </c>
      <c r="N15" s="577">
        <v>2184</v>
      </c>
      <c r="O15" s="609">
        <v>43420</v>
      </c>
      <c r="P15" s="717"/>
      <c r="Q15" s="579" t="str">
        <f>IF(N15="en attente",K15,"")</f>
        <v/>
      </c>
      <c r="R15" s="718"/>
      <c r="S15" s="718"/>
      <c r="T15" s="571"/>
    </row>
    <row r="16" spans="1:21" s="572" customFormat="1" ht="15.95" customHeight="1" outlineLevel="1">
      <c r="A16" s="46" t="s">
        <v>321</v>
      </c>
      <c r="B16" s="694"/>
      <c r="C16" s="695"/>
      <c r="D16" s="695"/>
      <c r="E16" s="695"/>
      <c r="F16" s="178"/>
      <c r="G16" s="695"/>
      <c r="H16" s="695"/>
      <c r="I16" s="1009"/>
      <c r="J16" s="1010">
        <v>0.8</v>
      </c>
      <c r="K16" s="576">
        <f>+I14*J16-K15</f>
        <v>6552</v>
      </c>
      <c r="L16" s="217">
        <v>2</v>
      </c>
      <c r="M16" s="695"/>
      <c r="N16" s="696"/>
      <c r="O16" s="716"/>
      <c r="P16" s="717"/>
      <c r="Q16" s="579" t="str">
        <f t="shared" ref="Q16:Q17" si="2">IF(N16="en attente",K16,"")</f>
        <v/>
      </c>
      <c r="R16" s="579">
        <f>IF(M16="",K16-N16,0)</f>
        <v>6552</v>
      </c>
      <c r="S16" s="718"/>
      <c r="T16" s="571"/>
    </row>
    <row r="17" spans="1:20" s="220" customFormat="1" ht="15.95" customHeight="1" outlineLevel="1">
      <c r="A17" s="46" t="s">
        <v>321</v>
      </c>
      <c r="B17" s="573"/>
      <c r="C17" s="574"/>
      <c r="D17" s="574"/>
      <c r="E17" s="574"/>
      <c r="F17" s="174"/>
      <c r="G17" s="574"/>
      <c r="H17" s="574"/>
      <c r="I17" s="1006"/>
      <c r="J17" s="1008">
        <v>1</v>
      </c>
      <c r="K17" s="576">
        <f>+I14-K15-K16</f>
        <v>2184</v>
      </c>
      <c r="L17" s="217">
        <v>3</v>
      </c>
      <c r="M17" s="574"/>
      <c r="N17" s="577"/>
      <c r="O17" s="570"/>
      <c r="P17" s="578"/>
      <c r="Q17" s="579" t="str">
        <f t="shared" si="2"/>
        <v/>
      </c>
      <c r="R17" s="579">
        <f>IF(M17="",K17-N17,0)</f>
        <v>2184</v>
      </c>
      <c r="S17" s="579"/>
      <c r="T17" s="571"/>
    </row>
    <row r="18" spans="1:20" s="572" customFormat="1" ht="15.95" customHeight="1">
      <c r="A18" s="119" t="s">
        <v>325</v>
      </c>
      <c r="B18" s="592" t="s">
        <v>326</v>
      </c>
      <c r="C18" s="593">
        <v>43032</v>
      </c>
      <c r="D18" s="593">
        <f>DATE(YEAR(C18),MONTH(C18)+12,DAY(C18))</f>
        <v>43397</v>
      </c>
      <c r="E18" s="593">
        <v>43362</v>
      </c>
      <c r="F18" s="173"/>
      <c r="G18" s="593">
        <f>DATE(YEAR(C18)+2,MONTH(C18),DAY(C18))</f>
        <v>43762</v>
      </c>
      <c r="H18" s="593"/>
      <c r="I18" s="595">
        <v>281250</v>
      </c>
      <c r="J18" s="595"/>
      <c r="K18" s="595"/>
      <c r="L18" s="596"/>
      <c r="M18" s="593"/>
      <c r="N18" s="597">
        <f>SUM(N19:N21)</f>
        <v>56250</v>
      </c>
      <c r="O18" s="598"/>
      <c r="P18" s="599"/>
      <c r="Q18" s="600">
        <f>SUM(Q19:Q21)</f>
        <v>0</v>
      </c>
      <c r="R18" s="600">
        <f>SUM(R19:R21)</f>
        <v>225000</v>
      </c>
      <c r="S18" s="600"/>
      <c r="T18" s="571">
        <f>I18-(N18+Q18+R18)</f>
        <v>0</v>
      </c>
    </row>
    <row r="19" spans="1:20" s="572" customFormat="1" ht="15.95" customHeight="1" outlineLevel="1">
      <c r="A19" s="46" t="s">
        <v>325</v>
      </c>
      <c r="B19" s="694"/>
      <c r="C19" s="695"/>
      <c r="D19" s="695"/>
      <c r="E19" s="695"/>
      <c r="F19" s="178"/>
      <c r="G19" s="695"/>
      <c r="H19" s="695"/>
      <c r="I19" s="1009"/>
      <c r="J19" s="1010">
        <v>0.2</v>
      </c>
      <c r="K19" s="576">
        <f>+I18*J19</f>
        <v>56250</v>
      </c>
      <c r="L19" s="217">
        <v>1</v>
      </c>
      <c r="M19" s="574">
        <v>43370</v>
      </c>
      <c r="N19" s="577">
        <v>56250</v>
      </c>
      <c r="O19" s="609">
        <v>43420</v>
      </c>
      <c r="P19" s="717"/>
      <c r="Q19" s="579" t="str">
        <f>IF(N19="en attente",K19,"")</f>
        <v/>
      </c>
      <c r="R19" s="718"/>
      <c r="S19" s="718"/>
      <c r="T19" s="571"/>
    </row>
    <row r="20" spans="1:20" s="572" customFormat="1" ht="15.95" customHeight="1" outlineLevel="1">
      <c r="A20" s="46" t="s">
        <v>325</v>
      </c>
      <c r="B20" s="694"/>
      <c r="C20" s="695"/>
      <c r="D20" s="695"/>
      <c r="E20" s="695"/>
      <c r="F20" s="178"/>
      <c r="G20" s="695"/>
      <c r="H20" s="695"/>
      <c r="I20" s="1009"/>
      <c r="J20" s="1010">
        <v>0.8</v>
      </c>
      <c r="K20" s="576">
        <f>+I18*J20-K19</f>
        <v>168750</v>
      </c>
      <c r="L20" s="217">
        <v>2</v>
      </c>
      <c r="M20" s="695"/>
      <c r="N20" s="696"/>
      <c r="O20" s="716"/>
      <c r="P20" s="717"/>
      <c r="Q20" s="579" t="str">
        <f t="shared" ref="Q20:Q21" si="3">IF(N20="en attente",K20,"")</f>
        <v/>
      </c>
      <c r="R20" s="579">
        <f>IF(M20="",K20-N20,0)</f>
        <v>168750</v>
      </c>
      <c r="S20" s="718"/>
      <c r="T20" s="571"/>
    </row>
    <row r="21" spans="1:20" s="220" customFormat="1" ht="15.95" customHeight="1" outlineLevel="1">
      <c r="A21" s="46" t="s">
        <v>325</v>
      </c>
      <c r="B21" s="573"/>
      <c r="C21" s="574"/>
      <c r="D21" s="574"/>
      <c r="E21" s="574"/>
      <c r="F21" s="174"/>
      <c r="G21" s="574"/>
      <c r="H21" s="574"/>
      <c r="I21" s="1006"/>
      <c r="J21" s="1008">
        <v>1</v>
      </c>
      <c r="K21" s="576">
        <f>+I18-K19-K20</f>
        <v>56250</v>
      </c>
      <c r="L21" s="217">
        <v>3</v>
      </c>
      <c r="M21" s="574"/>
      <c r="N21" s="577"/>
      <c r="O21" s="608"/>
      <c r="P21" s="578"/>
      <c r="Q21" s="579" t="str">
        <f t="shared" si="3"/>
        <v/>
      </c>
      <c r="R21" s="579">
        <f>IF(M21="",K21-N21,0)</f>
        <v>56250</v>
      </c>
      <c r="S21" s="579"/>
      <c r="T21" s="571"/>
    </row>
    <row r="22" spans="1:20" s="572" customFormat="1" ht="15.95" customHeight="1">
      <c r="A22" s="119" t="s">
        <v>328</v>
      </c>
      <c r="B22" s="592" t="s">
        <v>330</v>
      </c>
      <c r="C22" s="593">
        <v>43039</v>
      </c>
      <c r="D22" s="593">
        <f>DATE(YEAR(C22),MONTH(C22)+12,DAY(C22))</f>
        <v>43404</v>
      </c>
      <c r="E22" s="593">
        <v>43355</v>
      </c>
      <c r="F22" s="173"/>
      <c r="G22" s="593">
        <f>DATE(YEAR(C22)+2,MONTH(C22),DAY(C22))</f>
        <v>43769</v>
      </c>
      <c r="H22" s="593"/>
      <c r="I22" s="595">
        <v>462500</v>
      </c>
      <c r="J22" s="595"/>
      <c r="K22" s="595"/>
      <c r="L22" s="596"/>
      <c r="M22" s="593"/>
      <c r="N22" s="597">
        <f>SUM(N23:N25)</f>
        <v>92500</v>
      </c>
      <c r="O22" s="598"/>
      <c r="P22" s="599"/>
      <c r="Q22" s="600">
        <f>SUM(Q23:Q25)</f>
        <v>0</v>
      </c>
      <c r="R22" s="600">
        <f>SUM(R23:R25)</f>
        <v>370000</v>
      </c>
      <c r="S22" s="600"/>
      <c r="T22" s="571">
        <f>I22-(N22+Q22+R22)</f>
        <v>0</v>
      </c>
    </row>
    <row r="23" spans="1:20" s="572" customFormat="1" ht="15.95" customHeight="1" outlineLevel="1">
      <c r="A23" s="46" t="s">
        <v>328</v>
      </c>
      <c r="B23" s="694"/>
      <c r="C23" s="695"/>
      <c r="D23" s="695"/>
      <c r="E23" s="695"/>
      <c r="F23" s="178"/>
      <c r="G23" s="695"/>
      <c r="H23" s="695"/>
      <c r="I23" s="1009"/>
      <c r="J23" s="1010">
        <v>0.2</v>
      </c>
      <c r="K23" s="576">
        <f>+I22*J23</f>
        <v>92500</v>
      </c>
      <c r="L23" s="217">
        <v>1</v>
      </c>
      <c r="M23" s="574">
        <v>43370</v>
      </c>
      <c r="N23" s="577">
        <v>92500</v>
      </c>
      <c r="O23" s="609">
        <v>43420</v>
      </c>
      <c r="P23" s="717"/>
      <c r="Q23" s="579" t="str">
        <f>IF(N23="en attente",K23,"")</f>
        <v/>
      </c>
      <c r="R23" s="718"/>
      <c r="S23" s="718"/>
      <c r="T23" s="571"/>
    </row>
    <row r="24" spans="1:20" s="572" customFormat="1" ht="15.95" customHeight="1" outlineLevel="1">
      <c r="A24" s="46" t="s">
        <v>328</v>
      </c>
      <c r="B24" s="694"/>
      <c r="C24" s="695"/>
      <c r="D24" s="695"/>
      <c r="E24" s="695"/>
      <c r="F24" s="178"/>
      <c r="G24" s="695"/>
      <c r="H24" s="695"/>
      <c r="I24" s="1009"/>
      <c r="J24" s="1010">
        <v>0.8</v>
      </c>
      <c r="K24" s="576">
        <f>+I22*J24-K23</f>
        <v>277500</v>
      </c>
      <c r="L24" s="217">
        <v>2</v>
      </c>
      <c r="M24" s="695"/>
      <c r="N24" s="696"/>
      <c r="O24" s="716"/>
      <c r="P24" s="717"/>
      <c r="Q24" s="579" t="str">
        <f>IF(N24="en attente",K24,"")</f>
        <v/>
      </c>
      <c r="R24" s="579">
        <f>IF(M24="",K24-N24,0)</f>
        <v>277500</v>
      </c>
      <c r="S24" s="718"/>
      <c r="T24" s="571"/>
    </row>
    <row r="25" spans="1:20" s="572" customFormat="1" ht="15.95" customHeight="1" outlineLevel="1">
      <c r="A25" s="46" t="s">
        <v>328</v>
      </c>
      <c r="B25" s="694"/>
      <c r="C25" s="695"/>
      <c r="D25" s="695"/>
      <c r="E25" s="695"/>
      <c r="F25" s="178"/>
      <c r="G25" s="695"/>
      <c r="H25" s="695"/>
      <c r="I25" s="1009"/>
      <c r="J25" s="1010">
        <v>1</v>
      </c>
      <c r="K25" s="576">
        <f>+I22-K23-K24</f>
        <v>92500</v>
      </c>
      <c r="L25" s="217">
        <v>3</v>
      </c>
      <c r="M25" s="695"/>
      <c r="N25" s="696"/>
      <c r="O25" s="716"/>
      <c r="P25" s="717"/>
      <c r="Q25" s="579" t="str">
        <f>IF(N25="en attente",K25,"")</f>
        <v/>
      </c>
      <c r="R25" s="579">
        <f>IF(M25="",K25-N25,0)</f>
        <v>92500</v>
      </c>
      <c r="S25" s="718"/>
      <c r="T25" s="571"/>
    </row>
    <row r="26" spans="1:20" s="572" customFormat="1" ht="15.95" customHeight="1">
      <c r="A26" s="119" t="s">
        <v>329</v>
      </c>
      <c r="B26" s="592" t="s">
        <v>331</v>
      </c>
      <c r="C26" s="708">
        <v>43039</v>
      </c>
      <c r="D26" s="598">
        <f>DATE(YEAR(C26),MONTH(C26)+12,DAY(C26))</f>
        <v>43404</v>
      </c>
      <c r="E26" s="593">
        <v>43388</v>
      </c>
      <c r="F26" s="711"/>
      <c r="G26" s="598">
        <f>DATE(YEAR(C26)+2,MONTH(C26),DAY(C26))</f>
        <v>43769</v>
      </c>
      <c r="H26" s="593"/>
      <c r="I26" s="595">
        <v>401760</v>
      </c>
      <c r="J26" s="595"/>
      <c r="K26" s="595"/>
      <c r="L26" s="596"/>
      <c r="M26" s="593"/>
      <c r="N26" s="597">
        <f>SUM(N27:N29)</f>
        <v>80352</v>
      </c>
      <c r="O26" s="598"/>
      <c r="P26" s="599"/>
      <c r="Q26" s="600">
        <f>SUM(Q27:Q29)</f>
        <v>0</v>
      </c>
      <c r="R26" s="600">
        <f>SUM(R27:R29)</f>
        <v>321408</v>
      </c>
      <c r="S26" s="600"/>
      <c r="T26" s="571">
        <f>I26-(N26+Q26+R26)</f>
        <v>0</v>
      </c>
    </row>
    <row r="27" spans="1:20" s="572" customFormat="1" ht="15.95" customHeight="1" outlineLevel="1">
      <c r="A27" s="46" t="s">
        <v>329</v>
      </c>
      <c r="B27" s="694"/>
      <c r="C27" s="721"/>
      <c r="D27" s="716"/>
      <c r="E27" s="695"/>
      <c r="F27" s="625"/>
      <c r="G27" s="716"/>
      <c r="H27" s="695"/>
      <c r="I27" s="1009"/>
      <c r="J27" s="1010">
        <v>0.2</v>
      </c>
      <c r="K27" s="576">
        <f>I26*J27</f>
        <v>80352</v>
      </c>
      <c r="L27" s="217">
        <v>1</v>
      </c>
      <c r="M27" s="574">
        <v>43391</v>
      </c>
      <c r="N27" s="577">
        <v>80352</v>
      </c>
      <c r="O27" s="609">
        <v>43448</v>
      </c>
      <c r="P27" s="717"/>
      <c r="Q27" s="579" t="str">
        <f>IF(N27="en attente",K27,"")</f>
        <v/>
      </c>
      <c r="R27" s="579">
        <f>IF(M27="",K27-N27,0)</f>
        <v>0</v>
      </c>
      <c r="S27" s="718"/>
      <c r="T27" s="571"/>
    </row>
    <row r="28" spans="1:20" s="572" customFormat="1" ht="15.95" customHeight="1" outlineLevel="1">
      <c r="A28" s="46" t="s">
        <v>329</v>
      </c>
      <c r="B28" s="694"/>
      <c r="C28" s="721"/>
      <c r="D28" s="716"/>
      <c r="E28" s="695"/>
      <c r="F28" s="625"/>
      <c r="G28" s="716"/>
      <c r="H28" s="695"/>
      <c r="I28" s="1009"/>
      <c r="J28" s="1010">
        <v>0.8</v>
      </c>
      <c r="K28" s="576">
        <f>I26*J28-K27</f>
        <v>241056</v>
      </c>
      <c r="L28" s="217">
        <v>2</v>
      </c>
      <c r="M28" s="695"/>
      <c r="N28" s="696"/>
      <c r="O28" s="716"/>
      <c r="P28" s="717"/>
      <c r="Q28" s="579" t="str">
        <f>IF(N28="en attente",K28,"")</f>
        <v/>
      </c>
      <c r="R28" s="579">
        <f>IF(M28="",K28-N28,0)</f>
        <v>241056</v>
      </c>
      <c r="S28" s="718"/>
      <c r="T28" s="571"/>
    </row>
    <row r="29" spans="1:20" s="220" customFormat="1" ht="15.95" customHeight="1" outlineLevel="1">
      <c r="A29" s="46" t="s">
        <v>329</v>
      </c>
      <c r="B29" s="573"/>
      <c r="C29" s="709"/>
      <c r="D29" s="710"/>
      <c r="E29" s="719"/>
      <c r="F29" s="545"/>
      <c r="G29" s="710"/>
      <c r="H29" s="574"/>
      <c r="I29" s="1006"/>
      <c r="J29" s="1010">
        <v>1</v>
      </c>
      <c r="K29" s="576">
        <f>I26-K27-K28</f>
        <v>80352</v>
      </c>
      <c r="L29" s="217">
        <v>3</v>
      </c>
      <c r="M29" s="574"/>
      <c r="N29" s="577"/>
      <c r="O29" s="609"/>
      <c r="P29" s="578"/>
      <c r="Q29" s="579" t="str">
        <f t="shared" ref="Q29" si="4">IF(N29="en attente",K29,"")</f>
        <v/>
      </c>
      <c r="R29" s="579">
        <f>IF(M29="",K29-N29,0)</f>
        <v>80352</v>
      </c>
      <c r="S29" s="579"/>
      <c r="T29" s="571"/>
    </row>
    <row r="30" spans="1:20" s="572" customFormat="1" ht="15.95" customHeight="1">
      <c r="A30" s="119" t="s">
        <v>361</v>
      </c>
      <c r="B30" s="592" t="s">
        <v>362</v>
      </c>
      <c r="C30" s="708">
        <v>43334</v>
      </c>
      <c r="D30" s="598">
        <f>DATE(YEAR(C30),MONTH(C30)+12,DAY(C30))</f>
        <v>43699</v>
      </c>
      <c r="E30" s="593"/>
      <c r="F30" s="711"/>
      <c r="G30" s="598">
        <f>DATE(YEAR(C30)+2,MONTH(C30),DAY(C30))</f>
        <v>44065</v>
      </c>
      <c r="H30" s="593"/>
      <c r="I30" s="595">
        <f>524564.45+131141.11</f>
        <v>655705.55999999994</v>
      </c>
      <c r="J30" s="595"/>
      <c r="K30" s="595"/>
      <c r="L30" s="596"/>
      <c r="M30" s="593"/>
      <c r="N30" s="597">
        <f>SUM(N31)</f>
        <v>0</v>
      </c>
      <c r="O30" s="598"/>
      <c r="P30" s="599"/>
      <c r="Q30" s="600">
        <f>SUM(Q31:Q33)</f>
        <v>0</v>
      </c>
      <c r="R30" s="600">
        <f>SUM(R31:R33)</f>
        <v>655705.55999999994</v>
      </c>
      <c r="S30" s="600"/>
      <c r="T30" s="571">
        <f t="shared" ref="T30" si="5">I30-(N30+Q30+R30)</f>
        <v>0</v>
      </c>
    </row>
    <row r="31" spans="1:20" s="572" customFormat="1" ht="15.95" customHeight="1" outlineLevel="1">
      <c r="A31" s="46" t="s">
        <v>361</v>
      </c>
      <c r="B31" s="694"/>
      <c r="C31" s="721"/>
      <c r="D31" s="835" t="s">
        <v>311</v>
      </c>
      <c r="E31" s="695"/>
      <c r="F31" s="625"/>
      <c r="G31" s="716"/>
      <c r="H31" s="695"/>
      <c r="I31" s="1009"/>
      <c r="J31" s="1010">
        <v>0.2</v>
      </c>
      <c r="K31" s="576">
        <f>I30*J31</f>
        <v>131141.11199999999</v>
      </c>
      <c r="L31" s="217">
        <v>1</v>
      </c>
      <c r="M31" s="574"/>
      <c r="N31" s="577"/>
      <c r="O31" s="609"/>
      <c r="P31" s="717"/>
      <c r="Q31" s="579" t="str">
        <f t="shared" ref="Q31:Q33" si="6">IF(N31="en attente",K31,"")</f>
        <v/>
      </c>
      <c r="R31" s="579">
        <f>IF(M31="",K31-N31,0)</f>
        <v>131141.11199999999</v>
      </c>
      <c r="S31" s="718"/>
      <c r="T31" s="571"/>
    </row>
    <row r="32" spans="1:20" s="572" customFormat="1" ht="15.95" customHeight="1" outlineLevel="1">
      <c r="A32" s="46" t="s">
        <v>361</v>
      </c>
      <c r="B32" s="694"/>
      <c r="C32" s="721"/>
      <c r="D32" s="716"/>
      <c r="E32" s="695"/>
      <c r="F32" s="625"/>
      <c r="G32" s="716"/>
      <c r="H32" s="695"/>
      <c r="I32" s="1009"/>
      <c r="J32" s="1010">
        <v>0.8</v>
      </c>
      <c r="K32" s="576">
        <f>I30*J32-K31</f>
        <v>393423.33600000001</v>
      </c>
      <c r="L32" s="217">
        <v>2</v>
      </c>
      <c r="M32" s="695"/>
      <c r="N32" s="696"/>
      <c r="O32" s="716"/>
      <c r="P32" s="717"/>
      <c r="Q32" s="579" t="str">
        <f>IF(N32="en attente",K32,"")</f>
        <v/>
      </c>
      <c r="R32" s="579">
        <f t="shared" ref="R32:R33" si="7">IF(M32="",K32-N32,0)</f>
        <v>393423.33600000001</v>
      </c>
      <c r="S32" s="718"/>
      <c r="T32" s="571"/>
    </row>
    <row r="33" spans="1:20" s="220" customFormat="1" ht="15.95" customHeight="1" outlineLevel="1">
      <c r="A33" s="118" t="s">
        <v>361</v>
      </c>
      <c r="B33" s="582"/>
      <c r="C33" s="757"/>
      <c r="D33" s="710"/>
      <c r="E33" s="758"/>
      <c r="F33" s="561"/>
      <c r="G33" s="710"/>
      <c r="H33" s="584"/>
      <c r="I33" s="1006"/>
      <c r="J33" s="1011">
        <v>1</v>
      </c>
      <c r="K33" s="586">
        <f>I30-K31-K32</f>
        <v>131141.11199999996</v>
      </c>
      <c r="L33" s="563">
        <v>3</v>
      </c>
      <c r="M33" s="584"/>
      <c r="N33" s="587"/>
      <c r="O33" s="588"/>
      <c r="P33" s="589"/>
      <c r="Q33" s="579" t="str">
        <f t="shared" si="6"/>
        <v/>
      </c>
      <c r="R33" s="579">
        <f t="shared" si="7"/>
        <v>131141.11199999996</v>
      </c>
      <c r="S33" s="590"/>
      <c r="T33" s="571"/>
    </row>
    <row r="34" spans="1:20" s="572" customFormat="1" ht="15.95" customHeight="1">
      <c r="A34" s="119" t="s">
        <v>376</v>
      </c>
      <c r="B34" s="592" t="s">
        <v>377</v>
      </c>
      <c r="C34" s="708">
        <v>43335</v>
      </c>
      <c r="D34" s="598">
        <f>DATE(YEAR(C34),MONTH(C34)+12,DAY(C34))</f>
        <v>43700</v>
      </c>
      <c r="E34" s="593"/>
      <c r="F34" s="711"/>
      <c r="G34" s="598">
        <f>DATE(YEAR(C34)+2,MONTH(C34),DAY(C34))</f>
        <v>44066</v>
      </c>
      <c r="H34" s="593"/>
      <c r="I34" s="595">
        <v>136000</v>
      </c>
      <c r="J34" s="595"/>
      <c r="K34" s="595"/>
      <c r="L34" s="596"/>
      <c r="M34" s="593"/>
      <c r="N34" s="597">
        <f>SUM(N35:N37)</f>
        <v>0</v>
      </c>
      <c r="O34" s="598"/>
      <c r="P34" s="599"/>
      <c r="Q34" s="600">
        <f>SUM(Q35:Q37)</f>
        <v>0</v>
      </c>
      <c r="R34" s="600">
        <f>SUM(R35:R37)</f>
        <v>136000</v>
      </c>
      <c r="S34" s="600"/>
      <c r="T34" s="571">
        <f>I34-(N34+Q34+R34)</f>
        <v>0</v>
      </c>
    </row>
    <row r="35" spans="1:20" s="572" customFormat="1" ht="15.95" customHeight="1" outlineLevel="1">
      <c r="A35" s="46" t="s">
        <v>376</v>
      </c>
      <c r="B35" s="694"/>
      <c r="C35" s="721"/>
      <c r="D35" s="835" t="s">
        <v>311</v>
      </c>
      <c r="E35" s="695"/>
      <c r="F35" s="625"/>
      <c r="G35" s="716"/>
      <c r="H35" s="695"/>
      <c r="I35" s="1009"/>
      <c r="J35" s="1010">
        <v>0.2</v>
      </c>
      <c r="K35" s="576">
        <f>I34*J35</f>
        <v>27200</v>
      </c>
      <c r="L35" s="217">
        <v>1</v>
      </c>
      <c r="M35" s="574"/>
      <c r="N35" s="577"/>
      <c r="O35" s="609"/>
      <c r="P35" s="717"/>
      <c r="Q35" s="579" t="str">
        <f>IF(N35="en attente",K35,"")</f>
        <v/>
      </c>
      <c r="R35" s="579">
        <f>IF(M35="",K35-N35,0)</f>
        <v>27200</v>
      </c>
      <c r="S35" s="718"/>
      <c r="T35" s="571"/>
    </row>
    <row r="36" spans="1:20" s="572" customFormat="1" ht="15.95" customHeight="1" outlineLevel="1">
      <c r="A36" s="46" t="s">
        <v>376</v>
      </c>
      <c r="B36" s="694"/>
      <c r="C36" s="721"/>
      <c r="D36" s="716"/>
      <c r="E36" s="695"/>
      <c r="F36" s="625"/>
      <c r="G36" s="716"/>
      <c r="H36" s="695"/>
      <c r="I36" s="1009"/>
      <c r="J36" s="1010">
        <v>0.8</v>
      </c>
      <c r="K36" s="576">
        <f>I34*J36-K35</f>
        <v>81600</v>
      </c>
      <c r="L36" s="217">
        <v>2</v>
      </c>
      <c r="M36" s="695"/>
      <c r="N36" s="696"/>
      <c r="O36" s="716"/>
      <c r="P36" s="717"/>
      <c r="Q36" s="579" t="str">
        <f>IF(N36="en attente",K36,"")</f>
        <v/>
      </c>
      <c r="R36" s="579">
        <f>IF(M36="",K36-N36,0)</f>
        <v>81600</v>
      </c>
      <c r="S36" s="718"/>
      <c r="T36" s="571"/>
    </row>
    <row r="37" spans="1:20" s="220" customFormat="1" ht="15.95" customHeight="1" outlineLevel="1">
      <c r="A37" s="118" t="s">
        <v>376</v>
      </c>
      <c r="B37" s="582"/>
      <c r="C37" s="757"/>
      <c r="D37" s="710"/>
      <c r="E37" s="758"/>
      <c r="F37" s="561"/>
      <c r="G37" s="710"/>
      <c r="H37" s="584"/>
      <c r="I37" s="1006"/>
      <c r="J37" s="1011">
        <v>1</v>
      </c>
      <c r="K37" s="586">
        <f>I34-K35-K36</f>
        <v>27200</v>
      </c>
      <c r="L37" s="563">
        <v>3</v>
      </c>
      <c r="M37" s="584"/>
      <c r="N37" s="587"/>
      <c r="O37" s="588"/>
      <c r="P37" s="589"/>
      <c r="Q37" s="579" t="str">
        <f>IF(N37="en attente",K37,"")</f>
        <v/>
      </c>
      <c r="R37" s="590">
        <f>IF(M37="",K37-N37,0)</f>
        <v>27200</v>
      </c>
      <c r="S37" s="590"/>
      <c r="T37" s="571"/>
    </row>
    <row r="38" spans="1:20" s="572" customFormat="1" ht="15.95" customHeight="1">
      <c r="A38" s="119" t="s">
        <v>395</v>
      </c>
      <c r="B38" s="592" t="s">
        <v>378</v>
      </c>
      <c r="C38" s="708">
        <v>43335</v>
      </c>
      <c r="D38" s="598">
        <f>DATE(YEAR(C38),MONTH(C38)+12,DAY(C38))</f>
        <v>43700</v>
      </c>
      <c r="E38" s="593"/>
      <c r="F38" s="711"/>
      <c r="G38" s="598">
        <f>DATE(YEAR(C38)+2,MONTH(C38),DAY(C38))</f>
        <v>44066</v>
      </c>
      <c r="H38" s="593"/>
      <c r="I38" s="595">
        <v>150000</v>
      </c>
      <c r="J38" s="595"/>
      <c r="K38" s="595"/>
      <c r="L38" s="596"/>
      <c r="M38" s="593"/>
      <c r="N38" s="597">
        <f>SUM(N39:N41)</f>
        <v>0</v>
      </c>
      <c r="O38" s="598"/>
      <c r="P38" s="599"/>
      <c r="Q38" s="600">
        <f>SUM(Q39:Q41)</f>
        <v>0</v>
      </c>
      <c r="R38" s="600">
        <f>SUM(R39:R41)</f>
        <v>150000</v>
      </c>
      <c r="S38" s="600"/>
      <c r="T38" s="571">
        <f>I38-(N38+Q38+R38)</f>
        <v>0</v>
      </c>
    </row>
    <row r="39" spans="1:20" s="572" customFormat="1" ht="15.95" customHeight="1" outlineLevel="1">
      <c r="A39" s="46" t="s">
        <v>395</v>
      </c>
      <c r="B39" s="694"/>
      <c r="C39" s="721"/>
      <c r="D39" s="835" t="s">
        <v>311</v>
      </c>
      <c r="E39" s="695"/>
      <c r="F39" s="625"/>
      <c r="G39" s="716"/>
      <c r="H39" s="695"/>
      <c r="I39" s="1009"/>
      <c r="J39" s="1010">
        <v>0.2</v>
      </c>
      <c r="K39" s="576">
        <f>I38*J39</f>
        <v>30000</v>
      </c>
      <c r="L39" s="217">
        <v>1</v>
      </c>
      <c r="M39" s="574"/>
      <c r="N39" s="577"/>
      <c r="O39" s="609"/>
      <c r="P39" s="717"/>
      <c r="Q39" s="579" t="str">
        <f>IF(N39="en attente",K39,"")</f>
        <v/>
      </c>
      <c r="R39" s="579">
        <f>IF(M39="",K39-N39,0)</f>
        <v>30000</v>
      </c>
      <c r="S39" s="718"/>
      <c r="T39" s="571"/>
    </row>
    <row r="40" spans="1:20" s="572" customFormat="1" ht="15.95" customHeight="1" outlineLevel="1">
      <c r="A40" s="46" t="s">
        <v>395</v>
      </c>
      <c r="B40" s="694"/>
      <c r="C40" s="721"/>
      <c r="D40" s="716"/>
      <c r="E40" s="695"/>
      <c r="F40" s="625"/>
      <c r="G40" s="716"/>
      <c r="H40" s="695"/>
      <c r="I40" s="1009"/>
      <c r="J40" s="1010">
        <v>0.8</v>
      </c>
      <c r="K40" s="576">
        <f>I38*J40-K39</f>
        <v>90000</v>
      </c>
      <c r="L40" s="217">
        <v>2</v>
      </c>
      <c r="M40" s="695"/>
      <c r="N40" s="696"/>
      <c r="O40" s="716"/>
      <c r="P40" s="717"/>
      <c r="Q40" s="579" t="str">
        <f>IF(N40="en attente",K40,"")</f>
        <v/>
      </c>
      <c r="R40" s="579">
        <f>IF(M40="",K40-N40,0)</f>
        <v>90000</v>
      </c>
      <c r="S40" s="718"/>
      <c r="T40" s="571"/>
    </row>
    <row r="41" spans="1:20" s="220" customFormat="1" ht="15.95" customHeight="1" outlineLevel="1">
      <c r="A41" s="118" t="s">
        <v>395</v>
      </c>
      <c r="B41" s="582"/>
      <c r="C41" s="757"/>
      <c r="D41" s="710"/>
      <c r="E41" s="758"/>
      <c r="F41" s="561"/>
      <c r="G41" s="710"/>
      <c r="H41" s="584"/>
      <c r="I41" s="1006"/>
      <c r="J41" s="1011">
        <v>1</v>
      </c>
      <c r="K41" s="586">
        <f>I38-K39-K40</f>
        <v>30000</v>
      </c>
      <c r="L41" s="563">
        <v>3</v>
      </c>
      <c r="M41" s="584"/>
      <c r="N41" s="587"/>
      <c r="O41" s="588"/>
      <c r="P41" s="589"/>
      <c r="Q41" s="579" t="str">
        <f>IF(N41="en attente",K41,"")</f>
        <v/>
      </c>
      <c r="R41" s="590">
        <f>IF(M41="",K41-N41,0)</f>
        <v>30000</v>
      </c>
      <c r="S41" s="590"/>
      <c r="T41" s="571"/>
    </row>
    <row r="42" spans="1:20" s="572" customFormat="1" ht="15.95" customHeight="1">
      <c r="A42" s="119" t="s">
        <v>379</v>
      </c>
      <c r="B42" s="592" t="s">
        <v>380</v>
      </c>
      <c r="C42" s="708">
        <v>43335</v>
      </c>
      <c r="D42" s="598">
        <f>DATE(YEAR(C42),MONTH(C42)+12,DAY(C42))</f>
        <v>43700</v>
      </c>
      <c r="E42" s="593"/>
      <c r="F42" s="711"/>
      <c r="G42" s="598">
        <f>DATE(YEAR(C42)+2,MONTH(C42),DAY(C42))</f>
        <v>44066</v>
      </c>
      <c r="H42" s="593"/>
      <c r="I42" s="595">
        <v>115000</v>
      </c>
      <c r="J42" s="595"/>
      <c r="K42" s="595"/>
      <c r="L42" s="596"/>
      <c r="M42" s="593"/>
      <c r="N42" s="597">
        <f>SUM(N43:N45)</f>
        <v>0</v>
      </c>
      <c r="O42" s="598"/>
      <c r="P42" s="599"/>
      <c r="Q42" s="600">
        <f>SUM(Q43:Q45)</f>
        <v>0</v>
      </c>
      <c r="R42" s="600">
        <f>SUM(R43:R45)</f>
        <v>115000</v>
      </c>
      <c r="S42" s="600"/>
      <c r="T42" s="571">
        <f>I42-(N42+Q42+R42)</f>
        <v>0</v>
      </c>
    </row>
    <row r="43" spans="1:20" s="572" customFormat="1" ht="15.95" customHeight="1" outlineLevel="1">
      <c r="A43" s="46" t="s">
        <v>379</v>
      </c>
      <c r="B43" s="694"/>
      <c r="C43" s="721"/>
      <c r="D43" s="835" t="s">
        <v>311</v>
      </c>
      <c r="E43" s="695"/>
      <c r="F43" s="625"/>
      <c r="G43" s="716"/>
      <c r="H43" s="695"/>
      <c r="I43" s="1009"/>
      <c r="J43" s="1010">
        <v>0.2</v>
      </c>
      <c r="K43" s="576">
        <f>I42*J43</f>
        <v>23000</v>
      </c>
      <c r="L43" s="217">
        <v>1</v>
      </c>
      <c r="M43" s="574"/>
      <c r="N43" s="577"/>
      <c r="O43" s="609"/>
      <c r="P43" s="717"/>
      <c r="Q43" s="579" t="str">
        <f>IF(N43="en attente",K43,"")</f>
        <v/>
      </c>
      <c r="R43" s="579">
        <f>IF(M43="",K43-N43,0)</f>
        <v>23000</v>
      </c>
      <c r="S43" s="718"/>
      <c r="T43" s="571"/>
    </row>
    <row r="44" spans="1:20" s="572" customFormat="1" ht="15.95" customHeight="1" outlineLevel="1">
      <c r="A44" s="46" t="s">
        <v>379</v>
      </c>
      <c r="B44" s="694"/>
      <c r="C44" s="721"/>
      <c r="D44" s="716"/>
      <c r="E44" s="695"/>
      <c r="F44" s="625"/>
      <c r="G44" s="716"/>
      <c r="H44" s="695"/>
      <c r="I44" s="1009"/>
      <c r="J44" s="1010">
        <v>0.8</v>
      </c>
      <c r="K44" s="576">
        <f>I42*J44-K43</f>
        <v>69000</v>
      </c>
      <c r="L44" s="217">
        <v>2</v>
      </c>
      <c r="M44" s="695"/>
      <c r="N44" s="696"/>
      <c r="O44" s="716"/>
      <c r="P44" s="717"/>
      <c r="Q44" s="579" t="str">
        <f>IF(N44="en attente",K44,"")</f>
        <v/>
      </c>
      <c r="R44" s="579">
        <f>IF(M44="",K44-N44,0)</f>
        <v>69000</v>
      </c>
      <c r="S44" s="718"/>
      <c r="T44" s="571"/>
    </row>
    <row r="45" spans="1:20" s="220" customFormat="1" ht="15.95" customHeight="1" outlineLevel="1">
      <c r="A45" s="118" t="s">
        <v>379</v>
      </c>
      <c r="B45" s="582"/>
      <c r="C45" s="757"/>
      <c r="D45" s="710"/>
      <c r="E45" s="758"/>
      <c r="F45" s="561"/>
      <c r="G45" s="710"/>
      <c r="H45" s="584"/>
      <c r="I45" s="1012"/>
      <c r="J45" s="1011">
        <v>1</v>
      </c>
      <c r="K45" s="586">
        <f>I42-K43-K44</f>
        <v>23000</v>
      </c>
      <c r="L45" s="563">
        <v>3</v>
      </c>
      <c r="M45" s="584"/>
      <c r="N45" s="587"/>
      <c r="O45" s="588"/>
      <c r="P45" s="589"/>
      <c r="Q45" s="712" t="str">
        <f>IF(N45="en attente",K45,"")</f>
        <v/>
      </c>
      <c r="R45" s="590">
        <f>IF(M45="",K45-N45,0)</f>
        <v>23000</v>
      </c>
      <c r="S45" s="590"/>
      <c r="T45" s="571"/>
    </row>
    <row r="46" spans="1:20" s="220" customFormat="1" ht="15.95" customHeight="1">
      <c r="A46" s="46"/>
      <c r="B46" s="573"/>
      <c r="C46" s="581"/>
      <c r="D46" s="574"/>
      <c r="E46" s="574"/>
      <c r="F46" s="174"/>
      <c r="G46" s="574"/>
      <c r="H46" s="574"/>
      <c r="I46" s="575"/>
      <c r="J46" s="575"/>
      <c r="K46" s="576"/>
      <c r="L46" s="217"/>
      <c r="M46" s="574"/>
      <c r="N46" s="577"/>
      <c r="O46" s="609"/>
      <c r="P46" s="578"/>
      <c r="Q46" s="579"/>
      <c r="R46" s="579"/>
      <c r="S46" s="579"/>
      <c r="T46" s="571"/>
    </row>
    <row r="47" spans="1:20" s="220" customFormat="1" ht="15.95" customHeight="1">
      <c r="A47" s="46"/>
      <c r="B47" s="573"/>
      <c r="C47" s="581"/>
      <c r="D47" s="574"/>
      <c r="E47" s="574"/>
      <c r="F47" s="174"/>
      <c r="G47" s="574"/>
      <c r="H47" s="574"/>
      <c r="I47" s="575"/>
      <c r="J47" s="575"/>
      <c r="K47" s="576"/>
      <c r="L47" s="217"/>
      <c r="M47" s="574"/>
      <c r="N47" s="577"/>
      <c r="O47" s="609"/>
      <c r="P47" s="578"/>
      <c r="Q47" s="578"/>
      <c r="R47" s="578"/>
      <c r="S47" s="579"/>
      <c r="T47" s="571"/>
    </row>
    <row r="48" spans="1:20" s="220" customFormat="1" ht="15.95" customHeight="1">
      <c r="A48" s="118"/>
      <c r="B48" s="582"/>
      <c r="C48" s="583"/>
      <c r="D48" s="584"/>
      <c r="E48" s="584"/>
      <c r="F48" s="175"/>
      <c r="G48" s="584"/>
      <c r="H48" s="584"/>
      <c r="I48" s="585"/>
      <c r="J48" s="585"/>
      <c r="K48" s="586"/>
      <c r="L48" s="563"/>
      <c r="M48" s="584"/>
      <c r="N48" s="587"/>
      <c r="O48" s="588"/>
      <c r="P48" s="589"/>
      <c r="Q48" s="590"/>
      <c r="R48" s="590"/>
      <c r="S48" s="590"/>
      <c r="T48" s="571"/>
    </row>
    <row r="49" spans="1:20" s="8" customFormat="1">
      <c r="A49" s="48"/>
      <c r="B49" s="48"/>
      <c r="C49" s="48"/>
      <c r="D49" s="48"/>
      <c r="E49" s="48"/>
      <c r="F49" s="179"/>
      <c r="G49" s="48"/>
      <c r="H49" s="48"/>
      <c r="I49" s="41">
        <f>I6+I14+I10+I18+I22+I26+I30+I34+I38+I42</f>
        <v>2278655.56</v>
      </c>
      <c r="J49" s="41"/>
      <c r="K49" s="41">
        <f>SUMPRODUCT((DateAF_LBU_rehab&lt;&gt;"")*(MontantAF_LBU_rehab))</f>
        <v>244390</v>
      </c>
      <c r="L49" s="49"/>
      <c r="M49" s="50"/>
      <c r="N49" s="41">
        <f>N6+N10+N14+N18+N22+N26+N30</f>
        <v>244390</v>
      </c>
      <c r="O49" s="86"/>
      <c r="P49" s="79"/>
      <c r="Q49" s="82">
        <f>Q6+Q14+Q10+Q18+Q22+Q26+Q30</f>
        <v>0</v>
      </c>
      <c r="R49" s="82">
        <f>R6+R14+R10+R18+R22+R26+R30+R34+R38+R42</f>
        <v>2034265.56</v>
      </c>
      <c r="S49" s="82"/>
      <c r="T49" s="166">
        <f>I49-(N49+Q49+R49)</f>
        <v>0</v>
      </c>
    </row>
    <row r="50" spans="1:20">
      <c r="A50" s="75"/>
      <c r="B50" s="76"/>
      <c r="C50" s="76"/>
      <c r="D50" s="76"/>
      <c r="E50" s="76"/>
      <c r="F50" s="180"/>
      <c r="G50" s="76"/>
      <c r="H50" s="76"/>
      <c r="I50" s="76"/>
      <c r="J50" s="76"/>
      <c r="K50" s="76"/>
      <c r="L50" s="75"/>
      <c r="M50" s="76"/>
      <c r="N50" s="76"/>
      <c r="O50" s="87"/>
      <c r="P50" s="80"/>
      <c r="Q50" s="1025">
        <f>SUM(Q49:R49)</f>
        <v>2034265.56</v>
      </c>
      <c r="R50" s="1026"/>
    </row>
    <row r="51" spans="1:20">
      <c r="K51" s="591"/>
    </row>
    <row r="52" spans="1:20" ht="13.5" thickBot="1"/>
    <row r="53" spans="1:20">
      <c r="K53" s="735" t="s">
        <v>207</v>
      </c>
      <c r="L53" s="905"/>
      <c r="M53" s="906"/>
      <c r="N53" s="738" t="s">
        <v>209</v>
      </c>
    </row>
    <row r="54" spans="1:20" ht="13.5" thickBot="1">
      <c r="I54" s="1">
        <v>2018</v>
      </c>
      <c r="K54" s="739">
        <f>SUMPRODUCT((YEAR($I$60:$I$76)=I54)*$K$60:$K$76)</f>
        <v>244390</v>
      </c>
      <c r="L54" s="907"/>
      <c r="M54" s="908"/>
      <c r="N54" s="740">
        <f>SUMPRODUCT((YEAR($I$60:$I$76)=I54)*$N$60:$N$76)</f>
        <v>244390</v>
      </c>
    </row>
    <row r="55" spans="1:20" ht="13.5" thickBot="1">
      <c r="I55" s="902">
        <v>2019</v>
      </c>
      <c r="J55" s="753"/>
      <c r="K55" s="903">
        <f>SUMPRODUCT((YEAR($I$60:$I$76)=I55)*$K$60:$K$76)</f>
        <v>0</v>
      </c>
      <c r="L55" s="909"/>
      <c r="M55" s="910"/>
      <c r="N55" s="904">
        <f>SUMPRODUCT((YEAR($I$60:$I$76)=I55)*$N$60:$N$76)</f>
        <v>0</v>
      </c>
    </row>
    <row r="56" spans="1:20" ht="13.5" thickBot="1">
      <c r="K56" s="760">
        <f>SUM(K54:K55)</f>
        <v>244390</v>
      </c>
      <c r="L56" s="911"/>
      <c r="M56" s="912"/>
      <c r="N56" s="761">
        <f>SUM(N54:N55)</f>
        <v>244390</v>
      </c>
    </row>
    <row r="57" spans="1:20">
      <c r="K57" s="91">
        <f>K56-K49</f>
        <v>0</v>
      </c>
      <c r="N57" s="91">
        <f>N56-N49</f>
        <v>0</v>
      </c>
    </row>
    <row r="58" spans="1:20">
      <c r="K58" s="91"/>
    </row>
    <row r="59" spans="1:20">
      <c r="K59" s="369" t="s">
        <v>207</v>
      </c>
      <c r="N59" s="370" t="s">
        <v>209</v>
      </c>
    </row>
    <row r="60" spans="1:20">
      <c r="I60" s="366">
        <v>43313</v>
      </c>
      <c r="J60" s="366"/>
      <c r="K60" s="367">
        <f t="shared" ref="K60:K76" si="8">SUMPRODUCT((DateAF_LBU_rehab&lt;&gt;"")*(MONTH(DateAF_LBU_rehab)=MONTH(I60))*(YEAR(DateAF_LBU_rehab)=YEAR(I60))*MontantAF_LBU_rehab)</f>
        <v>13104</v>
      </c>
      <c r="N60" s="367">
        <f t="shared" ref="N60:N76" si="9">SUMPRODUCT((DatePmtRehab&lt;&gt;"")*(DatePmtRehab&lt;&gt;"en attente")*(MONTH(DatePmtRehab)=MONTH(I60))*(YEAR(DatePmtRehab)=YEAR(I60))*(ISNUMBER(MontantPayeRehab)),MontantPayeRehab)</f>
        <v>0</v>
      </c>
    </row>
    <row r="61" spans="1:20">
      <c r="I61" s="366">
        <v>43344</v>
      </c>
      <c r="J61" s="366"/>
      <c r="K61" s="367">
        <f t="shared" si="8"/>
        <v>150934</v>
      </c>
      <c r="N61" s="367">
        <f t="shared" si="9"/>
        <v>0</v>
      </c>
    </row>
    <row r="62" spans="1:20">
      <c r="I62" s="366">
        <v>43374</v>
      </c>
      <c r="J62" s="366"/>
      <c r="K62" s="367">
        <f t="shared" si="8"/>
        <v>80352</v>
      </c>
      <c r="N62" s="367">
        <f t="shared" si="9"/>
        <v>13104</v>
      </c>
    </row>
    <row r="63" spans="1:20">
      <c r="I63" s="366">
        <v>43405</v>
      </c>
      <c r="J63" s="366"/>
      <c r="K63" s="367">
        <f t="shared" si="8"/>
        <v>0</v>
      </c>
      <c r="N63" s="367">
        <f t="shared" si="9"/>
        <v>150934</v>
      </c>
    </row>
    <row r="64" spans="1:20">
      <c r="I64" s="366">
        <v>43435</v>
      </c>
      <c r="J64" s="366"/>
      <c r="K64" s="367">
        <f t="shared" si="8"/>
        <v>0</v>
      </c>
      <c r="N64" s="367">
        <f t="shared" si="9"/>
        <v>80352</v>
      </c>
    </row>
    <row r="65" spans="9:14">
      <c r="I65" s="366">
        <v>43466</v>
      </c>
      <c r="J65" s="366"/>
      <c r="K65" s="367">
        <f t="shared" si="8"/>
        <v>0</v>
      </c>
      <c r="N65" s="367">
        <f t="shared" si="9"/>
        <v>0</v>
      </c>
    </row>
    <row r="66" spans="9:14">
      <c r="I66" s="366">
        <v>43497</v>
      </c>
      <c r="J66" s="366"/>
      <c r="K66" s="367">
        <f t="shared" si="8"/>
        <v>0</v>
      </c>
      <c r="N66" s="367">
        <f t="shared" si="9"/>
        <v>0</v>
      </c>
    </row>
    <row r="67" spans="9:14">
      <c r="I67" s="366">
        <v>43525</v>
      </c>
      <c r="J67" s="366"/>
      <c r="K67" s="367">
        <f t="shared" si="8"/>
        <v>0</v>
      </c>
      <c r="N67" s="367">
        <f t="shared" si="9"/>
        <v>0</v>
      </c>
    </row>
    <row r="68" spans="9:14">
      <c r="I68" s="366">
        <v>43556</v>
      </c>
      <c r="J68" s="366"/>
      <c r="K68" s="367">
        <f t="shared" si="8"/>
        <v>0</v>
      </c>
      <c r="N68" s="367">
        <f t="shared" si="9"/>
        <v>0</v>
      </c>
    </row>
    <row r="69" spans="9:14">
      <c r="I69" s="366">
        <v>43586</v>
      </c>
      <c r="J69" s="366"/>
      <c r="K69" s="367">
        <f t="shared" si="8"/>
        <v>0</v>
      </c>
      <c r="N69" s="367">
        <f t="shared" si="9"/>
        <v>0</v>
      </c>
    </row>
    <row r="70" spans="9:14">
      <c r="I70" s="366">
        <v>43617</v>
      </c>
      <c r="J70" s="366"/>
      <c r="K70" s="367">
        <f t="shared" si="8"/>
        <v>0</v>
      </c>
      <c r="N70" s="367">
        <f t="shared" si="9"/>
        <v>0</v>
      </c>
    </row>
    <row r="71" spans="9:14">
      <c r="I71" s="366">
        <v>43647</v>
      </c>
      <c r="J71" s="366"/>
      <c r="K71" s="367">
        <f t="shared" si="8"/>
        <v>0</v>
      </c>
      <c r="N71" s="367">
        <f t="shared" si="9"/>
        <v>0</v>
      </c>
    </row>
    <row r="72" spans="9:14">
      <c r="I72" s="366">
        <v>43678</v>
      </c>
      <c r="J72" s="366"/>
      <c r="K72" s="367">
        <f t="shared" si="8"/>
        <v>0</v>
      </c>
      <c r="N72" s="367">
        <f t="shared" si="9"/>
        <v>0</v>
      </c>
    </row>
    <row r="73" spans="9:14">
      <c r="I73" s="366">
        <v>43709</v>
      </c>
      <c r="J73" s="366"/>
      <c r="K73" s="367">
        <f t="shared" si="8"/>
        <v>0</v>
      </c>
      <c r="N73" s="367">
        <f t="shared" si="9"/>
        <v>0</v>
      </c>
    </row>
    <row r="74" spans="9:14">
      <c r="I74" s="366">
        <v>43739</v>
      </c>
      <c r="J74" s="366"/>
      <c r="K74" s="367">
        <f t="shared" si="8"/>
        <v>0</v>
      </c>
      <c r="N74" s="367">
        <f t="shared" si="9"/>
        <v>0</v>
      </c>
    </row>
    <row r="75" spans="9:14">
      <c r="I75" s="366">
        <v>43770</v>
      </c>
      <c r="J75" s="366"/>
      <c r="K75" s="367">
        <f t="shared" si="8"/>
        <v>0</v>
      </c>
      <c r="N75" s="367">
        <f t="shared" si="9"/>
        <v>0</v>
      </c>
    </row>
    <row r="76" spans="9:14">
      <c r="I76" s="366">
        <v>43800</v>
      </c>
      <c r="J76" s="366"/>
      <c r="K76" s="367">
        <f t="shared" si="8"/>
        <v>0</v>
      </c>
      <c r="N76" s="367">
        <f t="shared" si="9"/>
        <v>0</v>
      </c>
    </row>
    <row r="77" spans="9:14">
      <c r="K77" s="371">
        <f>SUM(K60:K76)</f>
        <v>244390</v>
      </c>
      <c r="L77" s="367"/>
      <c r="M77" s="367"/>
      <c r="N77" s="372">
        <f>SUM(N60:N76)</f>
        <v>244390</v>
      </c>
    </row>
    <row r="78" spans="9:14">
      <c r="K78" s="91">
        <f>K77-L50</f>
        <v>244390</v>
      </c>
      <c r="N78" s="91">
        <f>N77-O50</f>
        <v>244390</v>
      </c>
    </row>
  </sheetData>
  <mergeCells count="10">
    <mergeCell ref="Q50:R50"/>
    <mergeCell ref="A2:Q2"/>
    <mergeCell ref="A4:A5"/>
    <mergeCell ref="B4:B5"/>
    <mergeCell ref="C4:C5"/>
    <mergeCell ref="D4:D5"/>
    <mergeCell ref="G4:G5"/>
    <mergeCell ref="I4:I5"/>
    <mergeCell ref="K4:P4"/>
    <mergeCell ref="Q4:R4"/>
  </mergeCells>
  <conditionalFormatting sqref="F6">
    <cfRule type="cellIs" dxfId="23" priority="102" operator="greaterThan">
      <formula>$D$6</formula>
    </cfRule>
  </conditionalFormatting>
  <conditionalFormatting sqref="F14:F16">
    <cfRule type="cellIs" dxfId="22" priority="101" operator="greaterThan">
      <formula>$D$14</formula>
    </cfRule>
  </conditionalFormatting>
  <conditionalFormatting sqref="H6">
    <cfRule type="cellIs" dxfId="21" priority="71" operator="greaterThan">
      <formula>$G$6</formula>
    </cfRule>
  </conditionalFormatting>
  <conditionalFormatting sqref="H14:H16">
    <cfRule type="cellIs" dxfId="20" priority="70" operator="greaterThan">
      <formula>G14</formula>
    </cfRule>
  </conditionalFormatting>
  <conditionalFormatting sqref="F18:F20">
    <cfRule type="cellIs" dxfId="19" priority="18" operator="greaterThan">
      <formula>$D$14</formula>
    </cfRule>
  </conditionalFormatting>
  <conditionalFormatting sqref="H18:H20">
    <cfRule type="cellIs" dxfId="18" priority="17" operator="greaterThan">
      <formula>G18</formula>
    </cfRule>
  </conditionalFormatting>
  <conditionalFormatting sqref="F22:F25">
    <cfRule type="cellIs" dxfId="17" priority="16" operator="greaterThan">
      <formula>$D$14</formula>
    </cfRule>
  </conditionalFormatting>
  <conditionalFormatting sqref="H22:H25">
    <cfRule type="cellIs" dxfId="16" priority="15" operator="greaterThan">
      <formula>G22</formula>
    </cfRule>
  </conditionalFormatting>
  <conditionalFormatting sqref="F26:F28">
    <cfRule type="cellIs" dxfId="15" priority="14" operator="greaterThan">
      <formula>$D$14</formula>
    </cfRule>
  </conditionalFormatting>
  <conditionalFormatting sqref="H26:H28">
    <cfRule type="cellIs" dxfId="14" priority="13" operator="greaterThan">
      <formula>G26</formula>
    </cfRule>
  </conditionalFormatting>
  <conditionalFormatting sqref="F34:F36">
    <cfRule type="cellIs" dxfId="13" priority="8" operator="greaterThan">
      <formula>$D$14</formula>
    </cfRule>
  </conditionalFormatting>
  <conditionalFormatting sqref="H34:H36">
    <cfRule type="cellIs" dxfId="12" priority="7" operator="greaterThan">
      <formula>G34</formula>
    </cfRule>
  </conditionalFormatting>
  <conditionalFormatting sqref="H38:H40">
    <cfRule type="cellIs" dxfId="11" priority="5" operator="greaterThan">
      <formula>G38</formula>
    </cfRule>
  </conditionalFormatting>
  <conditionalFormatting sqref="F38:F40">
    <cfRule type="cellIs" dxfId="10" priority="6" operator="greaterThan">
      <formula>$D$14</formula>
    </cfRule>
  </conditionalFormatting>
  <conditionalFormatting sqref="H42:H44">
    <cfRule type="cellIs" dxfId="9" priority="3" operator="greaterThan">
      <formula>G42</formula>
    </cfRule>
  </conditionalFormatting>
  <conditionalFormatting sqref="H30:H32">
    <cfRule type="cellIs" dxfId="8" priority="1" operator="greaterThan">
      <formula>G30</formula>
    </cfRule>
  </conditionalFormatting>
  <conditionalFormatting sqref="F42:F44">
    <cfRule type="cellIs" dxfId="7" priority="4" operator="greaterThan">
      <formula>$D$14</formula>
    </cfRule>
  </conditionalFormatting>
  <conditionalFormatting sqref="F30:F32">
    <cfRule type="cellIs" dxfId="6" priority="2" operator="greaterThan">
      <formula>$D$14</formula>
    </cfRule>
  </conditionalFormatting>
  <pageMargins left="0.11811023622047245" right="0.11811023622047245" top="0.74803149606299213" bottom="0.74803149606299213" header="0.31496062992125984" footer="0.31496062992125984"/>
  <pageSetup paperSize="8" scale="70" orientation="landscape" r:id="rId1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">
    <tabColor rgb="FF00B050"/>
    <outlinePr summaryBelow="0"/>
    <pageSetUpPr fitToPage="1"/>
  </sheetPr>
  <dimension ref="A1:R81"/>
  <sheetViews>
    <sheetView view="pageBreakPreview" topLeftCell="A13" zoomScaleNormal="70" zoomScaleSheetLayoutView="100" workbookViewId="0">
      <selection activeCell="I6" sqref="I6:I45"/>
    </sheetView>
  </sheetViews>
  <sheetFormatPr defaultColWidth="11.42578125" defaultRowHeight="12" outlineLevelRow="1"/>
  <cols>
    <col min="1" max="1" width="13.42578125" style="6" bestFit="1" customWidth="1"/>
    <col min="2" max="2" width="30.42578125" style="1" bestFit="1" customWidth="1"/>
    <col min="3" max="3" width="11.42578125" style="1" bestFit="1" customWidth="1"/>
    <col min="4" max="4" width="13.42578125" style="1" bestFit="1" customWidth="1"/>
    <col min="5" max="5" width="14.42578125" style="1" customWidth="1"/>
    <col min="6" max="6" width="4.140625" style="6" bestFit="1" customWidth="1"/>
    <col min="7" max="7" width="10.42578125" style="1" bestFit="1" customWidth="1"/>
    <col min="8" max="8" width="13.42578125" style="1" customWidth="1"/>
    <col min="9" max="9" width="10.42578125" style="1" bestFit="1" customWidth="1"/>
    <col min="10" max="10" width="18.5703125" style="1" bestFit="1" customWidth="1"/>
    <col min="11" max="11" width="14.42578125" style="1" customWidth="1"/>
    <col min="12" max="13" width="14.42578125" style="1" bestFit="1" customWidth="1"/>
    <col min="14" max="14" width="14.28515625" style="1" customWidth="1"/>
    <col min="15" max="15" width="14.42578125" style="1" bestFit="1" customWidth="1"/>
    <col min="16" max="16" width="13.42578125" style="1" bestFit="1" customWidth="1"/>
    <col min="17" max="16384" width="11.42578125" style="1"/>
  </cols>
  <sheetData>
    <row r="1" spans="1:17" ht="12.75">
      <c r="O1" s="7" t="s">
        <v>25</v>
      </c>
      <c r="P1" s="8" t="s">
        <v>24</v>
      </c>
    </row>
    <row r="2" spans="1:17" ht="12.75">
      <c r="A2" s="1027" t="s">
        <v>5</v>
      </c>
      <c r="B2" s="1027"/>
      <c r="C2" s="1027"/>
      <c r="D2" s="1027"/>
      <c r="E2" s="1027"/>
      <c r="F2" s="1027"/>
      <c r="G2" s="1027"/>
      <c r="H2" s="1027"/>
      <c r="I2" s="1027"/>
      <c r="J2" s="1027"/>
      <c r="K2" s="1027"/>
      <c r="L2" s="9">
        <v>42155</v>
      </c>
      <c r="M2" s="9"/>
      <c r="P2" s="61">
        <v>2.9399999999999999E-2</v>
      </c>
    </row>
    <row r="4" spans="1:17" s="2" customFormat="1" ht="12.75">
      <c r="A4" s="1044" t="s">
        <v>2</v>
      </c>
      <c r="B4" s="1032" t="s">
        <v>0</v>
      </c>
      <c r="C4" s="1032" t="s">
        <v>21</v>
      </c>
      <c r="D4" s="1032" t="s">
        <v>12</v>
      </c>
      <c r="E4" s="1028" t="s">
        <v>4</v>
      </c>
      <c r="F4" s="1029"/>
      <c r="G4" s="1029"/>
      <c r="H4" s="1029"/>
      <c r="I4" s="1029"/>
      <c r="J4" s="1030"/>
      <c r="K4" s="1031" t="s">
        <v>13</v>
      </c>
      <c r="L4" s="1032"/>
      <c r="M4" s="3" t="s">
        <v>96</v>
      </c>
      <c r="P4" s="63">
        <v>41967</v>
      </c>
      <c r="Q4" s="63">
        <v>42185</v>
      </c>
    </row>
    <row r="5" spans="1:17" s="13" customFormat="1" ht="14.25" customHeight="1">
      <c r="A5" s="1045"/>
      <c r="B5" s="1046"/>
      <c r="C5" s="1046"/>
      <c r="D5" s="1046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  <c r="M5" s="3"/>
    </row>
    <row r="6" spans="1:17" ht="13.7" customHeight="1">
      <c r="A6" s="119" t="s">
        <v>7</v>
      </c>
      <c r="B6" s="120" t="s">
        <v>16</v>
      </c>
      <c r="C6" s="121">
        <v>40870</v>
      </c>
      <c r="D6" s="128">
        <f>341529.23+0.02</f>
        <v>341529.25</v>
      </c>
      <c r="E6" s="123"/>
      <c r="F6" s="124"/>
      <c r="G6" s="125"/>
      <c r="H6" s="126">
        <f>SUM(H7:H11)</f>
        <v>273223.40000000002</v>
      </c>
      <c r="I6" s="127"/>
      <c r="J6" s="125"/>
      <c r="K6" s="128">
        <f>SUM(K7:K11)</f>
        <v>68305.850000000006</v>
      </c>
      <c r="L6" s="128">
        <f>SUM(L7:L11)</f>
        <v>0</v>
      </c>
      <c r="M6" s="128"/>
      <c r="N6" s="166">
        <f>D6-(H6+K6+L6)</f>
        <v>0</v>
      </c>
    </row>
    <row r="7" spans="1:17" s="26" customFormat="1" ht="13.7" customHeight="1" outlineLevel="1">
      <c r="A7" s="46" t="s">
        <v>7</v>
      </c>
      <c r="B7" s="4"/>
      <c r="C7" s="15"/>
      <c r="D7" s="22"/>
      <c r="E7" s="23">
        <v>68305.850000000006</v>
      </c>
      <c r="F7" s="42">
        <v>1</v>
      </c>
      <c r="G7" s="15">
        <v>40968</v>
      </c>
      <c r="H7" s="24">
        <v>68305.850000000006</v>
      </c>
      <c r="I7" s="30">
        <v>42051</v>
      </c>
      <c r="J7" s="4">
        <f>$L$2-G7</f>
        <v>1187</v>
      </c>
      <c r="K7" s="16">
        <f>E7-H7</f>
        <v>0</v>
      </c>
      <c r="L7" s="16" t="str">
        <f t="shared" ref="L7:L36" si="0">IF(G7="",E7,"")</f>
        <v/>
      </c>
      <c r="M7" s="16"/>
      <c r="O7" s="27">
        <f t="shared" ref="O7:O12" si="1">K7</f>
        <v>0</v>
      </c>
      <c r="P7" s="27">
        <f>O7*$P$2*J7/365</f>
        <v>0</v>
      </c>
    </row>
    <row r="8" spans="1:17" s="26" customFormat="1" ht="13.7" customHeight="1" outlineLevel="1">
      <c r="A8" s="46" t="s">
        <v>7</v>
      </c>
      <c r="B8" s="4"/>
      <c r="C8" s="15"/>
      <c r="D8" s="22"/>
      <c r="E8" s="23">
        <v>68305.850000000006</v>
      </c>
      <c r="F8" s="42">
        <v>2</v>
      </c>
      <c r="G8" s="15">
        <v>41040</v>
      </c>
      <c r="H8" s="24">
        <v>68305.850000000006</v>
      </c>
      <c r="I8" s="30">
        <v>42051</v>
      </c>
      <c r="J8" s="4">
        <f>$L$2-G8</f>
        <v>1115</v>
      </c>
      <c r="K8" s="16">
        <f>E8-H8</f>
        <v>0</v>
      </c>
      <c r="L8" s="16" t="str">
        <f t="shared" si="0"/>
        <v/>
      </c>
      <c r="M8" s="16"/>
      <c r="O8" s="27">
        <f t="shared" si="1"/>
        <v>0</v>
      </c>
      <c r="P8" s="27">
        <f>O8*$P$2*J8/365</f>
        <v>0</v>
      </c>
    </row>
    <row r="9" spans="1:17" s="26" customFormat="1" ht="13.7" customHeight="1" outlineLevel="1">
      <c r="A9" s="46" t="s">
        <v>7</v>
      </c>
      <c r="B9" s="4"/>
      <c r="C9" s="15"/>
      <c r="D9" s="22"/>
      <c r="E9" s="23">
        <v>68305.850000000006</v>
      </c>
      <c r="F9" s="42">
        <v>3</v>
      </c>
      <c r="G9" s="15">
        <v>41134</v>
      </c>
      <c r="H9" s="24">
        <v>68305.850000000006</v>
      </c>
      <c r="I9" s="30">
        <v>42051</v>
      </c>
      <c r="J9" s="4">
        <f>$L$2-G9</f>
        <v>1021</v>
      </c>
      <c r="K9" s="16">
        <f>E9-H9</f>
        <v>0</v>
      </c>
      <c r="L9" s="16" t="str">
        <f t="shared" si="0"/>
        <v/>
      </c>
      <c r="M9" s="16"/>
      <c r="O9" s="27">
        <f t="shared" si="1"/>
        <v>0</v>
      </c>
      <c r="P9" s="27">
        <f>O9*$P$2*J9/365</f>
        <v>0</v>
      </c>
    </row>
    <row r="10" spans="1:17" s="26" customFormat="1" ht="14.25" customHeight="1" outlineLevel="1">
      <c r="A10" s="46" t="s">
        <v>7</v>
      </c>
      <c r="B10" s="4"/>
      <c r="C10" s="15"/>
      <c r="D10" s="22"/>
      <c r="E10" s="23">
        <v>68305.850000000006</v>
      </c>
      <c r="F10" s="42">
        <v>4</v>
      </c>
      <c r="G10" s="15">
        <v>41192</v>
      </c>
      <c r="H10" s="24">
        <v>68305.850000000006</v>
      </c>
      <c r="I10" s="30">
        <v>42051</v>
      </c>
      <c r="J10" s="4">
        <f>$L$2-G10</f>
        <v>963</v>
      </c>
      <c r="K10" s="16">
        <f>E10-H10</f>
        <v>0</v>
      </c>
      <c r="L10" s="16" t="str">
        <f t="shared" si="0"/>
        <v/>
      </c>
      <c r="M10" s="16"/>
      <c r="O10" s="27">
        <f t="shared" si="1"/>
        <v>0</v>
      </c>
      <c r="P10" s="27">
        <f>O10*$P$2*J10/365</f>
        <v>0</v>
      </c>
    </row>
    <row r="11" spans="1:17" s="26" customFormat="1" ht="14.25" customHeight="1" outlineLevel="1">
      <c r="A11" s="118" t="s">
        <v>7</v>
      </c>
      <c r="B11" s="32"/>
      <c r="C11" s="33"/>
      <c r="D11" s="187"/>
      <c r="E11" s="35">
        <v>68305.850000000006</v>
      </c>
      <c r="F11" s="44">
        <v>5</v>
      </c>
      <c r="G11" s="36">
        <v>42037</v>
      </c>
      <c r="H11" s="154" t="s">
        <v>93</v>
      </c>
      <c r="I11" s="38"/>
      <c r="J11" s="39">
        <f>$L$2-G11</f>
        <v>118</v>
      </c>
      <c r="K11" s="40">
        <f>E11</f>
        <v>68305.850000000006</v>
      </c>
      <c r="L11" s="40" t="str">
        <f t="shared" si="0"/>
        <v/>
      </c>
      <c r="M11" s="40"/>
      <c r="O11" s="27">
        <f t="shared" si="1"/>
        <v>68305.850000000006</v>
      </c>
      <c r="P11" s="26">
        <f>O11*$P$2*J11/365</f>
        <v>649.22371183561643</v>
      </c>
    </row>
    <row r="12" spans="1:17" ht="14.25" customHeight="1">
      <c r="A12" s="129" t="s">
        <v>11</v>
      </c>
      <c r="B12" s="130" t="s">
        <v>16</v>
      </c>
      <c r="C12" s="131">
        <v>40984</v>
      </c>
      <c r="D12" s="137">
        <f>119894.04+0.01</f>
        <v>119894.04999999999</v>
      </c>
      <c r="E12" s="132"/>
      <c r="F12" s="133"/>
      <c r="G12" s="134"/>
      <c r="H12" s="135">
        <f>SUM(H13:H17)</f>
        <v>95915.24</v>
      </c>
      <c r="I12" s="136"/>
      <c r="J12" s="134"/>
      <c r="K12" s="137">
        <f>SUM(K13:K17)</f>
        <v>23978.81</v>
      </c>
      <c r="L12" s="137">
        <f>SUM(L13:L17)</f>
        <v>0</v>
      </c>
      <c r="M12" s="137"/>
      <c r="N12" s="166">
        <f>D12-(H12+K12+L12)</f>
        <v>0</v>
      </c>
      <c r="O12" s="1">
        <f t="shared" si="1"/>
        <v>23978.81</v>
      </c>
    </row>
    <row r="13" spans="1:17" ht="12.75" outlineLevel="1">
      <c r="A13" s="46" t="s">
        <v>11</v>
      </c>
      <c r="B13" s="4"/>
      <c r="C13" s="15"/>
      <c r="D13" s="22"/>
      <c r="E13" s="23">
        <v>23978.81</v>
      </c>
      <c r="F13" s="42">
        <v>1</v>
      </c>
      <c r="G13" s="15">
        <v>40989</v>
      </c>
      <c r="H13" s="24">
        <v>23978.81</v>
      </c>
      <c r="I13" s="30">
        <v>41059</v>
      </c>
      <c r="J13" s="4">
        <f>I13-G13</f>
        <v>70</v>
      </c>
      <c r="K13" s="16">
        <f>E13-H13</f>
        <v>0</v>
      </c>
      <c r="L13" s="16" t="str">
        <f t="shared" si="0"/>
        <v/>
      </c>
      <c r="M13" s="16"/>
      <c r="O13" s="27">
        <f>E13</f>
        <v>23978.81</v>
      </c>
      <c r="P13" s="27">
        <f>O13*$P$2*J13/365</f>
        <v>135.2010711780822</v>
      </c>
    </row>
    <row r="14" spans="1:17" ht="14.25" customHeight="1" outlineLevel="1">
      <c r="A14" s="46" t="s">
        <v>11</v>
      </c>
      <c r="B14" s="4"/>
      <c r="C14" s="15"/>
      <c r="D14" s="22"/>
      <c r="E14" s="23">
        <v>23978.81</v>
      </c>
      <c r="F14" s="42">
        <v>2</v>
      </c>
      <c r="G14" s="15">
        <v>41040</v>
      </c>
      <c r="H14" s="24">
        <v>23978.81</v>
      </c>
      <c r="I14" s="30">
        <v>41652</v>
      </c>
      <c r="J14" s="4">
        <f>I14-G14</f>
        <v>612</v>
      </c>
      <c r="K14" s="16">
        <f>E14-H14</f>
        <v>0</v>
      </c>
      <c r="L14" s="16" t="str">
        <f t="shared" si="0"/>
        <v/>
      </c>
      <c r="M14" s="16"/>
      <c r="O14" s="27">
        <f>E14</f>
        <v>23978.81</v>
      </c>
      <c r="P14" s="27">
        <f>O14*$P$2*J14/365</f>
        <v>1182.043650871233</v>
      </c>
    </row>
    <row r="15" spans="1:17" ht="14.25" customHeight="1" outlineLevel="1">
      <c r="A15" s="46" t="s">
        <v>11</v>
      </c>
      <c r="B15" s="4"/>
      <c r="C15" s="15"/>
      <c r="D15" s="22"/>
      <c r="E15" s="23">
        <v>23978.81</v>
      </c>
      <c r="F15" s="42">
        <v>3</v>
      </c>
      <c r="G15" s="15">
        <v>41134</v>
      </c>
      <c r="H15" s="24">
        <v>23978.81</v>
      </c>
      <c r="I15" s="30">
        <v>41652</v>
      </c>
      <c r="J15" s="4">
        <f>I15-G15</f>
        <v>518</v>
      </c>
      <c r="K15" s="16">
        <f>E15-H15</f>
        <v>0</v>
      </c>
      <c r="L15" s="16" t="str">
        <f t="shared" si="0"/>
        <v/>
      </c>
      <c r="M15" s="16"/>
      <c r="O15" s="27">
        <f>E15</f>
        <v>23978.81</v>
      </c>
      <c r="P15" s="27">
        <f>O15*$P$2*J15/365</f>
        <v>1000.4879267178084</v>
      </c>
    </row>
    <row r="16" spans="1:17" ht="14.25" customHeight="1" outlineLevel="1">
      <c r="A16" s="46" t="s">
        <v>11</v>
      </c>
      <c r="B16" s="4"/>
      <c r="C16" s="15"/>
      <c r="D16" s="22"/>
      <c r="E16" s="23">
        <v>23978.81</v>
      </c>
      <c r="F16" s="42">
        <v>4</v>
      </c>
      <c r="G16" s="15">
        <v>41192</v>
      </c>
      <c r="H16" s="24">
        <v>23978.81</v>
      </c>
      <c r="I16" s="30">
        <v>41652</v>
      </c>
      <c r="J16" s="4">
        <f>I16-G16</f>
        <v>460</v>
      </c>
      <c r="K16" s="16">
        <f>E16-H16</f>
        <v>0</v>
      </c>
      <c r="L16" s="16" t="str">
        <f t="shared" si="0"/>
        <v/>
      </c>
      <c r="M16" s="16"/>
      <c r="O16" s="27">
        <f>E16</f>
        <v>23978.81</v>
      </c>
      <c r="P16" s="27">
        <f>O16*$P$2*J16/365</f>
        <v>888.46418202739733</v>
      </c>
    </row>
    <row r="17" spans="1:16" s="26" customFormat="1" ht="14.25" customHeight="1" outlineLevel="1">
      <c r="A17" s="46" t="s">
        <v>11</v>
      </c>
      <c r="B17" s="28"/>
      <c r="C17" s="29"/>
      <c r="D17" s="188"/>
      <c r="E17" s="23">
        <v>23978.81</v>
      </c>
      <c r="F17" s="42">
        <v>5</v>
      </c>
      <c r="G17" s="15">
        <v>42037</v>
      </c>
      <c r="H17" s="112" t="s">
        <v>93</v>
      </c>
      <c r="I17" s="25"/>
      <c r="J17" s="4"/>
      <c r="K17" s="16">
        <f>E17</f>
        <v>23978.81</v>
      </c>
      <c r="L17" s="16" t="str">
        <f t="shared" si="0"/>
        <v/>
      </c>
      <c r="M17" s="16"/>
      <c r="O17" s="27"/>
    </row>
    <row r="18" spans="1:16" ht="14.25" customHeight="1">
      <c r="A18" s="119" t="s">
        <v>8</v>
      </c>
      <c r="B18" s="125" t="s">
        <v>17</v>
      </c>
      <c r="C18" s="121">
        <v>41145</v>
      </c>
      <c r="D18" s="128">
        <f>150077.39</f>
        <v>150077.39000000001</v>
      </c>
      <c r="E18" s="123"/>
      <c r="F18" s="138"/>
      <c r="G18" s="125"/>
      <c r="H18" s="126">
        <f>SUM(H19:H23)</f>
        <v>120061.92</v>
      </c>
      <c r="I18" s="127"/>
      <c r="J18" s="125"/>
      <c r="K18" s="128">
        <f>SUM(K19:K23)</f>
        <v>30015.47</v>
      </c>
      <c r="L18" s="128">
        <f>SUM(L19:L23)</f>
        <v>0</v>
      </c>
      <c r="M18" s="128"/>
      <c r="N18" s="166">
        <f>D18-(H18+K18+L18)</f>
        <v>0</v>
      </c>
    </row>
    <row r="19" spans="1:16" s="26" customFormat="1" ht="14.25" customHeight="1" outlineLevel="1">
      <c r="A19" s="46" t="s">
        <v>8</v>
      </c>
      <c r="B19" s="4"/>
      <c r="C19" s="15"/>
      <c r="D19" s="22"/>
      <c r="E19" s="23">
        <v>30015.48</v>
      </c>
      <c r="F19" s="42">
        <v>1</v>
      </c>
      <c r="G19" s="15">
        <v>41317</v>
      </c>
      <c r="H19" s="24">
        <v>30015.48</v>
      </c>
      <c r="I19" s="30">
        <v>42073</v>
      </c>
      <c r="J19" s="4">
        <f>I19-G19</f>
        <v>756</v>
      </c>
      <c r="K19" s="16">
        <f>E19-H19</f>
        <v>0</v>
      </c>
      <c r="L19" s="16" t="str">
        <f t="shared" si="0"/>
        <v/>
      </c>
      <c r="M19" s="16"/>
      <c r="O19" s="27">
        <f>K19</f>
        <v>0</v>
      </c>
      <c r="P19" s="27">
        <f>O19*$P$2*J19/365</f>
        <v>0</v>
      </c>
    </row>
    <row r="20" spans="1:16" s="26" customFormat="1" ht="14.25" customHeight="1" outlineLevel="1">
      <c r="A20" s="46" t="s">
        <v>8</v>
      </c>
      <c r="B20" s="4"/>
      <c r="C20" s="15"/>
      <c r="D20" s="22"/>
      <c r="E20" s="23">
        <v>30015.48</v>
      </c>
      <c r="F20" s="42">
        <v>2</v>
      </c>
      <c r="G20" s="15">
        <v>41387</v>
      </c>
      <c r="H20" s="24">
        <v>30015.48</v>
      </c>
      <c r="I20" s="30">
        <v>42073</v>
      </c>
      <c r="J20" s="4">
        <f>I20-G20</f>
        <v>686</v>
      </c>
      <c r="K20" s="16">
        <f>E20-H20</f>
        <v>0</v>
      </c>
      <c r="L20" s="16" t="str">
        <f t="shared" si="0"/>
        <v/>
      </c>
      <c r="M20" s="16"/>
      <c r="O20" s="27">
        <f>K20</f>
        <v>0</v>
      </c>
      <c r="P20" s="27">
        <f>O20*$P$2*J20/365</f>
        <v>0</v>
      </c>
    </row>
    <row r="21" spans="1:16" s="26" customFormat="1" ht="14.25" customHeight="1" outlineLevel="1">
      <c r="A21" s="46" t="s">
        <v>8</v>
      </c>
      <c r="B21" s="4"/>
      <c r="C21" s="15"/>
      <c r="D21" s="22"/>
      <c r="E21" s="23">
        <v>30015.48</v>
      </c>
      <c r="F21" s="42">
        <v>3</v>
      </c>
      <c r="G21" s="15">
        <v>41423</v>
      </c>
      <c r="H21" s="24">
        <v>30015.48</v>
      </c>
      <c r="I21" s="30">
        <v>42073</v>
      </c>
      <c r="J21" s="4">
        <f>I21-G21</f>
        <v>650</v>
      </c>
      <c r="K21" s="16">
        <f>E21-H21</f>
        <v>0</v>
      </c>
      <c r="L21" s="16" t="str">
        <f t="shared" si="0"/>
        <v/>
      </c>
      <c r="M21" s="16"/>
      <c r="O21" s="27">
        <f>K21</f>
        <v>0</v>
      </c>
      <c r="P21" s="27">
        <f>O21*$P$2*J21/365</f>
        <v>0</v>
      </c>
    </row>
    <row r="22" spans="1:16" s="26" customFormat="1" ht="14.25" customHeight="1" outlineLevel="1">
      <c r="A22" s="46" t="s">
        <v>8</v>
      </c>
      <c r="B22" s="4"/>
      <c r="C22" s="15"/>
      <c r="D22" s="22"/>
      <c r="E22" s="23">
        <v>30015.48</v>
      </c>
      <c r="F22" s="42">
        <v>4</v>
      </c>
      <c r="G22" s="15">
        <v>41466</v>
      </c>
      <c r="H22" s="24">
        <v>30015.48</v>
      </c>
      <c r="I22" s="30">
        <v>42073</v>
      </c>
      <c r="J22" s="4">
        <f>I22-G22</f>
        <v>607</v>
      </c>
      <c r="K22" s="16">
        <f>E22-H22</f>
        <v>0</v>
      </c>
      <c r="L22" s="16" t="str">
        <f t="shared" si="0"/>
        <v/>
      </c>
      <c r="M22" s="16"/>
      <c r="O22" s="27">
        <f>K22</f>
        <v>0</v>
      </c>
      <c r="P22" s="27">
        <f>O22*$P$2*J22/365</f>
        <v>0</v>
      </c>
    </row>
    <row r="23" spans="1:16" s="31" customFormat="1" ht="14.25" customHeight="1" outlineLevel="1">
      <c r="A23" s="118" t="s">
        <v>8</v>
      </c>
      <c r="B23" s="32"/>
      <c r="C23" s="33"/>
      <c r="D23" s="187"/>
      <c r="E23" s="35">
        <v>30015.47</v>
      </c>
      <c r="F23" s="44">
        <v>5</v>
      </c>
      <c r="G23" s="36">
        <v>42811</v>
      </c>
      <c r="H23" s="154" t="s">
        <v>93</v>
      </c>
      <c r="I23" s="155"/>
      <c r="J23" s="39">
        <f>I23-G23</f>
        <v>-42811</v>
      </c>
      <c r="K23" s="16">
        <f>E23</f>
        <v>30015.47</v>
      </c>
      <c r="L23" s="40" t="str">
        <f t="shared" si="0"/>
        <v/>
      </c>
      <c r="M23" s="40"/>
      <c r="O23" s="27">
        <f>K23</f>
        <v>30015.47</v>
      </c>
      <c r="P23" s="31">
        <f>O23*$P$2*J23/365</f>
        <v>-103503.48825588493</v>
      </c>
    </row>
    <row r="24" spans="1:16" ht="14.25" customHeight="1">
      <c r="A24" s="129" t="s">
        <v>128</v>
      </c>
      <c r="B24" s="134" t="s">
        <v>6</v>
      </c>
      <c r="C24" s="131">
        <v>41145</v>
      </c>
      <c r="D24" s="137">
        <v>114200</v>
      </c>
      <c r="E24" s="139"/>
      <c r="F24" s="140"/>
      <c r="G24" s="139"/>
      <c r="H24" s="132">
        <f>SUM(H25)</f>
        <v>114200</v>
      </c>
      <c r="I24" s="136"/>
      <c r="J24" s="139"/>
      <c r="K24" s="123">
        <f>SUM(K25)</f>
        <v>0</v>
      </c>
      <c r="L24" s="132">
        <f>SUM(L25)</f>
        <v>0</v>
      </c>
      <c r="M24" s="141"/>
      <c r="N24" s="166">
        <f>D24-(H24+K24+L24)</f>
        <v>0</v>
      </c>
      <c r="O24" s="27">
        <f>K25</f>
        <v>0</v>
      </c>
      <c r="P24" s="27">
        <f>O24*$P$2*J25/365</f>
        <v>0</v>
      </c>
    </row>
    <row r="25" spans="1:16" ht="14.25" customHeight="1">
      <c r="A25" s="46" t="s">
        <v>128</v>
      </c>
      <c r="B25" s="4"/>
      <c r="C25" s="15"/>
      <c r="D25" s="22"/>
      <c r="E25" s="23">
        <v>114200</v>
      </c>
      <c r="F25" s="42">
        <v>1</v>
      </c>
      <c r="G25" s="15">
        <v>41554</v>
      </c>
      <c r="H25" s="24">
        <v>114200</v>
      </c>
      <c r="I25" s="30">
        <v>42234</v>
      </c>
      <c r="J25" s="4">
        <f>$L$2-G25</f>
        <v>601</v>
      </c>
      <c r="K25" s="16">
        <f>E25-H24</f>
        <v>0</v>
      </c>
      <c r="L25" s="22" t="str">
        <f t="shared" si="0"/>
        <v/>
      </c>
      <c r="M25" s="22"/>
    </row>
    <row r="26" spans="1:16" ht="14.25" customHeight="1">
      <c r="A26" s="119" t="s">
        <v>9</v>
      </c>
      <c r="B26" s="120" t="s">
        <v>16</v>
      </c>
      <c r="C26" s="121">
        <v>41047</v>
      </c>
      <c r="D26" s="128">
        <f>184958.11+0.04</f>
        <v>184958.15</v>
      </c>
      <c r="E26" s="123"/>
      <c r="F26" s="138"/>
      <c r="G26" s="125"/>
      <c r="H26" s="126">
        <f>SUM(H27:H31)</f>
        <v>147966.51999999999</v>
      </c>
      <c r="I26" s="127"/>
      <c r="J26" s="125"/>
      <c r="K26" s="128">
        <f>SUM(K27:K31)</f>
        <v>36991.629999999997</v>
      </c>
      <c r="L26" s="128">
        <f>SUM(L27:L31)</f>
        <v>0</v>
      </c>
      <c r="M26" s="128"/>
      <c r="N26" s="166">
        <f>D26-(H26+K26+L26)</f>
        <v>0</v>
      </c>
    </row>
    <row r="27" spans="1:16" s="26" customFormat="1" ht="14.25" customHeight="1" outlineLevel="1">
      <c r="A27" s="46" t="s">
        <v>9</v>
      </c>
      <c r="B27" s="4"/>
      <c r="C27" s="15"/>
      <c r="D27" s="22"/>
      <c r="E27" s="23">
        <v>36991.629999999997</v>
      </c>
      <c r="F27" s="42">
        <v>1</v>
      </c>
      <c r="G27" s="15">
        <v>41715</v>
      </c>
      <c r="H27" s="24">
        <v>36991.629999999997</v>
      </c>
      <c r="I27" s="30">
        <v>43384</v>
      </c>
      <c r="J27" s="4">
        <f>$L$2-G27</f>
        <v>440</v>
      </c>
      <c r="K27" s="16">
        <f>E27-H27</f>
        <v>0</v>
      </c>
      <c r="L27" s="16" t="str">
        <f t="shared" si="0"/>
        <v/>
      </c>
      <c r="M27" s="16"/>
      <c r="O27" s="27">
        <f>K27</f>
        <v>0</v>
      </c>
      <c r="P27" s="27">
        <f>O27*$P$2*J27/365</f>
        <v>0</v>
      </c>
    </row>
    <row r="28" spans="1:16" s="26" customFormat="1" ht="14.25" customHeight="1" outlineLevel="1">
      <c r="A28" s="46" t="s">
        <v>9</v>
      </c>
      <c r="B28" s="4"/>
      <c r="C28" s="15"/>
      <c r="D28" s="22"/>
      <c r="E28" s="23">
        <v>36991.629999999997</v>
      </c>
      <c r="F28" s="42">
        <v>2</v>
      </c>
      <c r="G28" s="15">
        <v>41715</v>
      </c>
      <c r="H28" s="24">
        <v>36991.629999999997</v>
      </c>
      <c r="I28" s="30">
        <v>43384</v>
      </c>
      <c r="J28" s="4">
        <f>$L$2-G28</f>
        <v>440</v>
      </c>
      <c r="K28" s="16">
        <f>E28-H28</f>
        <v>0</v>
      </c>
      <c r="L28" s="16" t="str">
        <f t="shared" si="0"/>
        <v/>
      </c>
      <c r="M28" s="16"/>
      <c r="O28" s="27">
        <f>K28</f>
        <v>0</v>
      </c>
      <c r="P28" s="27">
        <f>O28*$P$2*J28/365</f>
        <v>0</v>
      </c>
    </row>
    <row r="29" spans="1:16" s="26" customFormat="1" ht="14.25" customHeight="1" outlineLevel="1">
      <c r="A29" s="46" t="s">
        <v>9</v>
      </c>
      <c r="B29" s="4"/>
      <c r="C29" s="15"/>
      <c r="D29" s="22"/>
      <c r="E29" s="23">
        <v>36991.629999999997</v>
      </c>
      <c r="F29" s="42">
        <v>3</v>
      </c>
      <c r="G29" s="15">
        <v>41715</v>
      </c>
      <c r="H29" s="24">
        <v>36991.629999999997</v>
      </c>
      <c r="I29" s="30">
        <v>43384</v>
      </c>
      <c r="J29" s="4">
        <f>$L$2-G29</f>
        <v>440</v>
      </c>
      <c r="K29" s="16">
        <f>E29-H29</f>
        <v>0</v>
      </c>
      <c r="L29" s="16" t="str">
        <f t="shared" si="0"/>
        <v/>
      </c>
      <c r="M29" s="16"/>
      <c r="O29" s="27">
        <f>K29</f>
        <v>0</v>
      </c>
      <c r="P29" s="27">
        <f>O29*$P$2*J29/365</f>
        <v>0</v>
      </c>
    </row>
    <row r="30" spans="1:16" s="26" customFormat="1" ht="14.25" customHeight="1" outlineLevel="1">
      <c r="A30" s="46" t="s">
        <v>9</v>
      </c>
      <c r="B30" s="4"/>
      <c r="C30" s="15"/>
      <c r="D30" s="22"/>
      <c r="E30" s="23">
        <v>36991.629999999997</v>
      </c>
      <c r="F30" s="42">
        <v>4</v>
      </c>
      <c r="G30" s="15">
        <v>41715</v>
      </c>
      <c r="H30" s="24">
        <v>36991.629999999997</v>
      </c>
      <c r="I30" s="30">
        <v>43384</v>
      </c>
      <c r="J30" s="4">
        <f>$L$2-G30</f>
        <v>440</v>
      </c>
      <c r="K30" s="16">
        <f>E30-H30</f>
        <v>0</v>
      </c>
      <c r="L30" s="16" t="str">
        <f t="shared" si="0"/>
        <v/>
      </c>
      <c r="M30" s="16"/>
      <c r="O30" s="27">
        <f>K30</f>
        <v>0</v>
      </c>
      <c r="P30" s="27">
        <f>O30*$P$2*J30/365</f>
        <v>0</v>
      </c>
    </row>
    <row r="31" spans="1:16" s="31" customFormat="1" ht="14.25" customHeight="1" outlineLevel="1">
      <c r="A31" s="118" t="s">
        <v>9</v>
      </c>
      <c r="B31" s="32"/>
      <c r="C31" s="33"/>
      <c r="D31" s="187"/>
      <c r="E31" s="35">
        <v>36991.629999999997</v>
      </c>
      <c r="F31" s="44">
        <v>5</v>
      </c>
      <c r="G31" s="36">
        <v>43000</v>
      </c>
      <c r="H31" s="154" t="s">
        <v>93</v>
      </c>
      <c r="I31" s="38"/>
      <c r="J31" s="39">
        <f>$L$2-G31</f>
        <v>-845</v>
      </c>
      <c r="K31" s="40">
        <f>+E31</f>
        <v>36991.629999999997</v>
      </c>
      <c r="L31" s="40" t="str">
        <f t="shared" si="0"/>
        <v/>
      </c>
      <c r="M31" s="40"/>
      <c r="O31" s="31">
        <f>K31</f>
        <v>36991.629999999997</v>
      </c>
      <c r="P31" s="31">
        <f>O31*$P$2*J31/365</f>
        <v>-2517.761819424657</v>
      </c>
    </row>
    <row r="32" spans="1:16" ht="14.25" customHeight="1">
      <c r="A32" s="129" t="s">
        <v>10</v>
      </c>
      <c r="B32" s="130" t="s">
        <v>17</v>
      </c>
      <c r="C32" s="131">
        <v>41150</v>
      </c>
      <c r="D32" s="137">
        <f>206916.91</f>
        <v>206916.91</v>
      </c>
      <c r="E32" s="132"/>
      <c r="F32" s="133"/>
      <c r="G32" s="134"/>
      <c r="H32" s="135">
        <f>SUM(H33:H37)</f>
        <v>165533.56</v>
      </c>
      <c r="I32" s="136"/>
      <c r="J32" s="134"/>
      <c r="K32" s="137">
        <f>SUM(K33:K37)</f>
        <v>41383.379999999997</v>
      </c>
      <c r="L32" s="137">
        <f>SUM(L33:L37)</f>
        <v>0</v>
      </c>
      <c r="M32" s="137"/>
      <c r="N32" s="166">
        <f>D32-(H32+K32+L32)</f>
        <v>-2.9999999998835847E-2</v>
      </c>
    </row>
    <row r="33" spans="1:18" s="26" customFormat="1" ht="14.25" customHeight="1" outlineLevel="1">
      <c r="A33" s="46" t="s">
        <v>10</v>
      </c>
      <c r="B33" s="4"/>
      <c r="C33" s="15"/>
      <c r="D33" s="16"/>
      <c r="E33" s="23">
        <v>41383.39</v>
      </c>
      <c r="F33" s="42">
        <v>1</v>
      </c>
      <c r="G33" s="15">
        <v>41561</v>
      </c>
      <c r="H33" s="24">
        <v>41383.39</v>
      </c>
      <c r="I33" s="30">
        <v>43356</v>
      </c>
      <c r="J33" s="4">
        <f>$L$2-G33</f>
        <v>594</v>
      </c>
      <c r="K33" s="16">
        <v>0</v>
      </c>
      <c r="L33" s="16" t="str">
        <f t="shared" si="0"/>
        <v/>
      </c>
      <c r="M33" s="16"/>
      <c r="O33" s="27">
        <f>K33</f>
        <v>0</v>
      </c>
      <c r="P33" s="27">
        <f>O33*$P$2*J33/365</f>
        <v>0</v>
      </c>
    </row>
    <row r="34" spans="1:18" s="26" customFormat="1" ht="14.25" customHeight="1" outlineLevel="1">
      <c r="A34" s="46" t="s">
        <v>10</v>
      </c>
      <c r="B34" s="4"/>
      <c r="C34" s="15"/>
      <c r="D34" s="16"/>
      <c r="E34" s="23">
        <v>41383.39</v>
      </c>
      <c r="F34" s="42">
        <v>2</v>
      </c>
      <c r="G34" s="15">
        <v>41561</v>
      </c>
      <c r="H34" s="24">
        <v>41383.39</v>
      </c>
      <c r="I34" s="30">
        <v>43368</v>
      </c>
      <c r="J34" s="4">
        <f>$L$2-G34</f>
        <v>594</v>
      </c>
      <c r="K34" s="16">
        <v>0</v>
      </c>
      <c r="L34" s="16" t="str">
        <f t="shared" si="0"/>
        <v/>
      </c>
      <c r="M34" s="16"/>
      <c r="O34" s="27">
        <f>K34</f>
        <v>0</v>
      </c>
      <c r="P34" s="27">
        <f>O34*$P$2*J34/365</f>
        <v>0</v>
      </c>
    </row>
    <row r="35" spans="1:18" s="26" customFormat="1" ht="14.25" customHeight="1" outlineLevel="1">
      <c r="A35" s="46" t="s">
        <v>10</v>
      </c>
      <c r="B35" s="4"/>
      <c r="C35" s="15"/>
      <c r="D35" s="16"/>
      <c r="E35" s="23">
        <v>41383.39</v>
      </c>
      <c r="F35" s="42">
        <v>3</v>
      </c>
      <c r="G35" s="15">
        <v>41582</v>
      </c>
      <c r="H35" s="24">
        <v>41383.39</v>
      </c>
      <c r="I35" s="30">
        <v>43368</v>
      </c>
      <c r="J35" s="4">
        <f>$L$2-G35</f>
        <v>573</v>
      </c>
      <c r="K35" s="16">
        <v>0</v>
      </c>
      <c r="L35" s="16" t="str">
        <f t="shared" si="0"/>
        <v/>
      </c>
      <c r="M35" s="16"/>
      <c r="O35" s="27">
        <f>K35</f>
        <v>0</v>
      </c>
      <c r="P35" s="27">
        <f>O35*$P$2*J35/365</f>
        <v>0</v>
      </c>
    </row>
    <row r="36" spans="1:18" s="26" customFormat="1" ht="14.25" customHeight="1" outlineLevel="1">
      <c r="A36" s="46" t="s">
        <v>10</v>
      </c>
      <c r="B36" s="4"/>
      <c r="C36" s="15"/>
      <c r="D36" s="16"/>
      <c r="E36" s="23">
        <v>41383.39</v>
      </c>
      <c r="F36" s="42">
        <v>4</v>
      </c>
      <c r="G36" s="15">
        <v>41646</v>
      </c>
      <c r="H36" s="24">
        <v>41383.39</v>
      </c>
      <c r="I36" s="30">
        <v>43369</v>
      </c>
      <c r="J36" s="4">
        <f>$L$2-G36</f>
        <v>509</v>
      </c>
      <c r="K36" s="16">
        <v>0</v>
      </c>
      <c r="L36" s="16" t="str">
        <f t="shared" si="0"/>
        <v/>
      </c>
      <c r="M36" s="16"/>
      <c r="O36" s="27">
        <f>K36</f>
        <v>0</v>
      </c>
      <c r="P36" s="27">
        <f>O36*$P$2*J36/365</f>
        <v>0</v>
      </c>
    </row>
    <row r="37" spans="1:18" s="5" customFormat="1" outlineLevel="1">
      <c r="A37" s="118" t="s">
        <v>10</v>
      </c>
      <c r="B37" s="32"/>
      <c r="C37" s="33"/>
      <c r="D37" s="34"/>
      <c r="E37" s="35">
        <v>41383.379999999997</v>
      </c>
      <c r="F37" s="44">
        <v>5</v>
      </c>
      <c r="G37" s="36">
        <v>42782</v>
      </c>
      <c r="H37" s="154" t="s">
        <v>93</v>
      </c>
      <c r="I37" s="38"/>
      <c r="J37" s="39">
        <f>$L$2-G37</f>
        <v>-627</v>
      </c>
      <c r="K37" s="16">
        <f>E37</f>
        <v>41383.379999999997</v>
      </c>
      <c r="L37" s="40" t="str">
        <f>IF(G37="",E37,"")</f>
        <v/>
      </c>
      <c r="M37" s="40"/>
    </row>
    <row r="38" spans="1:18" s="8" customFormat="1" ht="12.75">
      <c r="A38" s="48"/>
      <c r="B38" s="48"/>
      <c r="C38" s="48"/>
      <c r="D38" s="41">
        <f>SUM(D6:D37)</f>
        <v>1117575.75</v>
      </c>
      <c r="E38" s="41">
        <f>SUM(E6:E37)</f>
        <v>1117575.7799999998</v>
      </c>
      <c r="F38" s="49"/>
      <c r="G38" s="50"/>
      <c r="H38" s="41">
        <f>H6+H12+H18+H24+H26+H32</f>
        <v>916900.64000000013</v>
      </c>
      <c r="I38" s="50"/>
      <c r="J38" s="50"/>
      <c r="K38" s="41">
        <f>K6+K12+K18+K24+K26+K32</f>
        <v>200675.14</v>
      </c>
      <c r="L38" s="41">
        <f>L6+L12+L18+L24+L26+L32</f>
        <v>0</v>
      </c>
      <c r="M38" s="41"/>
      <c r="O38" s="41">
        <f>SUM(O6:O37)</f>
        <v>255207</v>
      </c>
      <c r="P38" s="41">
        <f>SUM(P6:P37)</f>
        <v>-102165.82953267946</v>
      </c>
    </row>
    <row r="39" spans="1:18" ht="12.75">
      <c r="A39" s="64"/>
      <c r="B39" s="65"/>
      <c r="C39" s="65"/>
      <c r="D39" s="65"/>
      <c r="E39" s="65"/>
      <c r="F39" s="64"/>
      <c r="G39" s="65"/>
      <c r="H39" s="65"/>
      <c r="I39" s="65"/>
      <c r="J39" s="65"/>
      <c r="K39" s="1050">
        <f>SUM(K38:L38)</f>
        <v>200675.14</v>
      </c>
      <c r="L39" s="1051"/>
      <c r="M39" s="145"/>
    </row>
    <row r="40" spans="1:18" s="47" customFormat="1" ht="12.75">
      <c r="A40" s="142" t="s">
        <v>22</v>
      </c>
      <c r="B40" s="125" t="s">
        <v>23</v>
      </c>
      <c r="C40" s="121">
        <v>41131</v>
      </c>
      <c r="D40" s="128">
        <v>3152932.53</v>
      </c>
      <c r="E40" s="122"/>
      <c r="F40" s="143"/>
      <c r="G40" s="121"/>
      <c r="H40" s="122"/>
      <c r="I40" s="121"/>
      <c r="J40" s="144">
        <f>I40-G40</f>
        <v>0</v>
      </c>
      <c r="K40" s="128"/>
      <c r="L40" s="128"/>
      <c r="M40" s="144"/>
      <c r="N40" s="166"/>
      <c r="O40" s="27">
        <f>H40</f>
        <v>0</v>
      </c>
      <c r="P40" s="27">
        <f>O40*$P$2*J40/365</f>
        <v>0</v>
      </c>
    </row>
    <row r="41" spans="1:18" s="47" customFormat="1" ht="12.75">
      <c r="A41" s="189" t="s">
        <v>22</v>
      </c>
      <c r="B41" s="190"/>
      <c r="C41" s="191"/>
      <c r="D41" s="192"/>
      <c r="E41" s="193">
        <v>91990.6</v>
      </c>
      <c r="F41" s="194">
        <v>1</v>
      </c>
      <c r="G41" s="191">
        <v>41443</v>
      </c>
      <c r="H41" s="23">
        <v>91990.6</v>
      </c>
      <c r="I41" s="191">
        <v>41548</v>
      </c>
      <c r="J41" s="196">
        <f>I41-G41</f>
        <v>105</v>
      </c>
      <c r="K41" s="16">
        <f>E41-H41</f>
        <v>0</v>
      </c>
      <c r="L41" s="192"/>
      <c r="M41" s="195"/>
      <c r="O41" s="27"/>
      <c r="P41" s="27"/>
    </row>
    <row r="42" spans="1:18">
      <c r="A42" s="69" t="s">
        <v>22</v>
      </c>
      <c r="B42" s="66"/>
      <c r="C42" s="66"/>
      <c r="D42" s="66"/>
      <c r="E42" s="16">
        <v>319852</v>
      </c>
      <c r="F42" s="68">
        <v>2</v>
      </c>
      <c r="G42" s="67">
        <v>41939</v>
      </c>
      <c r="H42" s="303">
        <v>319852</v>
      </c>
      <c r="I42" s="67">
        <v>42277</v>
      </c>
      <c r="J42" s="4">
        <f>$L$2-G42</f>
        <v>216</v>
      </c>
      <c r="K42" s="16">
        <f>E42-H42</f>
        <v>0</v>
      </c>
      <c r="L42" s="66"/>
      <c r="M42" s="66"/>
      <c r="O42" s="27">
        <f>K42</f>
        <v>0</v>
      </c>
      <c r="P42" s="27"/>
      <c r="Q42" s="27">
        <f>O42*P2*180/365</f>
        <v>0</v>
      </c>
    </row>
    <row r="43" spans="1:18">
      <c r="A43" s="69" t="s">
        <v>22</v>
      </c>
      <c r="B43" s="66" t="s">
        <v>26</v>
      </c>
      <c r="C43" s="66"/>
      <c r="D43" s="66"/>
      <c r="E43" s="193">
        <v>1442192.77</v>
      </c>
      <c r="F43" s="68">
        <v>3</v>
      </c>
      <c r="G43" s="67">
        <v>41960</v>
      </c>
      <c r="H43" s="16">
        <v>1442192.77</v>
      </c>
      <c r="I43" s="67">
        <v>42387</v>
      </c>
      <c r="J43" s="4">
        <f>$L$2-G43</f>
        <v>195</v>
      </c>
      <c r="K43" s="16">
        <v>0</v>
      </c>
      <c r="L43" s="72" t="str">
        <f>IF(G43="",E43,"")</f>
        <v/>
      </c>
      <c r="M43" s="72"/>
      <c r="O43" s="27"/>
      <c r="P43" s="27"/>
      <c r="Q43" s="27"/>
      <c r="R43" s="98" t="s">
        <v>92</v>
      </c>
    </row>
    <row r="44" spans="1:18">
      <c r="A44" s="69" t="s">
        <v>22</v>
      </c>
      <c r="B44" s="66" t="s">
        <v>27</v>
      </c>
      <c r="C44" s="66"/>
      <c r="D44" s="66"/>
      <c r="E44" s="16">
        <v>1125615</v>
      </c>
      <c r="F44" s="68">
        <v>4</v>
      </c>
      <c r="G44" s="67">
        <v>41960</v>
      </c>
      <c r="H44" s="16">
        <v>1125615</v>
      </c>
      <c r="I44" s="67">
        <v>42885</v>
      </c>
      <c r="J44" s="4"/>
      <c r="K44" s="16">
        <f>+E44-H44</f>
        <v>0</v>
      </c>
      <c r="L44" s="72" t="str">
        <f>IF(G44="",E44,"")</f>
        <v/>
      </c>
      <c r="M44" s="72"/>
      <c r="O44" s="27"/>
      <c r="P44" s="27"/>
      <c r="Q44" s="27"/>
      <c r="R44" s="98" t="s">
        <v>92</v>
      </c>
    </row>
    <row r="45" spans="1:18">
      <c r="A45" s="55"/>
      <c r="B45" s="51"/>
      <c r="C45" s="51"/>
      <c r="D45" s="51"/>
      <c r="E45" s="40">
        <f>138324+14698+197809</f>
        <v>350831</v>
      </c>
      <c r="F45" s="54">
        <v>5</v>
      </c>
      <c r="G45" s="53">
        <v>42355</v>
      </c>
      <c r="H45" s="304" t="s">
        <v>93</v>
      </c>
      <c r="I45" s="899"/>
      <c r="J45" s="4"/>
      <c r="K45" s="16">
        <f>E45</f>
        <v>350831</v>
      </c>
      <c r="L45" s="72" t="str">
        <f>IF(G45="",E45,"")</f>
        <v/>
      </c>
      <c r="M45" s="72"/>
      <c r="O45" s="27"/>
      <c r="P45" s="27"/>
      <c r="Q45" s="27"/>
      <c r="R45" s="98" t="s">
        <v>92</v>
      </c>
    </row>
    <row r="46" spans="1:18" ht="12.75">
      <c r="A46" s="55"/>
      <c r="B46" s="51"/>
      <c r="C46" s="51"/>
      <c r="D46" s="51"/>
      <c r="E46" s="58">
        <f>SUM(E41:E45)</f>
        <v>3330481.37</v>
      </c>
      <c r="F46" s="70"/>
      <c r="G46" s="71"/>
      <c r="H46" s="58">
        <f>SUM(H41:H45)</f>
        <v>2979650.37</v>
      </c>
      <c r="I46" s="71"/>
      <c r="J46" s="50"/>
      <c r="K46" s="62">
        <f>SUM(K41:K45)</f>
        <v>350831</v>
      </c>
      <c r="L46" s="62">
        <f>SUM(L41:L45)</f>
        <v>0</v>
      </c>
      <c r="M46" s="62"/>
      <c r="N46" s="166">
        <f>D40-(H46+K46+L46)</f>
        <v>-177548.84000000032</v>
      </c>
      <c r="O46" s="62">
        <f>SUM(O40:O42)</f>
        <v>0</v>
      </c>
      <c r="P46" s="62">
        <f>SUM(P40:P42)</f>
        <v>0</v>
      </c>
      <c r="Q46" s="62">
        <f>SUM(Q40:Q42)</f>
        <v>0</v>
      </c>
    </row>
    <row r="47" spans="1:18" ht="12.75">
      <c r="A47" s="59"/>
      <c r="B47" s="60"/>
      <c r="C47" s="60"/>
      <c r="D47" s="60"/>
      <c r="E47" s="41">
        <f>E46+E38</f>
        <v>4448057.1500000004</v>
      </c>
      <c r="F47" s="99"/>
      <c r="G47" s="100"/>
      <c r="H47" s="41">
        <f>H46+H38</f>
        <v>3896551.0100000002</v>
      </c>
      <c r="I47" s="100"/>
      <c r="J47" s="100"/>
      <c r="K47" s="1052">
        <f>SUM(K46:L46)</f>
        <v>350831</v>
      </c>
      <c r="L47" s="1053"/>
      <c r="M47" s="145"/>
    </row>
    <row r="48" spans="1:18" ht="12.75">
      <c r="E48" s="26"/>
      <c r="F48" s="101"/>
      <c r="G48" s="26"/>
      <c r="H48" s="26"/>
      <c r="I48" s="26"/>
      <c r="J48" s="26"/>
      <c r="K48" s="1050">
        <f>K47+K39</f>
        <v>551506.14</v>
      </c>
      <c r="L48" s="1054"/>
      <c r="M48" s="146"/>
      <c r="N48" s="166">
        <f>E47-(H47+K48)</f>
        <v>0</v>
      </c>
    </row>
    <row r="49" spans="1:18">
      <c r="E49" s="26"/>
      <c r="F49" s="101"/>
      <c r="G49" s="26"/>
      <c r="H49" s="26"/>
      <c r="I49" s="26"/>
      <c r="J49" s="102" t="s">
        <v>20</v>
      </c>
      <c r="K49" s="56">
        <f>K38</f>
        <v>200675.14</v>
      </c>
      <c r="L49" s="57" t="s">
        <v>107</v>
      </c>
      <c r="M49" s="57"/>
    </row>
    <row r="50" spans="1:18">
      <c r="E50" s="26">
        <v>3470269.97</v>
      </c>
      <c r="F50" s="101"/>
      <c r="G50" s="26"/>
      <c r="H50" s="26"/>
      <c r="I50" s="26"/>
      <c r="J50" s="25" t="s">
        <v>20</v>
      </c>
      <c r="K50" s="16">
        <f>K46</f>
        <v>350831</v>
      </c>
      <c r="L50" s="4" t="s">
        <v>30</v>
      </c>
      <c r="M50" s="4"/>
    </row>
    <row r="51" spans="1:18" ht="12.75">
      <c r="A51" s="1"/>
      <c r="E51" s="27"/>
      <c r="F51" s="101"/>
      <c r="G51" s="27"/>
      <c r="H51" s="26"/>
      <c r="I51" s="26"/>
      <c r="J51" s="103"/>
      <c r="K51" s="41">
        <f>SUM(K49:K50)</f>
        <v>551506.14</v>
      </c>
      <c r="L51" s="39"/>
      <c r="M51" s="39"/>
    </row>
    <row r="52" spans="1:18">
      <c r="A52" s="1"/>
      <c r="E52" s="26"/>
      <c r="F52" s="101"/>
      <c r="G52" s="26"/>
      <c r="H52" s="26"/>
      <c r="I52" s="26"/>
      <c r="J52" s="25" t="s">
        <v>28</v>
      </c>
      <c r="K52" s="16">
        <f>L38</f>
        <v>0</v>
      </c>
      <c r="L52" s="4" t="s">
        <v>107</v>
      </c>
      <c r="M52" s="4"/>
    </row>
    <row r="53" spans="1:18">
      <c r="A53" s="1"/>
      <c r="E53" s="26"/>
      <c r="F53" s="101"/>
      <c r="G53" s="26"/>
      <c r="H53" s="26"/>
      <c r="I53" s="26"/>
      <c r="J53" s="38" t="s">
        <v>29</v>
      </c>
      <c r="K53" s="40">
        <f>L46</f>
        <v>0</v>
      </c>
      <c r="L53" s="39" t="s">
        <v>30</v>
      </c>
      <c r="M53" s="39"/>
    </row>
    <row r="54" spans="1:18" s="6" customFormat="1" ht="12.75">
      <c r="B54" s="1"/>
      <c r="C54" s="1"/>
      <c r="D54" s="1"/>
      <c r="E54" s="26"/>
      <c r="F54" s="101"/>
      <c r="G54" s="26"/>
      <c r="H54" s="26"/>
      <c r="I54" s="26"/>
      <c r="J54" s="38"/>
      <c r="K54" s="104">
        <f>SUM(K51:K53)</f>
        <v>551506.14</v>
      </c>
      <c r="L54" s="39"/>
      <c r="M54" s="39"/>
      <c r="N54" s="1"/>
      <c r="O54" s="1"/>
      <c r="P54" s="1"/>
      <c r="Q54" s="1"/>
      <c r="R54" s="1"/>
    </row>
    <row r="57" spans="1:18" ht="12.75">
      <c r="E57" s="369" t="s">
        <v>207</v>
      </c>
      <c r="H57" s="370" t="s">
        <v>209</v>
      </c>
      <c r="K57" s="369" t="s">
        <v>207</v>
      </c>
      <c r="L57" s="370" t="s">
        <v>209</v>
      </c>
    </row>
    <row r="58" spans="1:18">
      <c r="D58" s="378">
        <v>40940</v>
      </c>
      <c r="E58" s="91">
        <f t="shared" ref="E58:E78" si="2">SUMPRODUCT((DateAF_ST_LEU&lt;&gt;"")*(MONTH(DateAF_ST_LEU)=MONTH(D58))*(YEAR(DateAF_ST_LEU)=YEAR(D58))*MontantAF_ST_LEU)</f>
        <v>68305.850000000006</v>
      </c>
      <c r="G58" s="378">
        <v>40940</v>
      </c>
      <c r="H58" s="91">
        <f t="shared" ref="H58:H78" si="3">SUMPRODUCT((DatePmt_ST_LEU&lt;&gt;"")*(DatePmt_ST_LEU&lt;&gt;"en attente")*(MONTH(DatePmt_ST_LEU)=MONTH(G58))*(YEAR(DatePmt_ST_LEU)=YEAR(G58))*(ISNUMBER(MtntPaye_ST_LEU)),MtntPaye_ST_LEU)</f>
        <v>0</v>
      </c>
      <c r="J58" s="1">
        <v>2012</v>
      </c>
      <c r="K58" s="91">
        <f>SUMPRODUCT((YEAR($D$58:$D$78)=J58)*($E$58:$E$78))</f>
        <v>369138.64</v>
      </c>
      <c r="L58" s="91">
        <f>SUMPRODUCT((YEAR($D$58:$D$78)=J58)*($H$58:$H$78))</f>
        <v>23978.81</v>
      </c>
    </row>
    <row r="59" spans="1:18">
      <c r="D59" s="378">
        <v>40969</v>
      </c>
      <c r="E59" s="91">
        <f t="shared" si="2"/>
        <v>23978.81</v>
      </c>
      <c r="G59" s="378">
        <v>40969</v>
      </c>
      <c r="H59" s="91">
        <f t="shared" si="3"/>
        <v>0</v>
      </c>
      <c r="J59" s="1">
        <v>2013</v>
      </c>
      <c r="K59" s="91">
        <f t="shared" ref="K59:K64" si="4">SUMPRODUCT((YEAR($D$58:$D$78)=J59)*($E$58:$E$78))</f>
        <v>328396.61000000004</v>
      </c>
      <c r="L59" s="91">
        <f t="shared" ref="L59:L64" si="5">SUMPRODUCT((YEAR($D$58:$D$78)=J59)*($H$58:$H$78))</f>
        <v>91990.6</v>
      </c>
    </row>
    <row r="60" spans="1:18">
      <c r="D60" s="378">
        <v>41030</v>
      </c>
      <c r="E60" s="91">
        <f t="shared" si="2"/>
        <v>92284.66</v>
      </c>
      <c r="G60" s="378">
        <v>41030</v>
      </c>
      <c r="H60" s="91">
        <f t="shared" si="3"/>
        <v>23978.81</v>
      </c>
      <c r="J60" s="1">
        <v>2014</v>
      </c>
      <c r="K60" s="91">
        <f t="shared" si="4"/>
        <v>3077009.68</v>
      </c>
      <c r="L60" s="91">
        <f t="shared" si="5"/>
        <v>71936.430000000008</v>
      </c>
    </row>
    <row r="61" spans="1:18">
      <c r="D61" s="378">
        <v>41122</v>
      </c>
      <c r="E61" s="91">
        <f t="shared" si="2"/>
        <v>92284.66</v>
      </c>
      <c r="G61" s="378">
        <v>41122</v>
      </c>
      <c r="H61" s="91">
        <f t="shared" si="3"/>
        <v>0</v>
      </c>
      <c r="J61" s="1">
        <v>2015</v>
      </c>
      <c r="K61" s="91">
        <f t="shared" si="4"/>
        <v>443115.66000000003</v>
      </c>
      <c r="L61" s="91">
        <f t="shared" si="5"/>
        <v>827337.32000000007</v>
      </c>
    </row>
    <row r="62" spans="1:18">
      <c r="D62" s="378">
        <v>41183</v>
      </c>
      <c r="E62" s="91">
        <f t="shared" si="2"/>
        <v>92284.66</v>
      </c>
      <c r="G62" s="378">
        <v>41183</v>
      </c>
      <c r="H62" s="91">
        <f t="shared" si="3"/>
        <v>0</v>
      </c>
      <c r="J62" s="1">
        <v>2016</v>
      </c>
      <c r="K62" s="91">
        <f t="shared" si="4"/>
        <v>0</v>
      </c>
      <c r="L62" s="91">
        <f t="shared" si="5"/>
        <v>1442192.77</v>
      </c>
    </row>
    <row r="63" spans="1:18">
      <c r="D63" s="378">
        <v>41306</v>
      </c>
      <c r="E63" s="91">
        <f t="shared" si="2"/>
        <v>30015.48</v>
      </c>
      <c r="G63" s="378">
        <v>41306</v>
      </c>
      <c r="H63" s="91">
        <f t="shared" si="3"/>
        <v>0</v>
      </c>
      <c r="J63" s="1">
        <v>2017</v>
      </c>
      <c r="K63" s="91">
        <f>SUMPRODUCT((YEAR($D$58:$D$78)=J63)*($E$58:$E$78))</f>
        <v>41383.379999999997</v>
      </c>
      <c r="L63" s="91">
        <f>SUMPRODUCT((YEAR($D$58:$D$78)=J63)*($H$58:$H$78))</f>
        <v>0</v>
      </c>
    </row>
    <row r="64" spans="1:18">
      <c r="D64" s="378">
        <v>41365</v>
      </c>
      <c r="E64" s="91">
        <f t="shared" si="2"/>
        <v>30015.48</v>
      </c>
      <c r="G64" s="378">
        <v>41365</v>
      </c>
      <c r="H64" s="91">
        <f t="shared" si="3"/>
        <v>0</v>
      </c>
      <c r="J64" s="1">
        <v>2018</v>
      </c>
      <c r="K64" s="91">
        <f t="shared" si="4"/>
        <v>0</v>
      </c>
      <c r="L64" s="91">
        <f t="shared" si="5"/>
        <v>0</v>
      </c>
    </row>
    <row r="65" spans="1:12" ht="12.75">
      <c r="D65" s="378">
        <v>41395</v>
      </c>
      <c r="E65" s="91">
        <f t="shared" si="2"/>
        <v>30015.48</v>
      </c>
      <c r="G65" s="378">
        <v>41395</v>
      </c>
      <c r="H65" s="91">
        <f t="shared" si="3"/>
        <v>0</v>
      </c>
      <c r="K65" s="460">
        <f>SUM(K58:K64)</f>
        <v>4259043.97</v>
      </c>
      <c r="L65" s="460">
        <f>SUM(L58:L64)</f>
        <v>2457435.9300000002</v>
      </c>
    </row>
    <row r="66" spans="1:12">
      <c r="D66" s="378">
        <v>41548</v>
      </c>
      <c r="E66" s="91">
        <f t="shared" si="2"/>
        <v>196966.78000000003</v>
      </c>
      <c r="G66" s="378">
        <v>41548</v>
      </c>
      <c r="H66" s="91">
        <f t="shared" si="3"/>
        <v>91990.6</v>
      </c>
      <c r="K66" s="91">
        <f>K65-E80</f>
        <v>0</v>
      </c>
      <c r="L66" s="91">
        <f>L65-H80</f>
        <v>0</v>
      </c>
    </row>
    <row r="67" spans="1:12">
      <c r="D67" s="378">
        <v>41579</v>
      </c>
      <c r="E67" s="91">
        <f t="shared" si="2"/>
        <v>41383.39</v>
      </c>
      <c r="G67" s="378">
        <v>41579</v>
      </c>
      <c r="H67" s="91">
        <f t="shared" si="3"/>
        <v>0</v>
      </c>
    </row>
    <row r="68" spans="1:12">
      <c r="D68" s="378">
        <v>41640</v>
      </c>
      <c r="E68" s="91">
        <f t="shared" si="2"/>
        <v>41383.39</v>
      </c>
      <c r="G68" s="378">
        <v>41640</v>
      </c>
      <c r="H68" s="91">
        <f t="shared" si="3"/>
        <v>71936.430000000008</v>
      </c>
    </row>
    <row r="69" spans="1:12">
      <c r="D69" s="378">
        <v>41699</v>
      </c>
      <c r="E69" s="91">
        <f t="shared" si="2"/>
        <v>147966.51999999999</v>
      </c>
      <c r="G69" s="378">
        <v>41699</v>
      </c>
      <c r="H69" s="91">
        <f t="shared" si="3"/>
        <v>0</v>
      </c>
    </row>
    <row r="70" spans="1:12">
      <c r="D70" s="378">
        <v>41913</v>
      </c>
      <c r="E70" s="91">
        <f t="shared" si="2"/>
        <v>319852</v>
      </c>
      <c r="G70" s="378">
        <v>41913</v>
      </c>
      <c r="H70" s="91">
        <f t="shared" si="3"/>
        <v>0</v>
      </c>
    </row>
    <row r="71" spans="1:12">
      <c r="D71" s="378">
        <v>41944</v>
      </c>
      <c r="E71" s="91">
        <f t="shared" si="2"/>
        <v>2567807.77</v>
      </c>
      <c r="G71" s="378">
        <v>41944</v>
      </c>
      <c r="H71" s="91">
        <f t="shared" si="3"/>
        <v>0</v>
      </c>
    </row>
    <row r="72" spans="1:12">
      <c r="D72" s="378">
        <v>42036</v>
      </c>
      <c r="E72" s="91">
        <f t="shared" si="2"/>
        <v>92284.66</v>
      </c>
      <c r="G72" s="378">
        <v>42036</v>
      </c>
      <c r="H72" s="91">
        <f t="shared" si="3"/>
        <v>273223.40000000002</v>
      </c>
    </row>
    <row r="73" spans="1:12">
      <c r="D73" s="378">
        <v>42064</v>
      </c>
      <c r="E73" s="91">
        <f t="shared" si="2"/>
        <v>0</v>
      </c>
      <c r="G73" s="378">
        <v>42064</v>
      </c>
      <c r="H73" s="91">
        <f t="shared" si="3"/>
        <v>120061.92</v>
      </c>
    </row>
    <row r="74" spans="1:12">
      <c r="D74" s="378">
        <v>42217</v>
      </c>
      <c r="E74" s="91">
        <f t="shared" si="2"/>
        <v>0</v>
      </c>
      <c r="G74" s="378">
        <v>42217</v>
      </c>
      <c r="H74" s="91">
        <f t="shared" si="3"/>
        <v>114200</v>
      </c>
    </row>
    <row r="75" spans="1:12">
      <c r="D75" s="378">
        <v>42248</v>
      </c>
      <c r="E75" s="91">
        <f t="shared" si="2"/>
        <v>0</v>
      </c>
      <c r="G75" s="378">
        <v>42248</v>
      </c>
      <c r="H75" s="91">
        <f t="shared" si="3"/>
        <v>319852</v>
      </c>
    </row>
    <row r="76" spans="1:12">
      <c r="D76" s="378">
        <v>42339</v>
      </c>
      <c r="E76" s="91">
        <f t="shared" si="2"/>
        <v>350831</v>
      </c>
      <c r="G76" s="378">
        <v>42339</v>
      </c>
      <c r="H76" s="91">
        <f t="shared" si="3"/>
        <v>0</v>
      </c>
    </row>
    <row r="77" spans="1:12">
      <c r="D77" s="378">
        <v>42370</v>
      </c>
      <c r="E77" s="91">
        <f t="shared" si="2"/>
        <v>0</v>
      </c>
      <c r="G77" s="378">
        <v>42370</v>
      </c>
      <c r="H77" s="91">
        <f t="shared" si="3"/>
        <v>1442192.77</v>
      </c>
    </row>
    <row r="78" spans="1:12">
      <c r="D78" s="378">
        <v>42767</v>
      </c>
      <c r="E78" s="91">
        <f t="shared" si="2"/>
        <v>41383.379999999997</v>
      </c>
      <c r="G78" s="378">
        <v>42767</v>
      </c>
      <c r="H78" s="91">
        <f t="shared" si="3"/>
        <v>0</v>
      </c>
    </row>
    <row r="79" spans="1:12">
      <c r="D79" s="378"/>
      <c r="E79" s="91"/>
      <c r="G79" s="378"/>
      <c r="H79" s="91"/>
    </row>
    <row r="80" spans="1:12" s="8" customFormat="1" ht="12.75">
      <c r="A80" s="458"/>
      <c r="E80" s="460">
        <f>SUM(E58:E78)</f>
        <v>4259043.97</v>
      </c>
      <c r="F80" s="458"/>
      <c r="H80" s="460">
        <f>SUM(H58:H78)</f>
        <v>2457435.9300000002</v>
      </c>
      <c r="J80" s="1"/>
      <c r="K80" s="1"/>
      <c r="L80" s="1"/>
    </row>
    <row r="81" spans="5:12" ht="12.75">
      <c r="E81" s="91">
        <f>E80-E47</f>
        <v>-189013.18000000063</v>
      </c>
      <c r="H81" s="91">
        <f>H80-H47</f>
        <v>-1439115.08</v>
      </c>
      <c r="J81" s="8"/>
      <c r="K81" s="8"/>
      <c r="L81" s="8"/>
    </row>
  </sheetData>
  <mergeCells count="10">
    <mergeCell ref="K39:L39"/>
    <mergeCell ref="K47:L47"/>
    <mergeCell ref="K48:L48"/>
    <mergeCell ref="E4:J4"/>
    <mergeCell ref="A2:K2"/>
    <mergeCell ref="A4:A5"/>
    <mergeCell ref="B4:B5"/>
    <mergeCell ref="C4:C5"/>
    <mergeCell ref="D4:D5"/>
    <mergeCell ref="K4:L4"/>
  </mergeCells>
  <conditionalFormatting sqref="A6:L6">
    <cfRule type="expression" dxfId="5" priority="6">
      <formula>$H$6:$H$37="en attente"</formula>
    </cfRule>
  </conditionalFormatting>
  <conditionalFormatting sqref="A7:L37">
    <cfRule type="expression" dxfId="4" priority="5">
      <formula>$H$6:$H$37="en attente"</formula>
    </cfRule>
  </conditionalFormatting>
  <conditionalFormatting sqref="M6">
    <cfRule type="expression" dxfId="3" priority="4">
      <formula>$H$6:$H$37="en attente"</formula>
    </cfRule>
  </conditionalFormatting>
  <conditionalFormatting sqref="M7:M37">
    <cfRule type="expression" dxfId="2" priority="3">
      <formula>$H$6:$H$37="en attente"</formula>
    </cfRule>
  </conditionalFormatting>
  <conditionalFormatting sqref="K41:K42">
    <cfRule type="expression" dxfId="1" priority="2">
      <formula>$H$6:$H$37="en attente"</formula>
    </cfRule>
  </conditionalFormatting>
  <conditionalFormatting sqref="H41">
    <cfRule type="expression" dxfId="0" priority="1">
      <formula>$H$6:$H$37="en attente"</formula>
    </cfRule>
  </conditionalFormatting>
  <pageMargins left="0.19685039370078741" right="0" top="0.15748031496062992" bottom="0.15748031496062992" header="0.15748031496062992" footer="0.15748031496062992"/>
  <pageSetup paperSize="9" scale="49" orientation="landscape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5">
    <tabColor rgb="FF00B050"/>
    <pageSetUpPr fitToPage="1"/>
  </sheetPr>
  <dimension ref="A1:U92"/>
  <sheetViews>
    <sheetView view="pageBreakPreview" zoomScaleNormal="70" zoomScaleSheetLayoutView="100" workbookViewId="0">
      <pane xSplit="1" ySplit="5" topLeftCell="F45" activePane="bottomRight" state="frozen"/>
      <selection pane="topRight" activeCell="B1" sqref="B1"/>
      <selection pane="bottomLeft" activeCell="A6" sqref="A6"/>
      <selection pane="bottomRight" activeCell="F48" sqref="F48:F89"/>
    </sheetView>
  </sheetViews>
  <sheetFormatPr defaultColWidth="11.42578125" defaultRowHeight="12.75" outlineLevelRow="1"/>
  <cols>
    <col min="1" max="1" width="31.5703125" style="6" bestFit="1" customWidth="1"/>
    <col min="2" max="2" width="14.42578125" style="1" customWidth="1"/>
    <col min="3" max="3" width="15.140625" style="1" customWidth="1"/>
    <col min="4" max="4" width="15.85546875" style="1" customWidth="1"/>
    <col min="5" max="5" width="13.42578125" style="1" bestFit="1" customWidth="1"/>
    <col min="6" max="6" width="13.42578125" style="1" customWidth="1"/>
    <col min="7" max="7" width="14.42578125" style="1" customWidth="1"/>
    <col min="8" max="8" width="4.140625" style="6" bestFit="1" customWidth="1"/>
    <col min="9" max="9" width="12.7109375" style="1" customWidth="1"/>
    <col min="10" max="10" width="16.5703125" style="1" customWidth="1"/>
    <col min="11" max="11" width="10.42578125" style="1" bestFit="1" customWidth="1"/>
    <col min="12" max="12" width="18.5703125" style="1" bestFit="1" customWidth="1"/>
    <col min="13" max="13" width="14.42578125" style="1" customWidth="1"/>
    <col min="14" max="15" width="14.42578125" style="1" bestFit="1" customWidth="1"/>
    <col min="16" max="16" width="14.140625" style="161" customWidth="1"/>
    <col min="17" max="17" width="14.42578125" style="1" bestFit="1" customWidth="1"/>
    <col min="18" max="18" width="13.42578125" style="1" bestFit="1" customWidth="1"/>
    <col min="19" max="16384" width="11.42578125" style="1"/>
  </cols>
  <sheetData>
    <row r="1" spans="1:21">
      <c r="Q1" s="73"/>
      <c r="R1" s="8"/>
    </row>
    <row r="2" spans="1:21">
      <c r="A2" s="1027" t="s">
        <v>31</v>
      </c>
      <c r="B2" s="1027"/>
      <c r="C2" s="1027"/>
      <c r="D2" s="1027"/>
      <c r="E2" s="1027"/>
      <c r="F2" s="1027"/>
      <c r="G2" s="1027"/>
      <c r="H2" s="1027"/>
      <c r="I2" s="1027"/>
      <c r="J2" s="1027"/>
      <c r="K2" s="1027"/>
      <c r="L2" s="1027"/>
      <c r="M2" s="1027"/>
      <c r="N2" s="9">
        <f ca="1">TODAY()</f>
        <v>43599</v>
      </c>
      <c r="O2" s="9"/>
      <c r="R2" s="61"/>
    </row>
    <row r="4" spans="1:21" s="2" customFormat="1" ht="38.25">
      <c r="A4" s="1044" t="s">
        <v>2</v>
      </c>
      <c r="B4" s="1032" t="s">
        <v>21</v>
      </c>
      <c r="C4" s="116" t="s">
        <v>123</v>
      </c>
      <c r="D4" s="116" t="s">
        <v>112</v>
      </c>
      <c r="E4" s="1032" t="s">
        <v>12</v>
      </c>
      <c r="F4" s="919" t="s">
        <v>408</v>
      </c>
      <c r="G4" s="1028" t="s">
        <v>4</v>
      </c>
      <c r="H4" s="1029"/>
      <c r="I4" s="1029"/>
      <c r="J4" s="1029"/>
      <c r="K4" s="1029"/>
      <c r="L4" s="1030"/>
      <c r="M4" s="1031" t="s">
        <v>13</v>
      </c>
      <c r="N4" s="1032"/>
      <c r="O4" s="3" t="s">
        <v>111</v>
      </c>
      <c r="P4" s="209"/>
      <c r="R4" s="63"/>
      <c r="S4" s="63"/>
    </row>
    <row r="5" spans="1:21" s="13" customFormat="1">
      <c r="A5" s="1045"/>
      <c r="B5" s="1046"/>
      <c r="C5" s="117"/>
      <c r="D5" s="117"/>
      <c r="E5" s="1046"/>
      <c r="F5" s="947"/>
      <c r="G5" s="10" t="s">
        <v>1</v>
      </c>
      <c r="H5" s="11" t="s">
        <v>3</v>
      </c>
      <c r="I5" s="11" t="s">
        <v>15</v>
      </c>
      <c r="J5" s="12" t="s">
        <v>14</v>
      </c>
      <c r="K5" s="10" t="s">
        <v>15</v>
      </c>
      <c r="L5" s="11" t="s">
        <v>18</v>
      </c>
      <c r="M5" s="3" t="s">
        <v>20</v>
      </c>
      <c r="N5" s="3" t="s">
        <v>19</v>
      </c>
      <c r="O5" s="3"/>
      <c r="P5" s="161"/>
      <c r="Q5" s="1"/>
      <c r="R5" s="1"/>
      <c r="S5" s="1"/>
      <c r="T5" s="1"/>
    </row>
    <row r="6" spans="1:21" s="107" customFormat="1">
      <c r="A6" s="323" t="s">
        <v>32</v>
      </c>
      <c r="B6" s="324">
        <v>40724</v>
      </c>
      <c r="C6" s="324">
        <f>DATE(YEAR(B6)+5,MONTH(B6),DAY(B6))</f>
        <v>42551</v>
      </c>
      <c r="D6" s="324">
        <v>41613</v>
      </c>
      <c r="E6" s="326">
        <v>70000</v>
      </c>
      <c r="F6" s="325"/>
      <c r="G6" s="324"/>
      <c r="H6" s="324"/>
      <c r="I6" s="324"/>
      <c r="J6" s="331">
        <f>SUM(J7:J9)</f>
        <v>70000</v>
      </c>
      <c r="K6" s="326"/>
      <c r="L6" s="327"/>
      <c r="M6" s="331">
        <f>SUM(M7:M9)</f>
        <v>0</v>
      </c>
      <c r="N6" s="331">
        <f>SUM(N7:N9)</f>
        <v>0</v>
      </c>
      <c r="O6" s="331"/>
      <c r="P6" s="210">
        <f>E6-(J6+M6+N6)</f>
        <v>0</v>
      </c>
      <c r="Q6" s="2"/>
      <c r="R6" s="63"/>
      <c r="S6" s="63"/>
      <c r="T6" s="2"/>
      <c r="U6" s="163"/>
    </row>
    <row r="7" spans="1:21" s="26" customFormat="1" outlineLevel="1">
      <c r="A7" s="332" t="s">
        <v>32</v>
      </c>
      <c r="B7" s="345"/>
      <c r="C7" s="345"/>
      <c r="D7" s="345"/>
      <c r="E7" s="411"/>
      <c r="F7" s="346">
        <f>G7/$E$6</f>
        <v>0.4</v>
      </c>
      <c r="G7" s="347">
        <v>28000</v>
      </c>
      <c r="H7" s="348">
        <v>1</v>
      </c>
      <c r="I7" s="350">
        <v>41010</v>
      </c>
      <c r="J7" s="347">
        <v>28000</v>
      </c>
      <c r="K7" s="350">
        <v>41010</v>
      </c>
      <c r="L7" s="408">
        <f>IF(K7="",$N$2-I7,K7-I7)</f>
        <v>0</v>
      </c>
      <c r="M7" s="352" t="str">
        <f>IF(J7="en attente",G7,"")</f>
        <v/>
      </c>
      <c r="N7" s="352">
        <f t="shared" ref="N7:N41" si="0">IF(I7="",G7-J7,0)</f>
        <v>0</v>
      </c>
      <c r="O7" s="353"/>
      <c r="P7" s="161"/>
      <c r="Q7" s="1"/>
      <c r="R7" s="1"/>
      <c r="S7" s="1"/>
      <c r="T7" s="1"/>
    </row>
    <row r="8" spans="1:21" s="26" customFormat="1" outlineLevel="1">
      <c r="A8" s="332" t="s">
        <v>32</v>
      </c>
      <c r="B8" s="345"/>
      <c r="C8" s="345"/>
      <c r="D8" s="345"/>
      <c r="E8" s="411"/>
      <c r="F8" s="346">
        <v>0.7</v>
      </c>
      <c r="G8" s="347">
        <v>21000</v>
      </c>
      <c r="H8" s="348">
        <v>2</v>
      </c>
      <c r="I8" s="345">
        <v>41456</v>
      </c>
      <c r="J8" s="347">
        <v>21000</v>
      </c>
      <c r="K8" s="350">
        <v>41522</v>
      </c>
      <c r="L8" s="408"/>
      <c r="M8" s="352" t="str">
        <f t="shared" ref="M8:M37" si="1">IF(J8="en attente",G8,"")</f>
        <v/>
      </c>
      <c r="N8" s="352">
        <f t="shared" si="0"/>
        <v>0</v>
      </c>
      <c r="O8" s="353"/>
      <c r="P8" s="209"/>
      <c r="Q8" s="2"/>
      <c r="R8" s="63"/>
      <c r="S8" s="63"/>
      <c r="T8" s="2"/>
    </row>
    <row r="9" spans="1:21" s="26" customFormat="1" outlineLevel="1">
      <c r="A9" s="332" t="s">
        <v>32</v>
      </c>
      <c r="B9" s="345"/>
      <c r="C9" s="345"/>
      <c r="D9" s="345"/>
      <c r="E9" s="411"/>
      <c r="F9" s="346">
        <v>1</v>
      </c>
      <c r="G9" s="347">
        <v>21000</v>
      </c>
      <c r="H9" s="348">
        <v>3</v>
      </c>
      <c r="I9" s="345">
        <v>42123</v>
      </c>
      <c r="J9" s="349">
        <f>G9</f>
        <v>21000</v>
      </c>
      <c r="K9" s="350">
        <v>42188</v>
      </c>
      <c r="L9" s="351"/>
      <c r="M9" s="352" t="str">
        <f t="shared" si="1"/>
        <v/>
      </c>
      <c r="N9" s="352">
        <f t="shared" si="0"/>
        <v>0</v>
      </c>
      <c r="O9" s="352"/>
      <c r="P9" s="161"/>
      <c r="Q9" s="1"/>
      <c r="R9" s="1"/>
      <c r="S9" s="1"/>
      <c r="T9" s="1"/>
    </row>
    <row r="10" spans="1:21" s="107" customFormat="1">
      <c r="A10" s="323" t="s">
        <v>8</v>
      </c>
      <c r="B10" s="324">
        <v>40988</v>
      </c>
      <c r="C10" s="324">
        <v>42735</v>
      </c>
      <c r="D10" s="324">
        <v>42326</v>
      </c>
      <c r="E10" s="326">
        <v>110000</v>
      </c>
      <c r="F10" s="325"/>
      <c r="G10" s="326"/>
      <c r="H10" s="327"/>
      <c r="I10" s="397"/>
      <c r="J10" s="331">
        <f>SUM(J11:J13)</f>
        <v>110000</v>
      </c>
      <c r="K10" s="409"/>
      <c r="L10" s="330"/>
      <c r="M10" s="331">
        <f>SUM(M11:M13)</f>
        <v>0</v>
      </c>
      <c r="N10" s="331">
        <f>SUM(N11:N13)</f>
        <v>0</v>
      </c>
      <c r="O10" s="331"/>
      <c r="P10" s="210">
        <f>E10-(J10+M10+N10)</f>
        <v>0</v>
      </c>
      <c r="Q10" s="208"/>
      <c r="R10" s="208"/>
    </row>
    <row r="11" spans="1:21" s="26" customFormat="1" outlineLevel="1">
      <c r="A11" s="332" t="s">
        <v>8</v>
      </c>
      <c r="B11" s="410"/>
      <c r="C11" s="410"/>
      <c r="D11" s="410"/>
      <c r="E11" s="411"/>
      <c r="F11" s="346">
        <f>G11/$E$10</f>
        <v>0.4</v>
      </c>
      <c r="G11" s="347">
        <v>44000</v>
      </c>
      <c r="H11" s="348">
        <v>1</v>
      </c>
      <c r="I11" s="345">
        <v>41275</v>
      </c>
      <c r="J11" s="349">
        <v>44000</v>
      </c>
      <c r="K11" s="350">
        <v>41360</v>
      </c>
      <c r="L11" s="408"/>
      <c r="M11" s="352" t="str">
        <f t="shared" si="1"/>
        <v/>
      </c>
      <c r="N11" s="352">
        <f t="shared" si="0"/>
        <v>0</v>
      </c>
      <c r="O11" s="353"/>
      <c r="P11" s="211"/>
      <c r="Q11" s="27"/>
    </row>
    <row r="12" spans="1:21" ht="12" outlineLevel="1">
      <c r="A12" s="332" t="s">
        <v>8</v>
      </c>
      <c r="B12" s="345"/>
      <c r="C12" s="345"/>
      <c r="D12" s="345"/>
      <c r="E12" s="411"/>
      <c r="F12" s="346">
        <v>0.7</v>
      </c>
      <c r="G12" s="347">
        <v>33000</v>
      </c>
      <c r="H12" s="348">
        <v>2</v>
      </c>
      <c r="I12" s="345">
        <v>41884</v>
      </c>
      <c r="J12" s="349"/>
      <c r="K12" s="411"/>
      <c r="L12" s="408">
        <f ca="1">IF(K12="",$N$2-I12,K12-I12)</f>
        <v>1715</v>
      </c>
      <c r="M12" s="352" t="str">
        <f t="shared" si="1"/>
        <v/>
      </c>
      <c r="N12" s="352">
        <f t="shared" si="0"/>
        <v>0</v>
      </c>
      <c r="O12" s="353"/>
      <c r="P12" s="1" t="s">
        <v>228</v>
      </c>
    </row>
    <row r="13" spans="1:21" outlineLevel="1">
      <c r="A13" s="354" t="s">
        <v>8</v>
      </c>
      <c r="B13" s="356"/>
      <c r="C13" s="345"/>
      <c r="D13" s="345"/>
      <c r="E13" s="411"/>
      <c r="F13" s="346">
        <v>1</v>
      </c>
      <c r="G13" s="357">
        <v>33000</v>
      </c>
      <c r="H13" s="358">
        <v>3</v>
      </c>
      <c r="I13" s="356">
        <v>42454</v>
      </c>
      <c r="J13" s="359">
        <v>66000</v>
      </c>
      <c r="K13" s="360">
        <v>42502</v>
      </c>
      <c r="L13" s="408"/>
      <c r="M13" s="362" t="str">
        <f t="shared" si="1"/>
        <v/>
      </c>
      <c r="N13" s="352">
        <f t="shared" si="0"/>
        <v>0</v>
      </c>
      <c r="O13" s="363"/>
      <c r="R13" s="27"/>
    </row>
    <row r="14" spans="1:21" s="8" customFormat="1">
      <c r="A14" s="400" t="s">
        <v>219</v>
      </c>
      <c r="B14" s="412">
        <v>40988</v>
      </c>
      <c r="C14" s="324">
        <v>42735</v>
      </c>
      <c r="D14" s="511">
        <v>43100</v>
      </c>
      <c r="E14" s="326">
        <v>85000</v>
      </c>
      <c r="F14" s="326"/>
      <c r="G14" s="402"/>
      <c r="H14" s="413"/>
      <c r="I14" s="345"/>
      <c r="J14" s="414">
        <f>SUM(J15:J17)</f>
        <v>85000</v>
      </c>
      <c r="K14" s="418"/>
      <c r="L14" s="409"/>
      <c r="M14" s="414">
        <f>SUM(M15:M17)</f>
        <v>0</v>
      </c>
      <c r="N14" s="415">
        <f>SUM(N15:N17)</f>
        <v>0</v>
      </c>
      <c r="O14" s="414"/>
      <c r="P14" s="210">
        <f>E14-(J14+M14+N14)</f>
        <v>0</v>
      </c>
      <c r="R14" s="208"/>
    </row>
    <row r="15" spans="1:21" outlineLevel="1">
      <c r="A15" s="332" t="s">
        <v>220</v>
      </c>
      <c r="B15" s="410" t="s">
        <v>212</v>
      </c>
      <c r="C15" s="410" t="s">
        <v>212</v>
      </c>
      <c r="D15" s="345" t="s">
        <v>295</v>
      </c>
      <c r="E15" s="411"/>
      <c r="F15" s="970">
        <f>G15/$E$14</f>
        <v>0.4</v>
      </c>
      <c r="G15" s="347">
        <v>34000</v>
      </c>
      <c r="H15" s="348">
        <v>1</v>
      </c>
      <c r="I15" s="345">
        <v>41276</v>
      </c>
      <c r="J15" s="349">
        <v>34000</v>
      </c>
      <c r="K15" s="350">
        <v>41358</v>
      </c>
      <c r="L15" s="408"/>
      <c r="M15" s="352" t="str">
        <f t="shared" si="1"/>
        <v/>
      </c>
      <c r="N15" s="352">
        <f t="shared" si="0"/>
        <v>0</v>
      </c>
      <c r="O15" s="353"/>
      <c r="R15" s="27"/>
    </row>
    <row r="16" spans="1:21" outlineLevel="1">
      <c r="A16" s="332" t="s">
        <v>220</v>
      </c>
      <c r="B16" s="345"/>
      <c r="C16" s="345"/>
      <c r="D16" s="345"/>
      <c r="E16" s="411"/>
      <c r="F16" s="970">
        <v>0.7</v>
      </c>
      <c r="G16" s="347">
        <v>25500</v>
      </c>
      <c r="H16" s="348">
        <v>2</v>
      </c>
      <c r="I16" s="345">
        <v>42215</v>
      </c>
      <c r="J16" s="349">
        <v>25500</v>
      </c>
      <c r="K16" s="350">
        <v>42282</v>
      </c>
      <c r="L16" s="408"/>
      <c r="M16" s="352" t="str">
        <f t="shared" si="1"/>
        <v/>
      </c>
      <c r="N16" s="352">
        <f t="shared" si="0"/>
        <v>0</v>
      </c>
      <c r="O16" s="353"/>
      <c r="R16" s="27"/>
    </row>
    <row r="17" spans="1:18" s="26" customFormat="1" outlineLevel="1">
      <c r="A17" s="332" t="s">
        <v>220</v>
      </c>
      <c r="B17" s="410"/>
      <c r="C17" s="410"/>
      <c r="D17" s="410"/>
      <c r="E17" s="411"/>
      <c r="F17" s="971">
        <v>1</v>
      </c>
      <c r="G17" s="347">
        <v>25500</v>
      </c>
      <c r="H17" s="348">
        <v>3</v>
      </c>
      <c r="I17" s="345">
        <v>42830</v>
      </c>
      <c r="J17" s="349">
        <v>25500</v>
      </c>
      <c r="K17" s="350">
        <v>42878</v>
      </c>
      <c r="L17" s="408"/>
      <c r="M17" s="352" t="str">
        <f t="shared" si="1"/>
        <v/>
      </c>
      <c r="N17" s="352">
        <f t="shared" si="0"/>
        <v>0</v>
      </c>
      <c r="O17" s="436"/>
      <c r="P17" s="211"/>
    </row>
    <row r="18" spans="1:18" s="8" customFormat="1">
      <c r="A18" s="323" t="s">
        <v>35</v>
      </c>
      <c r="B18" s="324">
        <v>41450</v>
      </c>
      <c r="C18" s="324">
        <f>DATE(YEAR(B18)+4,MONTH(B18),DAY(B18))</f>
        <v>42911</v>
      </c>
      <c r="D18" s="324">
        <v>42726</v>
      </c>
      <c r="E18" s="326">
        <v>220000</v>
      </c>
      <c r="F18" s="325"/>
      <c r="G18" s="326"/>
      <c r="H18" s="327"/>
      <c r="I18" s="567"/>
      <c r="J18" s="331">
        <f>SUM(J19:J21)</f>
        <v>220000</v>
      </c>
      <c r="K18" s="409"/>
      <c r="L18" s="330"/>
      <c r="M18" s="331">
        <f>SUM(M19:M21)</f>
        <v>0</v>
      </c>
      <c r="N18" s="331">
        <f>SUM(N19:N21)</f>
        <v>0</v>
      </c>
      <c r="O18" s="331"/>
      <c r="P18" s="210">
        <f>E18-(J18+M18+N18)</f>
        <v>0</v>
      </c>
    </row>
    <row r="19" spans="1:18" s="26" customFormat="1" outlineLevel="1">
      <c r="A19" s="332" t="s">
        <v>35</v>
      </c>
      <c r="B19" s="410" t="s">
        <v>212</v>
      </c>
      <c r="C19" s="410" t="s">
        <v>212</v>
      </c>
      <c r="D19" s="410"/>
      <c r="E19" s="411"/>
      <c r="F19" s="346">
        <f>G19/$E$18</f>
        <v>0.4</v>
      </c>
      <c r="G19" s="347">
        <v>88000</v>
      </c>
      <c r="H19" s="348">
        <v>1</v>
      </c>
      <c r="I19" s="345">
        <v>41715</v>
      </c>
      <c r="J19" s="349">
        <v>88000</v>
      </c>
      <c r="K19" s="350">
        <v>41754</v>
      </c>
      <c r="L19" s="408">
        <f>IF(K19="",$N$2-I19,K19-I19)</f>
        <v>39</v>
      </c>
      <c r="M19" s="352" t="str">
        <f t="shared" si="1"/>
        <v/>
      </c>
      <c r="N19" s="352">
        <f t="shared" si="0"/>
        <v>0</v>
      </c>
      <c r="O19" s="353"/>
      <c r="P19" s="211"/>
      <c r="R19" s="27"/>
    </row>
    <row r="20" spans="1:18" s="26" customFormat="1" outlineLevel="1">
      <c r="A20" s="332" t="s">
        <v>35</v>
      </c>
      <c r="B20" s="345"/>
      <c r="C20" s="345"/>
      <c r="D20" s="345"/>
      <c r="E20" s="411"/>
      <c r="F20" s="346">
        <v>0.7</v>
      </c>
      <c r="G20" s="347">
        <f>0.3*E18</f>
        <v>66000</v>
      </c>
      <c r="H20" s="348">
        <v>2</v>
      </c>
      <c r="I20" s="345">
        <v>42503</v>
      </c>
      <c r="J20" s="347">
        <v>66000</v>
      </c>
      <c r="K20" s="350">
        <v>42543</v>
      </c>
      <c r="L20" s="408"/>
      <c r="M20" s="352" t="str">
        <f t="shared" si="1"/>
        <v/>
      </c>
      <c r="N20" s="352">
        <f t="shared" si="0"/>
        <v>0</v>
      </c>
      <c r="O20" s="353"/>
      <c r="P20" s="211"/>
      <c r="R20" s="27"/>
    </row>
    <row r="21" spans="1:18" s="26" customFormat="1" outlineLevel="1">
      <c r="A21" s="354" t="s">
        <v>35</v>
      </c>
      <c r="B21" s="356"/>
      <c r="C21" s="345"/>
      <c r="D21" s="345"/>
      <c r="E21" s="411"/>
      <c r="F21" s="346">
        <v>1</v>
      </c>
      <c r="G21" s="357">
        <v>66000</v>
      </c>
      <c r="H21" s="358">
        <v>3</v>
      </c>
      <c r="I21" s="356">
        <v>42781</v>
      </c>
      <c r="J21" s="359">
        <v>66000</v>
      </c>
      <c r="K21" s="360">
        <v>42808</v>
      </c>
      <c r="L21" s="408"/>
      <c r="M21" s="362" t="str">
        <f t="shared" si="1"/>
        <v/>
      </c>
      <c r="N21" s="352">
        <f t="shared" si="0"/>
        <v>0</v>
      </c>
      <c r="O21" s="363"/>
      <c r="P21" s="211"/>
      <c r="R21" s="27"/>
    </row>
    <row r="22" spans="1:18" s="107" customFormat="1">
      <c r="A22" s="400" t="s">
        <v>33</v>
      </c>
      <c r="B22" s="412">
        <v>40988</v>
      </c>
      <c r="C22" s="324">
        <v>42735</v>
      </c>
      <c r="D22" s="329">
        <v>41943</v>
      </c>
      <c r="E22" s="326">
        <v>70000</v>
      </c>
      <c r="F22" s="326"/>
      <c r="G22" s="402"/>
      <c r="H22" s="413"/>
      <c r="I22" s="345"/>
      <c r="J22" s="414">
        <f>SUM(J23:J25)</f>
        <v>70000</v>
      </c>
      <c r="K22" s="406"/>
      <c r="L22" s="409"/>
      <c r="M22" s="414">
        <f>SUM(M23:M24)</f>
        <v>0</v>
      </c>
      <c r="N22" s="415">
        <f>SUM(N23:N25)</f>
        <v>0</v>
      </c>
      <c r="O22" s="414"/>
      <c r="P22" s="210">
        <f>E22-(J22+M22+N22)</f>
        <v>0</v>
      </c>
      <c r="R22" s="208"/>
    </row>
    <row r="23" spans="1:18" s="31" customFormat="1" outlineLevel="1">
      <c r="A23" s="332" t="s">
        <v>33</v>
      </c>
      <c r="B23" s="410"/>
      <c r="C23" s="410"/>
      <c r="D23" s="410"/>
      <c r="E23" s="965"/>
      <c r="F23" s="970">
        <f>G23/$E$22</f>
        <v>0.4</v>
      </c>
      <c r="G23" s="347">
        <v>28000</v>
      </c>
      <c r="H23" s="348">
        <v>1</v>
      </c>
      <c r="I23" s="345">
        <v>41276</v>
      </c>
      <c r="J23" s="349">
        <v>28000</v>
      </c>
      <c r="K23" s="350">
        <v>41358</v>
      </c>
      <c r="L23" s="408"/>
      <c r="M23" s="352" t="str">
        <f t="shared" si="1"/>
        <v/>
      </c>
      <c r="N23" s="352">
        <f t="shared" si="0"/>
        <v>0</v>
      </c>
      <c r="O23" s="353"/>
      <c r="P23" s="212"/>
    </row>
    <row r="24" spans="1:18" outlineLevel="1">
      <c r="A24" s="332" t="s">
        <v>33</v>
      </c>
      <c r="B24" s="345"/>
      <c r="C24" s="345"/>
      <c r="D24" s="345"/>
      <c r="E24" s="411"/>
      <c r="F24" s="970">
        <v>0.7</v>
      </c>
      <c r="G24" s="347">
        <v>21000</v>
      </c>
      <c r="H24" s="348">
        <v>2</v>
      </c>
      <c r="I24" s="345">
        <v>41884</v>
      </c>
      <c r="J24" s="349">
        <f>G24</f>
        <v>21000</v>
      </c>
      <c r="K24" s="350">
        <v>42188</v>
      </c>
      <c r="L24" s="408">
        <f>IF(K24="",$N$2-I24,K24-I24)</f>
        <v>304</v>
      </c>
      <c r="M24" s="352" t="str">
        <f t="shared" si="1"/>
        <v/>
      </c>
      <c r="N24" s="352">
        <f t="shared" si="0"/>
        <v>0</v>
      </c>
      <c r="O24" s="353" t="s">
        <v>221</v>
      </c>
    </row>
    <row r="25" spans="1:18" outlineLevel="1">
      <c r="A25" s="332" t="s">
        <v>33</v>
      </c>
      <c r="B25" s="345"/>
      <c r="C25" s="345"/>
      <c r="D25" s="345"/>
      <c r="E25" s="411"/>
      <c r="F25" s="971">
        <v>1</v>
      </c>
      <c r="G25" s="347">
        <v>21000</v>
      </c>
      <c r="H25" s="348">
        <v>3</v>
      </c>
      <c r="I25" s="345">
        <v>42136</v>
      </c>
      <c r="J25" s="349">
        <f>G25</f>
        <v>21000</v>
      </c>
      <c r="K25" s="350">
        <v>42188</v>
      </c>
      <c r="L25" s="408"/>
      <c r="M25" s="352"/>
      <c r="N25" s="352">
        <f t="shared" si="0"/>
        <v>0</v>
      </c>
      <c r="O25" s="353"/>
    </row>
    <row r="26" spans="1:18" s="8" customFormat="1">
      <c r="A26" s="323" t="s">
        <v>9</v>
      </c>
      <c r="B26" s="329">
        <v>40988</v>
      </c>
      <c r="C26" s="324">
        <v>42735</v>
      </c>
      <c r="D26" s="324">
        <v>42633</v>
      </c>
      <c r="E26" s="326">
        <v>120000</v>
      </c>
      <c r="F26" s="325"/>
      <c r="G26" s="326"/>
      <c r="H26" s="327"/>
      <c r="I26" s="567"/>
      <c r="J26" s="331">
        <f>SUM(J27:J29)</f>
        <v>120000</v>
      </c>
      <c r="K26" s="409"/>
      <c r="L26" s="330"/>
      <c r="M26" s="331">
        <f>SUM(M27:M29)</f>
        <v>0</v>
      </c>
      <c r="N26" s="331">
        <f>SUM(N27:N29)</f>
        <v>0</v>
      </c>
      <c r="O26" s="331"/>
      <c r="P26" s="210">
        <f>E26-(J26+M26+N26)</f>
        <v>0</v>
      </c>
    </row>
    <row r="27" spans="1:18" s="26" customFormat="1" outlineLevel="1">
      <c r="A27" s="332" t="s">
        <v>9</v>
      </c>
      <c r="B27" s="410" t="s">
        <v>212</v>
      </c>
      <c r="C27" s="410" t="s">
        <v>212</v>
      </c>
      <c r="D27" s="345"/>
      <c r="E27" s="411"/>
      <c r="F27" s="346">
        <f>G27/$E$26</f>
        <v>0.4</v>
      </c>
      <c r="G27" s="347">
        <v>48000</v>
      </c>
      <c r="H27" s="348">
        <v>1</v>
      </c>
      <c r="I27" s="345">
        <v>41276</v>
      </c>
      <c r="J27" s="349">
        <v>48000</v>
      </c>
      <c r="K27" s="350">
        <v>41358</v>
      </c>
      <c r="L27" s="408"/>
      <c r="M27" s="352" t="str">
        <f t="shared" si="1"/>
        <v/>
      </c>
      <c r="N27" s="352">
        <f t="shared" si="0"/>
        <v>0</v>
      </c>
      <c r="O27" s="353"/>
      <c r="P27" s="211"/>
      <c r="R27" s="27"/>
    </row>
    <row r="28" spans="1:18" s="26" customFormat="1" outlineLevel="1">
      <c r="A28" s="332" t="s">
        <v>9</v>
      </c>
      <c r="B28" s="345"/>
      <c r="C28" s="345"/>
      <c r="D28" s="345"/>
      <c r="E28" s="411"/>
      <c r="F28" s="346">
        <v>0.7</v>
      </c>
      <c r="G28" s="347">
        <v>36000</v>
      </c>
      <c r="H28" s="348">
        <v>2</v>
      </c>
      <c r="I28" s="345">
        <v>42206</v>
      </c>
      <c r="J28" s="349">
        <v>36000</v>
      </c>
      <c r="K28" s="350">
        <v>42228</v>
      </c>
      <c r="L28" s="408"/>
      <c r="M28" s="352" t="str">
        <f t="shared" si="1"/>
        <v/>
      </c>
      <c r="N28" s="352">
        <f t="shared" si="0"/>
        <v>0</v>
      </c>
      <c r="O28" s="353"/>
      <c r="P28" s="211"/>
      <c r="R28" s="27"/>
    </row>
    <row r="29" spans="1:18" s="26" customFormat="1" outlineLevel="1">
      <c r="A29" s="354" t="s">
        <v>9</v>
      </c>
      <c r="B29" s="356"/>
      <c r="C29" s="356"/>
      <c r="D29" s="393"/>
      <c r="E29" s="411"/>
      <c r="F29" s="426">
        <v>1</v>
      </c>
      <c r="G29" s="357">
        <v>36000</v>
      </c>
      <c r="H29" s="358">
        <v>3</v>
      </c>
      <c r="I29" s="356">
        <v>42873</v>
      </c>
      <c r="J29" s="359">
        <v>36000</v>
      </c>
      <c r="K29" s="360">
        <v>42900</v>
      </c>
      <c r="L29" s="408"/>
      <c r="M29" s="362" t="str">
        <f t="shared" si="1"/>
        <v/>
      </c>
      <c r="N29" s="352">
        <f t="shared" si="0"/>
        <v>0</v>
      </c>
      <c r="O29" s="436"/>
      <c r="P29" s="211"/>
      <c r="R29" s="27"/>
    </row>
    <row r="30" spans="1:18" s="107" customFormat="1">
      <c r="A30" s="323" t="s">
        <v>36</v>
      </c>
      <c r="B30" s="324">
        <v>41534</v>
      </c>
      <c r="C30" s="324">
        <v>42916</v>
      </c>
      <c r="D30" s="324">
        <v>43075</v>
      </c>
      <c r="E30" s="326">
        <v>415000</v>
      </c>
      <c r="F30" s="326"/>
      <c r="G30" s="326"/>
      <c r="H30" s="327"/>
      <c r="I30" s="324"/>
      <c r="J30" s="331">
        <f>SUM(J31:J33)</f>
        <v>415000</v>
      </c>
      <c r="K30" s="409"/>
      <c r="L30" s="330"/>
      <c r="M30" s="331">
        <f>SUM(M31:M33)</f>
        <v>0</v>
      </c>
      <c r="N30" s="331">
        <f>SUM(N31:N33)</f>
        <v>0</v>
      </c>
      <c r="O30" s="331"/>
      <c r="P30" s="210">
        <f>E30-(J30+M30+N30)</f>
        <v>0</v>
      </c>
      <c r="R30" s="208"/>
    </row>
    <row r="31" spans="1:18" s="31" customFormat="1" outlineLevel="1">
      <c r="A31" s="332" t="s">
        <v>36</v>
      </c>
      <c r="B31" s="410" t="s">
        <v>212</v>
      </c>
      <c r="C31" s="410" t="s">
        <v>298</v>
      </c>
      <c r="D31" s="410"/>
      <c r="E31" s="965"/>
      <c r="F31" s="970">
        <f>G31/$E$30</f>
        <v>0.4</v>
      </c>
      <c r="G31" s="347">
        <v>166000</v>
      </c>
      <c r="H31" s="348">
        <v>1</v>
      </c>
      <c r="I31" s="345">
        <v>42188</v>
      </c>
      <c r="J31" s="349">
        <v>166000</v>
      </c>
      <c r="K31" s="350">
        <v>42228</v>
      </c>
      <c r="L31" s="408">
        <f>IF(K31="",$N$2-I31,K31-I31)</f>
        <v>40</v>
      </c>
      <c r="M31" s="352" t="str">
        <f t="shared" si="1"/>
        <v/>
      </c>
      <c r="N31" s="352">
        <f t="shared" si="0"/>
        <v>0</v>
      </c>
      <c r="O31" s="353"/>
      <c r="P31" s="212"/>
    </row>
    <row r="32" spans="1:18" s="31" customFormat="1" outlineLevel="1">
      <c r="A32" s="332" t="s">
        <v>36</v>
      </c>
      <c r="B32" s="410"/>
      <c r="C32" s="410"/>
      <c r="D32" s="410"/>
      <c r="E32" s="965"/>
      <c r="F32" s="970">
        <v>0.7</v>
      </c>
      <c r="G32" s="347">
        <f>0.3*E30</f>
        <v>124500</v>
      </c>
      <c r="H32" s="348">
        <v>2</v>
      </c>
      <c r="I32" s="345">
        <v>42780</v>
      </c>
      <c r="J32" s="349">
        <v>124500</v>
      </c>
      <c r="K32" s="350">
        <v>42808</v>
      </c>
      <c r="L32" s="408"/>
      <c r="M32" s="352" t="str">
        <f t="shared" si="1"/>
        <v/>
      </c>
      <c r="N32" s="352">
        <f t="shared" si="0"/>
        <v>0</v>
      </c>
      <c r="O32" s="353"/>
      <c r="P32" s="212"/>
    </row>
    <row r="33" spans="1:18" s="31" customFormat="1" outlineLevel="1">
      <c r="A33" s="354" t="s">
        <v>36</v>
      </c>
      <c r="B33" s="393"/>
      <c r="C33" s="410"/>
      <c r="D33" s="410"/>
      <c r="E33" s="965"/>
      <c r="F33" s="971">
        <v>1</v>
      </c>
      <c r="G33" s="357">
        <f>0.3*E30</f>
        <v>124500</v>
      </c>
      <c r="H33" s="358">
        <v>3</v>
      </c>
      <c r="I33" s="356">
        <v>43171</v>
      </c>
      <c r="J33" s="359">
        <v>124500</v>
      </c>
      <c r="K33" s="360">
        <v>43242</v>
      </c>
      <c r="L33" s="408"/>
      <c r="M33" s="352" t="str">
        <f t="shared" si="1"/>
        <v/>
      </c>
      <c r="N33" s="352">
        <f t="shared" si="0"/>
        <v>0</v>
      </c>
      <c r="O33" s="363"/>
      <c r="P33" s="212"/>
    </row>
    <row r="34" spans="1:18" s="8" customFormat="1">
      <c r="A34" s="400" t="s">
        <v>61</v>
      </c>
      <c r="B34" s="412">
        <v>41534</v>
      </c>
      <c r="C34" s="324">
        <v>42916</v>
      </c>
      <c r="D34" s="513">
        <v>43161</v>
      </c>
      <c r="E34" s="326">
        <v>120000</v>
      </c>
      <c r="F34" s="407"/>
      <c r="G34" s="402"/>
      <c r="H34" s="413"/>
      <c r="I34" s="404"/>
      <c r="J34" s="414">
        <f>SUM(J35:J37)</f>
        <v>120000</v>
      </c>
      <c r="K34" s="406"/>
      <c r="L34" s="409"/>
      <c r="M34" s="415">
        <f>SUM(M35:M37)</f>
        <v>0</v>
      </c>
      <c r="N34" s="415">
        <f>SUM(N35:N37)</f>
        <v>0</v>
      </c>
      <c r="O34" s="414"/>
      <c r="P34" s="210">
        <f>E34-(J34+M34+N34)</f>
        <v>0</v>
      </c>
    </row>
    <row r="35" spans="1:18" s="26" customFormat="1" outlineLevel="1">
      <c r="A35" s="332" t="s">
        <v>34</v>
      </c>
      <c r="B35" s="410" t="s">
        <v>212</v>
      </c>
      <c r="C35" s="410" t="s">
        <v>212</v>
      </c>
      <c r="D35" s="345"/>
      <c r="E35" s="411"/>
      <c r="F35" s="346">
        <f>G35/$E$34</f>
        <v>0.4</v>
      </c>
      <c r="G35" s="347">
        <v>48000</v>
      </c>
      <c r="H35" s="348">
        <v>1</v>
      </c>
      <c r="I35" s="345">
        <v>41641</v>
      </c>
      <c r="J35" s="349">
        <v>48000</v>
      </c>
      <c r="K35" s="350">
        <v>41758</v>
      </c>
      <c r="L35" s="408"/>
      <c r="M35" s="352" t="str">
        <f t="shared" si="1"/>
        <v/>
      </c>
      <c r="N35" s="352">
        <f t="shared" si="0"/>
        <v>0</v>
      </c>
      <c r="O35" s="353"/>
      <c r="P35" s="211"/>
      <c r="R35" s="27"/>
    </row>
    <row r="36" spans="1:18" s="26" customFormat="1" outlineLevel="1">
      <c r="A36" s="332" t="s">
        <v>34</v>
      </c>
      <c r="B36" s="345"/>
      <c r="C36" s="345"/>
      <c r="D36" s="345"/>
      <c r="E36" s="411"/>
      <c r="F36" s="346">
        <v>0.7</v>
      </c>
      <c r="G36" s="347">
        <v>36000</v>
      </c>
      <c r="H36" s="348">
        <v>2</v>
      </c>
      <c r="I36" s="345">
        <v>42606</v>
      </c>
      <c r="J36" s="349">
        <v>36000</v>
      </c>
      <c r="K36" s="350">
        <v>42655</v>
      </c>
      <c r="L36" s="408"/>
      <c r="M36" s="352" t="str">
        <f t="shared" si="1"/>
        <v/>
      </c>
      <c r="N36" s="352">
        <f t="shared" si="0"/>
        <v>0</v>
      </c>
      <c r="O36" s="353"/>
      <c r="P36" s="211"/>
      <c r="R36" s="27"/>
    </row>
    <row r="37" spans="1:18" s="26" customFormat="1" outlineLevel="1">
      <c r="A37" s="332" t="s">
        <v>34</v>
      </c>
      <c r="B37" s="345"/>
      <c r="C37" s="345"/>
      <c r="D37" s="345"/>
      <c r="E37" s="1004"/>
      <c r="F37" s="346">
        <v>1</v>
      </c>
      <c r="G37" s="347">
        <v>36000</v>
      </c>
      <c r="H37" s="348">
        <v>3</v>
      </c>
      <c r="I37" s="345">
        <v>42803</v>
      </c>
      <c r="J37" s="349">
        <v>36000</v>
      </c>
      <c r="K37" s="350">
        <v>42831</v>
      </c>
      <c r="L37" s="408"/>
      <c r="M37" s="352" t="str">
        <f t="shared" si="1"/>
        <v/>
      </c>
      <c r="N37" s="352">
        <f t="shared" si="0"/>
        <v>0</v>
      </c>
      <c r="O37" s="353"/>
      <c r="P37" s="211"/>
      <c r="R37" s="27"/>
    </row>
    <row r="38" spans="1:18" s="8" customFormat="1">
      <c r="A38" s="119" t="s">
        <v>103</v>
      </c>
      <c r="B38" s="158">
        <v>42004</v>
      </c>
      <c r="C38" s="158">
        <v>43465</v>
      </c>
      <c r="D38" s="151"/>
      <c r="E38" s="1005">
        <v>160000</v>
      </c>
      <c r="F38" s="123"/>
      <c r="G38" s="123"/>
      <c r="H38" s="138"/>
      <c r="I38" s="125"/>
      <c r="J38" s="159">
        <f>SUM(J39:J41)</f>
        <v>0</v>
      </c>
      <c r="K38" s="127"/>
      <c r="L38" s="127"/>
      <c r="M38" s="170">
        <f>SUM(M39:M41)</f>
        <v>0</v>
      </c>
      <c r="N38" s="170">
        <f>SUM(N39:N41)</f>
        <v>160000</v>
      </c>
      <c r="O38" s="159"/>
      <c r="P38" s="210"/>
    </row>
    <row r="39" spans="1:18" s="26" customFormat="1" outlineLevel="1">
      <c r="A39" s="46" t="s">
        <v>103</v>
      </c>
      <c r="B39" s="15"/>
      <c r="C39" s="15"/>
      <c r="D39" s="15"/>
      <c r="F39" s="627">
        <v>0.4</v>
      </c>
      <c r="G39" s="23">
        <f>E38*F39</f>
        <v>64000</v>
      </c>
      <c r="H39" s="42">
        <v>1</v>
      </c>
      <c r="I39" s="15"/>
      <c r="J39" s="24"/>
      <c r="K39" s="25"/>
      <c r="L39" s="43"/>
      <c r="M39" s="81"/>
      <c r="N39" s="81">
        <f t="shared" si="0"/>
        <v>64000</v>
      </c>
      <c r="O39" s="16"/>
      <c r="P39" s="211"/>
      <c r="R39" s="27"/>
    </row>
    <row r="40" spans="1:18" s="26" customFormat="1" outlineLevel="1">
      <c r="A40" s="46" t="s">
        <v>103</v>
      </c>
      <c r="B40" s="15"/>
      <c r="C40" s="15"/>
      <c r="D40" s="15"/>
      <c r="F40" s="627">
        <v>0.7</v>
      </c>
      <c r="G40" s="23">
        <v>48000</v>
      </c>
      <c r="H40" s="42">
        <v>2</v>
      </c>
      <c r="I40" s="15"/>
      <c r="J40" s="24"/>
      <c r="K40" s="25"/>
      <c r="L40" s="43"/>
      <c r="M40" s="81"/>
      <c r="N40" s="81">
        <f t="shared" si="0"/>
        <v>48000</v>
      </c>
      <c r="O40" s="16"/>
      <c r="P40" s="211" t="s">
        <v>95</v>
      </c>
      <c r="R40" s="27"/>
    </row>
    <row r="41" spans="1:18" s="26" customFormat="1" outlineLevel="1">
      <c r="A41" s="46" t="s">
        <v>103</v>
      </c>
      <c r="B41" s="15"/>
      <c r="C41" s="15"/>
      <c r="D41" s="15"/>
      <c r="F41" s="553">
        <v>1</v>
      </c>
      <c r="G41" s="23">
        <f>E38*30%</f>
        <v>48000</v>
      </c>
      <c r="H41" s="42">
        <v>3</v>
      </c>
      <c r="I41" s="15"/>
      <c r="J41" s="24"/>
      <c r="K41" s="25"/>
      <c r="L41" s="43"/>
      <c r="M41" s="81"/>
      <c r="N41" s="81">
        <f t="shared" si="0"/>
        <v>48000</v>
      </c>
      <c r="O41" s="16"/>
      <c r="P41" s="211"/>
      <c r="R41" s="27"/>
    </row>
    <row r="42" spans="1:18" s="8" customFormat="1">
      <c r="A42" s="48"/>
      <c r="B42" s="48"/>
      <c r="C42" s="48"/>
      <c r="D42" s="48"/>
      <c r="E42" s="41">
        <f>E6+E10+E14+E18+E22+E26+E30+E34+E38</f>
        <v>1370000</v>
      </c>
      <c r="F42" s="41"/>
      <c r="G42" s="41">
        <f>SUMPRODUCT((DateAF_CAF&lt;&gt;"")*MontantAF_CAF)</f>
        <v>1210000</v>
      </c>
      <c r="H42" s="49"/>
      <c r="I42" s="50"/>
      <c r="J42" s="41">
        <f>J6+J10+J14+J18+J22+J26+J30+J34</f>
        <v>1210000</v>
      </c>
      <c r="K42" s="50"/>
      <c r="L42" s="50"/>
      <c r="M42" s="41">
        <f>M6+M10+M14+M18+M22+M26+M30+M34+M38</f>
        <v>0</v>
      </c>
      <c r="N42" s="41">
        <f>N6+N10+N14+N18+N22+N26+N30+N34+N38</f>
        <v>160000</v>
      </c>
      <c r="O42" s="41"/>
      <c r="P42" s="213">
        <f>E42-(J42+M42+N42)</f>
        <v>0</v>
      </c>
      <c r="R42" s="20"/>
    </row>
    <row r="43" spans="1:18">
      <c r="A43" s="75"/>
      <c r="B43" s="76"/>
      <c r="C43" s="76"/>
      <c r="D43" s="76"/>
      <c r="E43" s="76"/>
      <c r="F43" s="76"/>
      <c r="G43" s="76"/>
      <c r="H43" s="75"/>
      <c r="I43" s="76"/>
      <c r="J43" s="76"/>
      <c r="K43" s="76"/>
      <c r="L43" s="52"/>
      <c r="M43" s="1025">
        <f>SUM(M42:N42)</f>
        <v>160000</v>
      </c>
      <c r="N43" s="1026"/>
      <c r="O43" s="216"/>
    </row>
    <row r="45" spans="1:18">
      <c r="A45" s="430" t="s">
        <v>239</v>
      </c>
    </row>
    <row r="47" spans="1:18">
      <c r="A47" s="430" t="s">
        <v>240</v>
      </c>
      <c r="G47" s="369" t="s">
        <v>207</v>
      </c>
      <c r="J47" s="370" t="s">
        <v>209</v>
      </c>
      <c r="M47" s="369" t="s">
        <v>207</v>
      </c>
      <c r="N47" s="370" t="s">
        <v>209</v>
      </c>
    </row>
    <row r="48" spans="1:18">
      <c r="F48" s="378">
        <v>41000</v>
      </c>
      <c r="G48" s="466">
        <f t="shared" ref="G48:G89" si="2">SUMPRODUCT((DateAF_CAF&lt;&gt;"")*(MONTH(DateAF_CAF)=MONTH(F48))*(YEAR(DateAF_CAF)=YEAR(F48))*MontantAF_CAF)</f>
        <v>28000</v>
      </c>
      <c r="I48" s="378">
        <v>41000</v>
      </c>
      <c r="J48" s="466">
        <f t="shared" ref="J48:J77" si="3">SUMPRODUCT((DatePmt_caf&lt;&gt;"")*(DatePmt_caf&lt;&gt;"en attente")*(MONTH(DatePmt_caf)=MONTH(I48))*(YEAR(DatePmt_caf)=YEAR(I48))*(ISNUMBER(MtntPaye_CAF)),MtntPaye_CAF)</f>
        <v>28000</v>
      </c>
      <c r="L48" s="1">
        <v>2012</v>
      </c>
      <c r="M48" s="466">
        <f t="shared" ref="M48:M53" si="4">SUMPRODUCT((YEAR($F$48:$F$77)=L48)*($G$48:$G$77))</f>
        <v>28000</v>
      </c>
      <c r="N48" s="466">
        <f t="shared" ref="N48:N53" si="5">SUMPRODUCT((YEAR($I$48:$I$77)=L48)*($J$48:$J$77))</f>
        <v>28000</v>
      </c>
    </row>
    <row r="49" spans="6:14">
      <c r="F49" s="378">
        <v>41275</v>
      </c>
      <c r="G49" s="466">
        <f t="shared" si="2"/>
        <v>154000</v>
      </c>
      <c r="I49" s="378">
        <v>41275</v>
      </c>
      <c r="J49" s="466">
        <f t="shared" si="3"/>
        <v>0</v>
      </c>
      <c r="L49" s="1">
        <v>2013</v>
      </c>
      <c r="M49" s="466">
        <f t="shared" si="4"/>
        <v>175000</v>
      </c>
      <c r="N49" s="466">
        <f t="shared" si="5"/>
        <v>175000</v>
      </c>
    </row>
    <row r="50" spans="6:14">
      <c r="F50" s="378">
        <v>41334</v>
      </c>
      <c r="G50" s="466">
        <f t="shared" si="2"/>
        <v>0</v>
      </c>
      <c r="I50" s="378">
        <v>41334</v>
      </c>
      <c r="J50" s="466">
        <f t="shared" si="3"/>
        <v>154000</v>
      </c>
      <c r="L50" s="1">
        <v>2014</v>
      </c>
      <c r="M50" s="466">
        <f t="shared" si="4"/>
        <v>190000</v>
      </c>
      <c r="N50" s="466">
        <f t="shared" si="5"/>
        <v>136000</v>
      </c>
    </row>
    <row r="51" spans="6:14">
      <c r="F51" s="378">
        <v>41456</v>
      </c>
      <c r="G51" s="466">
        <f t="shared" si="2"/>
        <v>21000</v>
      </c>
      <c r="I51" s="378">
        <v>41456</v>
      </c>
      <c r="J51" s="466">
        <f t="shared" si="3"/>
        <v>0</v>
      </c>
      <c r="L51" s="1">
        <v>2015</v>
      </c>
      <c r="M51" s="466">
        <f t="shared" si="4"/>
        <v>269500</v>
      </c>
      <c r="N51" s="466">
        <f t="shared" si="5"/>
        <v>290500</v>
      </c>
    </row>
    <row r="52" spans="6:14">
      <c r="F52" s="378">
        <v>41518</v>
      </c>
      <c r="G52" s="466">
        <f t="shared" si="2"/>
        <v>0</v>
      </c>
      <c r="I52" s="378">
        <v>41518</v>
      </c>
      <c r="J52" s="466">
        <f t="shared" si="3"/>
        <v>21000</v>
      </c>
      <c r="L52" s="1">
        <v>2016</v>
      </c>
      <c r="M52" s="466">
        <f t="shared" si="4"/>
        <v>135000</v>
      </c>
      <c r="N52" s="466">
        <f t="shared" si="5"/>
        <v>168000</v>
      </c>
    </row>
    <row r="53" spans="6:14">
      <c r="F53" s="378">
        <v>41640</v>
      </c>
      <c r="G53" s="466">
        <f t="shared" si="2"/>
        <v>48000</v>
      </c>
      <c r="I53" s="378">
        <v>41640</v>
      </c>
      <c r="J53" s="466">
        <f t="shared" si="3"/>
        <v>0</v>
      </c>
      <c r="L53" s="1">
        <v>2017</v>
      </c>
      <c r="M53" s="466">
        <f t="shared" si="4"/>
        <v>288000</v>
      </c>
      <c r="N53" s="466">
        <f t="shared" si="5"/>
        <v>288000</v>
      </c>
    </row>
    <row r="54" spans="6:14">
      <c r="F54" s="378">
        <v>41699</v>
      </c>
      <c r="G54" s="466">
        <f t="shared" si="2"/>
        <v>88000</v>
      </c>
      <c r="I54" s="378">
        <v>41699</v>
      </c>
      <c r="J54" s="466">
        <f t="shared" si="3"/>
        <v>0</v>
      </c>
      <c r="L54" s="1">
        <v>2018</v>
      </c>
      <c r="M54" s="466">
        <f>SUMPRODUCT((YEAR($F$48:$F$89)=L54)*($G$48:$G$89))</f>
        <v>124500</v>
      </c>
      <c r="N54" s="466">
        <f>SUMPRODUCT((YEAR($I$48:$I$89)=L54)*($J$48:$J$89))</f>
        <v>124500</v>
      </c>
    </row>
    <row r="55" spans="6:14">
      <c r="F55" s="378">
        <v>41730</v>
      </c>
      <c r="G55" s="466">
        <f t="shared" si="2"/>
        <v>0</v>
      </c>
      <c r="I55" s="378">
        <v>41730</v>
      </c>
      <c r="J55" s="466">
        <f t="shared" si="3"/>
        <v>136000</v>
      </c>
      <c r="M55" s="467">
        <f>SUM(M48:M54)</f>
        <v>1210000</v>
      </c>
      <c r="N55" s="467">
        <f>SUM(N48:N54)</f>
        <v>1210000</v>
      </c>
    </row>
    <row r="56" spans="6:14">
      <c r="F56" s="378">
        <v>41883</v>
      </c>
      <c r="G56" s="466">
        <f t="shared" si="2"/>
        <v>54000</v>
      </c>
      <c r="I56" s="378">
        <v>41883</v>
      </c>
      <c r="J56" s="466">
        <f t="shared" si="3"/>
        <v>0</v>
      </c>
      <c r="M56" s="468">
        <f>+M55-G90</f>
        <v>0</v>
      </c>
      <c r="N56" s="166">
        <f>+N55-J90</f>
        <v>0</v>
      </c>
    </row>
    <row r="57" spans="6:14">
      <c r="F57" s="378">
        <v>42095</v>
      </c>
      <c r="G57" s="466">
        <f t="shared" si="2"/>
        <v>21000</v>
      </c>
      <c r="I57" s="378">
        <v>42095</v>
      </c>
      <c r="J57" s="466">
        <f t="shared" si="3"/>
        <v>0</v>
      </c>
    </row>
    <row r="58" spans="6:14">
      <c r="F58" s="378">
        <v>42125</v>
      </c>
      <c r="G58" s="466">
        <f t="shared" si="2"/>
        <v>21000</v>
      </c>
      <c r="I58" s="378">
        <v>42125</v>
      </c>
      <c r="J58" s="466">
        <f t="shared" si="3"/>
        <v>0</v>
      </c>
    </row>
    <row r="59" spans="6:14">
      <c r="F59" s="378">
        <v>42186</v>
      </c>
      <c r="G59" s="466">
        <f t="shared" si="2"/>
        <v>227500</v>
      </c>
      <c r="I59" s="378">
        <v>42186</v>
      </c>
      <c r="J59" s="466">
        <f t="shared" si="3"/>
        <v>63000</v>
      </c>
    </row>
    <row r="60" spans="6:14">
      <c r="F60" s="378">
        <v>42217</v>
      </c>
      <c r="G60" s="466">
        <f t="shared" si="2"/>
        <v>0</v>
      </c>
      <c r="I60" s="378">
        <v>42217</v>
      </c>
      <c r="J60" s="466">
        <f t="shared" si="3"/>
        <v>202000</v>
      </c>
    </row>
    <row r="61" spans="6:14">
      <c r="F61" s="378">
        <v>42278</v>
      </c>
      <c r="G61" s="466">
        <f t="shared" si="2"/>
        <v>0</v>
      </c>
      <c r="I61" s="378">
        <v>42278</v>
      </c>
      <c r="J61" s="466">
        <f t="shared" si="3"/>
        <v>25500</v>
      </c>
    </row>
    <row r="62" spans="6:14">
      <c r="F62" s="378">
        <v>42430</v>
      </c>
      <c r="G62" s="466">
        <f t="shared" si="2"/>
        <v>33000</v>
      </c>
      <c r="I62" s="378">
        <v>42430</v>
      </c>
      <c r="J62" s="466">
        <f t="shared" si="3"/>
        <v>0</v>
      </c>
    </row>
    <row r="63" spans="6:14">
      <c r="F63" s="378">
        <v>42491</v>
      </c>
      <c r="G63" s="466">
        <f t="shared" si="2"/>
        <v>66000</v>
      </c>
      <c r="I63" s="378">
        <v>42491</v>
      </c>
      <c r="J63" s="466">
        <f t="shared" si="3"/>
        <v>66000</v>
      </c>
    </row>
    <row r="64" spans="6:14">
      <c r="F64" s="378">
        <v>42522</v>
      </c>
      <c r="G64" s="466">
        <f t="shared" si="2"/>
        <v>0</v>
      </c>
      <c r="I64" s="378">
        <v>42522</v>
      </c>
      <c r="J64" s="466">
        <f t="shared" si="3"/>
        <v>66000</v>
      </c>
    </row>
    <row r="65" spans="6:10">
      <c r="F65" s="378">
        <v>42583</v>
      </c>
      <c r="G65" s="466">
        <f t="shared" si="2"/>
        <v>36000</v>
      </c>
      <c r="I65" s="378">
        <v>42583</v>
      </c>
      <c r="J65" s="466">
        <f t="shared" si="3"/>
        <v>0</v>
      </c>
    </row>
    <row r="66" spans="6:10">
      <c r="F66" s="378">
        <v>42644</v>
      </c>
      <c r="G66" s="466">
        <f t="shared" si="2"/>
        <v>0</v>
      </c>
      <c r="I66" s="378">
        <v>42644</v>
      </c>
      <c r="J66" s="466">
        <f t="shared" si="3"/>
        <v>36000</v>
      </c>
    </row>
    <row r="67" spans="6:10">
      <c r="F67" s="378">
        <v>42767</v>
      </c>
      <c r="G67" s="466">
        <f t="shared" si="2"/>
        <v>190500</v>
      </c>
      <c r="I67" s="378">
        <v>42767</v>
      </c>
      <c r="J67" s="466">
        <f t="shared" si="3"/>
        <v>0</v>
      </c>
    </row>
    <row r="68" spans="6:10">
      <c r="F68" s="378">
        <v>42795</v>
      </c>
      <c r="G68" s="466">
        <f t="shared" si="2"/>
        <v>36000</v>
      </c>
      <c r="I68" s="378">
        <v>42795</v>
      </c>
      <c r="J68" s="466">
        <f t="shared" si="3"/>
        <v>190500</v>
      </c>
    </row>
    <row r="69" spans="6:10">
      <c r="F69" s="378">
        <v>42826</v>
      </c>
      <c r="G69" s="466">
        <f t="shared" si="2"/>
        <v>25500</v>
      </c>
      <c r="I69" s="378">
        <v>42826</v>
      </c>
      <c r="J69" s="466">
        <f t="shared" si="3"/>
        <v>36000</v>
      </c>
    </row>
    <row r="70" spans="6:10">
      <c r="F70" s="378">
        <v>42856</v>
      </c>
      <c r="G70" s="466">
        <f t="shared" si="2"/>
        <v>36000</v>
      </c>
      <c r="I70" s="378">
        <v>42856</v>
      </c>
      <c r="J70" s="466">
        <f t="shared" si="3"/>
        <v>25500</v>
      </c>
    </row>
    <row r="71" spans="6:10">
      <c r="F71" s="378">
        <v>42887</v>
      </c>
      <c r="G71" s="466">
        <f t="shared" si="2"/>
        <v>0</v>
      </c>
      <c r="I71" s="378">
        <v>42887</v>
      </c>
      <c r="J71" s="466">
        <f t="shared" si="3"/>
        <v>36000</v>
      </c>
    </row>
    <row r="72" spans="6:10">
      <c r="F72" s="378">
        <v>42917</v>
      </c>
      <c r="G72" s="466">
        <f t="shared" si="2"/>
        <v>0</v>
      </c>
      <c r="I72" s="378">
        <v>42917</v>
      </c>
      <c r="J72" s="466">
        <f t="shared" si="3"/>
        <v>0</v>
      </c>
    </row>
    <row r="73" spans="6:10">
      <c r="F73" s="378">
        <v>42948</v>
      </c>
      <c r="G73" s="466">
        <f t="shared" si="2"/>
        <v>0</v>
      </c>
      <c r="I73" s="378">
        <v>42948</v>
      </c>
      <c r="J73" s="466">
        <f t="shared" si="3"/>
        <v>0</v>
      </c>
    </row>
    <row r="74" spans="6:10">
      <c r="F74" s="378">
        <v>42979</v>
      </c>
      <c r="G74" s="466">
        <f t="shared" si="2"/>
        <v>0</v>
      </c>
      <c r="I74" s="378">
        <v>42979</v>
      </c>
      <c r="J74" s="466">
        <f t="shared" si="3"/>
        <v>0</v>
      </c>
    </row>
    <row r="75" spans="6:10">
      <c r="F75" s="378">
        <v>43009</v>
      </c>
      <c r="G75" s="466">
        <f t="shared" si="2"/>
        <v>0</v>
      </c>
      <c r="I75" s="378">
        <v>43009</v>
      </c>
      <c r="J75" s="466">
        <f t="shared" si="3"/>
        <v>0</v>
      </c>
    </row>
    <row r="76" spans="6:10">
      <c r="F76" s="378">
        <v>43040</v>
      </c>
      <c r="G76" s="466">
        <f t="shared" si="2"/>
        <v>0</v>
      </c>
      <c r="I76" s="378">
        <v>43040</v>
      </c>
      <c r="J76" s="466">
        <f t="shared" si="3"/>
        <v>0</v>
      </c>
    </row>
    <row r="77" spans="6:10">
      <c r="F77" s="378">
        <v>43070</v>
      </c>
      <c r="G77" s="466">
        <f t="shared" si="2"/>
        <v>0</v>
      </c>
      <c r="I77" s="378">
        <v>43070</v>
      </c>
      <c r="J77" s="466">
        <f t="shared" si="3"/>
        <v>0</v>
      </c>
    </row>
    <row r="78" spans="6:10">
      <c r="F78" s="378">
        <v>43101</v>
      </c>
      <c r="G78" s="466">
        <f t="shared" si="2"/>
        <v>0</v>
      </c>
      <c r="I78" s="378">
        <v>43101</v>
      </c>
      <c r="J78" s="466">
        <f t="shared" ref="J78:J89" si="6">SUMPRODUCT((DatePmt_caf&lt;&gt;"")*(DatePmt_caf&lt;&gt;"en attente")*(MONTH(DatePmt_caf)=MONTH(I78))*(YEAR(DatePmt_caf)=YEAR(I78))*(ISNUMBER(MtntPaye_CAF)),MtntPaye_CAF)</f>
        <v>0</v>
      </c>
    </row>
    <row r="79" spans="6:10">
      <c r="F79" s="378">
        <v>43132</v>
      </c>
      <c r="G79" s="466">
        <f t="shared" si="2"/>
        <v>0</v>
      </c>
      <c r="I79" s="378">
        <v>43132</v>
      </c>
      <c r="J79" s="466">
        <f t="shared" si="6"/>
        <v>0</v>
      </c>
    </row>
    <row r="80" spans="6:10">
      <c r="F80" s="378">
        <v>43160</v>
      </c>
      <c r="G80" s="466">
        <f t="shared" si="2"/>
        <v>124500</v>
      </c>
      <c r="I80" s="378">
        <v>43160</v>
      </c>
      <c r="J80" s="466">
        <f t="shared" si="6"/>
        <v>0</v>
      </c>
    </row>
    <row r="81" spans="1:16">
      <c r="F81" s="378">
        <v>43191</v>
      </c>
      <c r="G81" s="466">
        <f t="shared" si="2"/>
        <v>0</v>
      </c>
      <c r="I81" s="378">
        <v>43191</v>
      </c>
      <c r="J81" s="466">
        <f t="shared" si="6"/>
        <v>0</v>
      </c>
    </row>
    <row r="82" spans="1:16">
      <c r="F82" s="378">
        <v>43221</v>
      </c>
      <c r="G82" s="466">
        <f t="shared" si="2"/>
        <v>0</v>
      </c>
      <c r="I82" s="378">
        <v>43221</v>
      </c>
      <c r="J82" s="466">
        <f t="shared" si="6"/>
        <v>124500</v>
      </c>
    </row>
    <row r="83" spans="1:16">
      <c r="F83" s="378">
        <v>43252</v>
      </c>
      <c r="G83" s="466">
        <f t="shared" si="2"/>
        <v>0</v>
      </c>
      <c r="I83" s="378">
        <v>43252</v>
      </c>
      <c r="J83" s="466">
        <f t="shared" si="6"/>
        <v>0</v>
      </c>
    </row>
    <row r="84" spans="1:16">
      <c r="F84" s="378">
        <v>43282</v>
      </c>
      <c r="G84" s="466">
        <f t="shared" si="2"/>
        <v>0</v>
      </c>
      <c r="I84" s="378">
        <v>43282</v>
      </c>
      <c r="J84" s="466">
        <f t="shared" si="6"/>
        <v>0</v>
      </c>
    </row>
    <row r="85" spans="1:16">
      <c r="F85" s="378">
        <v>43313</v>
      </c>
      <c r="G85" s="466">
        <f t="shared" si="2"/>
        <v>0</v>
      </c>
      <c r="I85" s="378">
        <v>43313</v>
      </c>
      <c r="J85" s="466">
        <f t="shared" si="6"/>
        <v>0</v>
      </c>
    </row>
    <row r="86" spans="1:16">
      <c r="F86" s="378">
        <v>43344</v>
      </c>
      <c r="G86" s="466">
        <f t="shared" si="2"/>
        <v>0</v>
      </c>
      <c r="I86" s="378">
        <v>43344</v>
      </c>
      <c r="J86" s="466">
        <f t="shared" si="6"/>
        <v>0</v>
      </c>
    </row>
    <row r="87" spans="1:16">
      <c r="F87" s="378">
        <v>43374</v>
      </c>
      <c r="G87" s="466">
        <f t="shared" si="2"/>
        <v>0</v>
      </c>
      <c r="I87" s="378">
        <v>43374</v>
      </c>
      <c r="J87" s="466">
        <f t="shared" si="6"/>
        <v>0</v>
      </c>
    </row>
    <row r="88" spans="1:16">
      <c r="F88" s="378">
        <v>43405</v>
      </c>
      <c r="G88" s="466">
        <f t="shared" si="2"/>
        <v>0</v>
      </c>
      <c r="I88" s="378">
        <v>43405</v>
      </c>
      <c r="J88" s="466">
        <f t="shared" si="6"/>
        <v>0</v>
      </c>
    </row>
    <row r="89" spans="1:16">
      <c r="F89" s="378">
        <v>43435</v>
      </c>
      <c r="G89" s="466">
        <f t="shared" si="2"/>
        <v>0</v>
      </c>
      <c r="I89" s="378">
        <v>43435</v>
      </c>
      <c r="J89" s="466">
        <f t="shared" si="6"/>
        <v>0</v>
      </c>
    </row>
    <row r="90" spans="1:16" s="8" customFormat="1">
      <c r="A90" s="458"/>
      <c r="G90" s="467">
        <f>SUM(G48:G89)</f>
        <v>1210000</v>
      </c>
      <c r="H90" s="460"/>
      <c r="I90" s="460"/>
      <c r="J90" s="460">
        <f>SUM(J48:J89)</f>
        <v>1210000</v>
      </c>
      <c r="L90" s="1"/>
      <c r="M90" s="1"/>
      <c r="N90" s="1"/>
      <c r="P90" s="464"/>
    </row>
    <row r="91" spans="1:16" s="161" customFormat="1">
      <c r="A91" s="465"/>
      <c r="G91" s="166">
        <f>+G90-G42</f>
        <v>0</v>
      </c>
      <c r="H91" s="465"/>
      <c r="J91" s="166">
        <f>+J90-J42</f>
        <v>0</v>
      </c>
      <c r="L91" s="8"/>
      <c r="M91" s="8"/>
      <c r="N91" s="8"/>
    </row>
    <row r="92" spans="1:16">
      <c r="L92" s="161"/>
      <c r="M92" s="161"/>
      <c r="N92" s="161"/>
    </row>
  </sheetData>
  <autoFilter ref="A4:P5">
    <filterColumn colId="6" showButton="0"/>
    <filterColumn colId="7" showButton="0"/>
    <filterColumn colId="8" showButton="0"/>
    <filterColumn colId="9" showButton="0"/>
    <filterColumn colId="10" showButton="0"/>
    <filterColumn colId="12" showButton="0"/>
  </autoFilter>
  <mergeCells count="7">
    <mergeCell ref="M43:N43"/>
    <mergeCell ref="A2:M2"/>
    <mergeCell ref="A4:A5"/>
    <mergeCell ref="B4:B5"/>
    <mergeCell ref="E4:E5"/>
    <mergeCell ref="G4:L4"/>
    <mergeCell ref="M4:N4"/>
  </mergeCells>
  <pageMargins left="0.7" right="0.7" top="0.75" bottom="0.75" header="0.3" footer="0.3"/>
  <pageSetup paperSize="9" scale="39" orientation="landscape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">
    <tabColor rgb="FF00B050"/>
    <pageSetUpPr fitToPage="1"/>
  </sheetPr>
  <dimension ref="A2:S101"/>
  <sheetViews>
    <sheetView zoomScaleNormal="100" workbookViewId="0">
      <pane xSplit="1" ySplit="5" topLeftCell="E76" activePane="bottomRight" state="frozen"/>
      <selection pane="topRight" activeCell="B1" sqref="B1"/>
      <selection pane="bottomLeft" activeCell="A6" sqref="A6"/>
      <selection pane="bottomRight" activeCell="H33" sqref="H33:L99"/>
    </sheetView>
  </sheetViews>
  <sheetFormatPr defaultColWidth="11.42578125" defaultRowHeight="12.75" outlineLevelRow="1" outlineLevelCol="1"/>
  <cols>
    <col min="1" max="1" width="31.5703125" style="6" bestFit="1" customWidth="1"/>
    <col min="2" max="2" width="30.42578125" style="1" customWidth="1" outlineLevel="1"/>
    <col min="3" max="3" width="15.28515625" style="1" customWidth="1"/>
    <col min="4" max="4" width="15.5703125" style="1" customWidth="1"/>
    <col min="5" max="5" width="20" style="1" customWidth="1"/>
    <col min="6" max="6" width="11.42578125" style="1" customWidth="1"/>
    <col min="7" max="7" width="13.42578125" style="1" bestFit="1" customWidth="1"/>
    <col min="8" max="8" width="13.42578125" style="1" customWidth="1"/>
    <col min="9" max="9" width="14.42578125" style="1" customWidth="1"/>
    <col min="10" max="10" width="4.140625" style="6" bestFit="1" customWidth="1"/>
    <col min="11" max="11" width="10.42578125" style="1" bestFit="1" customWidth="1"/>
    <col min="12" max="12" width="14.5703125" style="1" customWidth="1"/>
    <col min="13" max="13" width="10.42578125" style="1" bestFit="1" customWidth="1"/>
    <col min="14" max="14" width="18.5703125" style="1" bestFit="1" customWidth="1"/>
    <col min="15" max="15" width="14.42578125" style="1" customWidth="1"/>
    <col min="16" max="17" width="14.42578125" style="1" bestFit="1" customWidth="1"/>
    <col min="18" max="18" width="18" style="161" customWidth="1"/>
    <col min="19" max="16384" width="11.42578125" style="1"/>
  </cols>
  <sheetData>
    <row r="2" spans="1:19">
      <c r="A2" s="1027" t="s">
        <v>70</v>
      </c>
      <c r="B2" s="1027"/>
      <c r="C2" s="1027"/>
      <c r="D2" s="1027"/>
      <c r="E2" s="1027"/>
      <c r="F2" s="1027"/>
      <c r="G2" s="1027"/>
      <c r="H2" s="1027"/>
      <c r="I2" s="1027"/>
      <c r="J2" s="1027"/>
      <c r="K2" s="1027"/>
      <c r="L2" s="1027"/>
      <c r="M2" s="1027"/>
      <c r="N2" s="1027"/>
      <c r="O2" s="1027"/>
      <c r="P2" s="9">
        <f ca="1">TODAY()</f>
        <v>43599</v>
      </c>
      <c r="Q2" s="9"/>
    </row>
    <row r="4" spans="1:19" s="2" customFormat="1" ht="25.5">
      <c r="A4" s="1044" t="s">
        <v>2</v>
      </c>
      <c r="B4" s="1044" t="s">
        <v>0</v>
      </c>
      <c r="C4" s="1032" t="s">
        <v>21</v>
      </c>
      <c r="D4" s="206" t="s">
        <v>114</v>
      </c>
      <c r="E4" s="206" t="s">
        <v>109</v>
      </c>
      <c r="F4" s="206" t="s">
        <v>112</v>
      </c>
      <c r="G4" s="1032" t="s">
        <v>12</v>
      </c>
      <c r="H4" s="919"/>
      <c r="I4" s="1028" t="s">
        <v>4</v>
      </c>
      <c r="J4" s="1029"/>
      <c r="K4" s="1029"/>
      <c r="L4" s="1029"/>
      <c r="M4" s="1029"/>
      <c r="N4" s="1030"/>
      <c r="O4" s="1031" t="s">
        <v>13</v>
      </c>
      <c r="P4" s="1032"/>
      <c r="Q4" s="3" t="s">
        <v>111</v>
      </c>
      <c r="R4" s="209"/>
      <c r="S4" s="63"/>
    </row>
    <row r="5" spans="1:19" s="13" customFormat="1" ht="21.75" customHeight="1">
      <c r="A5" s="1045"/>
      <c r="B5" s="1045"/>
      <c r="C5" s="1046"/>
      <c r="D5" s="207"/>
      <c r="E5" s="207"/>
      <c r="F5" s="207"/>
      <c r="G5" s="1046"/>
      <c r="H5" s="947"/>
      <c r="I5" s="10" t="s">
        <v>1</v>
      </c>
      <c r="J5" s="11" t="s">
        <v>3</v>
      </c>
      <c r="K5" s="11" t="s">
        <v>15</v>
      </c>
      <c r="L5" s="12" t="s">
        <v>14</v>
      </c>
      <c r="M5" s="10" t="s">
        <v>15</v>
      </c>
      <c r="N5" s="11" t="s">
        <v>18</v>
      </c>
      <c r="O5" s="3" t="s">
        <v>20</v>
      </c>
      <c r="P5" s="3" t="s">
        <v>19</v>
      </c>
      <c r="Q5" s="3"/>
      <c r="R5" s="161"/>
    </row>
    <row r="6" spans="1:19">
      <c r="A6" s="323" t="s">
        <v>235</v>
      </c>
      <c r="B6" s="396"/>
      <c r="C6" s="329">
        <v>41547</v>
      </c>
      <c r="D6" s="397"/>
      <c r="E6" s="397"/>
      <c r="F6" s="397"/>
      <c r="G6" s="325">
        <v>44565.760000000002</v>
      </c>
      <c r="H6" s="325"/>
      <c r="I6" s="326"/>
      <c r="J6" s="398"/>
      <c r="K6" s="330"/>
      <c r="L6" s="328">
        <f>SUM(L7:L8)</f>
        <v>38067.93</v>
      </c>
      <c r="M6" s="329"/>
      <c r="N6" s="330"/>
      <c r="O6" s="325">
        <f>SUM(O7)</f>
        <v>0</v>
      </c>
      <c r="P6" s="325">
        <f>SUM(P7)</f>
        <v>0</v>
      </c>
      <c r="Q6" s="331"/>
      <c r="R6" s="210">
        <f>G6-(L6+O6+P6)</f>
        <v>6497.8300000000017</v>
      </c>
    </row>
    <row r="7" spans="1:19" s="26" customFormat="1" outlineLevel="1">
      <c r="A7" s="332" t="s">
        <v>235</v>
      </c>
      <c r="B7" s="351"/>
      <c r="C7" s="345"/>
      <c r="D7" s="345"/>
      <c r="E7" s="345"/>
      <c r="F7" s="345"/>
      <c r="G7" s="353"/>
      <c r="H7" s="353"/>
      <c r="I7" s="347">
        <v>44565.760000000002</v>
      </c>
      <c r="J7" s="348">
        <v>1</v>
      </c>
      <c r="K7" s="350">
        <v>42246</v>
      </c>
      <c r="L7" s="347">
        <v>38067.93</v>
      </c>
      <c r="M7" s="350">
        <v>42284</v>
      </c>
      <c r="N7" s="351"/>
      <c r="O7" s="352" t="str">
        <f>IF(L7="en attente",I7,"")</f>
        <v/>
      </c>
      <c r="P7" s="352"/>
      <c r="Q7" s="353"/>
      <c r="R7" s="161"/>
    </row>
    <row r="8" spans="1:19" s="26" customFormat="1" outlineLevel="1">
      <c r="A8" s="332"/>
      <c r="B8" s="351"/>
      <c r="C8" s="345"/>
      <c r="D8" s="345"/>
      <c r="E8" s="345"/>
      <c r="F8" s="345"/>
      <c r="G8" s="353"/>
      <c r="H8" s="353"/>
      <c r="I8" s="347"/>
      <c r="J8" s="348"/>
      <c r="K8" s="345"/>
      <c r="L8" s="349"/>
      <c r="M8" s="350">
        <v>42369</v>
      </c>
      <c r="N8" s="351"/>
      <c r="O8" s="390">
        <v>-6497.83</v>
      </c>
      <c r="P8" s="352"/>
      <c r="Q8" s="353"/>
      <c r="R8" s="389" t="s">
        <v>234</v>
      </c>
    </row>
    <row r="9" spans="1:19" s="107" customFormat="1">
      <c r="A9" s="323" t="s">
        <v>39</v>
      </c>
      <c r="B9" s="330"/>
      <c r="C9" s="324">
        <v>41091</v>
      </c>
      <c r="D9" s="324"/>
      <c r="E9" s="324"/>
      <c r="F9" s="324"/>
      <c r="G9" s="325">
        <v>20808.98</v>
      </c>
      <c r="H9" s="325"/>
      <c r="I9" s="326"/>
      <c r="J9" s="327"/>
      <c r="K9" s="324"/>
      <c r="L9" s="328">
        <f>SUM(L10)</f>
        <v>20808.98</v>
      </c>
      <c r="M9" s="329"/>
      <c r="N9" s="330"/>
      <c r="O9" s="331">
        <f>SUM(O10)</f>
        <v>0</v>
      </c>
      <c r="P9" s="331">
        <f>SUM(P10)</f>
        <v>0</v>
      </c>
      <c r="Q9" s="391"/>
      <c r="R9" s="209"/>
    </row>
    <row r="10" spans="1:19" s="26" customFormat="1" outlineLevel="1">
      <c r="A10" s="354" t="s">
        <v>39</v>
      </c>
      <c r="B10" s="392"/>
      <c r="C10" s="393"/>
      <c r="D10" s="393"/>
      <c r="E10" s="393"/>
      <c r="F10" s="393"/>
      <c r="G10" s="394"/>
      <c r="H10" s="394"/>
      <c r="I10" s="357">
        <v>20808.98</v>
      </c>
      <c r="J10" s="358">
        <v>1</v>
      </c>
      <c r="K10" s="356">
        <v>41668</v>
      </c>
      <c r="L10" s="359">
        <v>20808.98</v>
      </c>
      <c r="M10" s="360">
        <v>42158</v>
      </c>
      <c r="N10" s="361">
        <f>$M$10-K10</f>
        <v>490</v>
      </c>
      <c r="O10" s="362" t="str">
        <f>IF(L10="en attente",I10,"")</f>
        <v/>
      </c>
      <c r="P10" s="362">
        <f t="shared" ref="P10:P29" si="0">IF(K10="",I10-L10,0)</f>
        <v>0</v>
      </c>
      <c r="Q10" s="395"/>
      <c r="R10" s="161"/>
    </row>
    <row r="11" spans="1:19" s="8" customFormat="1">
      <c r="A11" s="323" t="s">
        <v>53</v>
      </c>
      <c r="B11" s="396" t="s">
        <v>113</v>
      </c>
      <c r="C11" s="324">
        <v>41149</v>
      </c>
      <c r="D11" s="324">
        <v>41044</v>
      </c>
      <c r="E11" s="324">
        <f>DATE(YEAR(C11)+2,MONTH(C11),DAY(C11))</f>
        <v>41879</v>
      </c>
      <c r="F11" s="324">
        <v>41983</v>
      </c>
      <c r="G11" s="326">
        <v>210000</v>
      </c>
      <c r="H11" s="325"/>
      <c r="I11" s="326"/>
      <c r="J11" s="327"/>
      <c r="K11" s="324"/>
      <c r="L11" s="328">
        <f>SUM(L12:L13)</f>
        <v>210000</v>
      </c>
      <c r="M11" s="329"/>
      <c r="N11" s="330"/>
      <c r="O11" s="331">
        <f>SUM(O12:O13)</f>
        <v>0</v>
      </c>
      <c r="P11" s="331">
        <f>SUM(P12:P13)</f>
        <v>0</v>
      </c>
      <c r="Q11" s="331"/>
      <c r="R11" s="210">
        <f>G11-(L11+O11+P11)</f>
        <v>0</v>
      </c>
    </row>
    <row r="12" spans="1:19" outlineLevel="1">
      <c r="A12" s="332"/>
      <c r="B12" s="333"/>
      <c r="C12" s="345"/>
      <c r="D12" s="345"/>
      <c r="E12" s="345"/>
      <c r="F12" s="345"/>
      <c r="G12" s="411"/>
      <c r="H12" s="346">
        <f>I12/$G$11</f>
        <v>0.5</v>
      </c>
      <c r="I12" s="347">
        <v>105000</v>
      </c>
      <c r="J12" s="348">
        <v>1</v>
      </c>
      <c r="K12" s="345">
        <v>41485</v>
      </c>
      <c r="L12" s="349">
        <v>105000</v>
      </c>
      <c r="M12" s="350">
        <v>41522</v>
      </c>
      <c r="N12" s="351">
        <f>$M$12-K12</f>
        <v>37</v>
      </c>
      <c r="O12" s="352" t="str">
        <f>IF(L12="en attente",I12,"")</f>
        <v/>
      </c>
      <c r="P12" s="352">
        <f t="shared" si="0"/>
        <v>0</v>
      </c>
      <c r="Q12" s="353"/>
      <c r="R12" s="211"/>
    </row>
    <row r="13" spans="1:19" outlineLevel="1">
      <c r="A13" s="332"/>
      <c r="B13" s="333"/>
      <c r="C13" s="345"/>
      <c r="D13" s="345"/>
      <c r="E13" s="345"/>
      <c r="F13" s="345"/>
      <c r="G13" s="411"/>
      <c r="H13" s="346">
        <f>I13/$G$11+H12</f>
        <v>1</v>
      </c>
      <c r="I13" s="347">
        <v>105000</v>
      </c>
      <c r="J13" s="348">
        <v>2</v>
      </c>
      <c r="K13" s="345">
        <v>42411</v>
      </c>
      <c r="L13" s="349">
        <v>105000</v>
      </c>
      <c r="M13" s="350">
        <v>42723</v>
      </c>
      <c r="N13" s="351"/>
      <c r="O13" s="352" t="str">
        <f>IF(L13="en attente",I13,"")</f>
        <v/>
      </c>
      <c r="P13" s="352">
        <f t="shared" si="0"/>
        <v>0</v>
      </c>
      <c r="Q13" s="353"/>
    </row>
    <row r="14" spans="1:19" s="8" customFormat="1">
      <c r="A14" s="323" t="s">
        <v>10</v>
      </c>
      <c r="B14" s="396" t="s">
        <v>115</v>
      </c>
      <c r="C14" s="324">
        <v>41334</v>
      </c>
      <c r="D14" s="324">
        <v>41025</v>
      </c>
      <c r="E14" s="324">
        <f>DATE(YEAR(C14)+2,MONTH(C14),DAY(C14))</f>
        <v>42064</v>
      </c>
      <c r="F14" s="324">
        <v>42275</v>
      </c>
      <c r="G14" s="326">
        <v>200000</v>
      </c>
      <c r="H14" s="325"/>
      <c r="I14" s="326"/>
      <c r="J14" s="327"/>
      <c r="K14" s="324"/>
      <c r="L14" s="328">
        <f>SUM(L15:L16)</f>
        <v>200000</v>
      </c>
      <c r="M14" s="329"/>
      <c r="N14" s="330"/>
      <c r="O14" s="331">
        <f>SUM(O15:O16)</f>
        <v>0</v>
      </c>
      <c r="P14" s="331">
        <f>SUM(P15:P16)</f>
        <v>0</v>
      </c>
      <c r="Q14" s="331"/>
      <c r="R14" s="210">
        <f>G14-(L14+O14+P14)</f>
        <v>0</v>
      </c>
    </row>
    <row r="15" spans="1:19" outlineLevel="1">
      <c r="A15" s="332"/>
      <c r="B15" s="333"/>
      <c r="C15" s="345"/>
      <c r="D15" s="345"/>
      <c r="E15" s="345"/>
      <c r="F15" s="345"/>
      <c r="G15" s="411"/>
      <c r="H15" s="346">
        <f>I15/$G$14</f>
        <v>0.5</v>
      </c>
      <c r="I15" s="347">
        <v>100000</v>
      </c>
      <c r="J15" s="348">
        <v>1</v>
      </c>
      <c r="K15" s="345">
        <v>41485</v>
      </c>
      <c r="L15" s="349">
        <v>100000</v>
      </c>
      <c r="M15" s="350">
        <v>41522</v>
      </c>
      <c r="N15" s="351">
        <f>$M$15-K15</f>
        <v>37</v>
      </c>
      <c r="O15" s="352" t="str">
        <f>IF(L15="en attente",I15,"")</f>
        <v/>
      </c>
      <c r="P15" s="352">
        <f t="shared" si="0"/>
        <v>0</v>
      </c>
      <c r="Q15" s="353"/>
      <c r="R15" s="210"/>
    </row>
    <row r="16" spans="1:19" outlineLevel="1">
      <c r="A16" s="354"/>
      <c r="B16" s="355"/>
      <c r="C16" s="356"/>
      <c r="D16" s="356"/>
      <c r="E16" s="356"/>
      <c r="F16" s="356"/>
      <c r="G16" s="411"/>
      <c r="H16" s="346">
        <f>I16/$G$14+H15</f>
        <v>1</v>
      </c>
      <c r="I16" s="357">
        <v>100000</v>
      </c>
      <c r="J16" s="358">
        <v>2</v>
      </c>
      <c r="K16" s="356">
        <v>42710</v>
      </c>
      <c r="L16" s="359">
        <v>100000</v>
      </c>
      <c r="M16" s="360">
        <v>42788</v>
      </c>
      <c r="N16" s="361"/>
      <c r="O16" s="362" t="str">
        <f>IF(L16="en attente",I16,"")</f>
        <v/>
      </c>
      <c r="P16" s="352">
        <f t="shared" si="0"/>
        <v>0</v>
      </c>
      <c r="Q16" s="363"/>
      <c r="R16" s="210"/>
    </row>
    <row r="17" spans="1:19" s="8" customFormat="1">
      <c r="A17" s="323" t="s">
        <v>69</v>
      </c>
      <c r="B17" s="324" t="s">
        <v>118</v>
      </c>
      <c r="C17" s="324">
        <v>40892</v>
      </c>
      <c r="D17" s="324">
        <v>40613</v>
      </c>
      <c r="E17" s="324">
        <v>42277</v>
      </c>
      <c r="F17" s="324">
        <v>41890</v>
      </c>
      <c r="G17" s="326">
        <v>1470807.68</v>
      </c>
      <c r="H17" s="325"/>
      <c r="I17" s="326"/>
      <c r="J17" s="327"/>
      <c r="K17" s="324"/>
      <c r="L17" s="328">
        <f>SUM(L18:L21)</f>
        <v>1290562.67</v>
      </c>
      <c r="M17" s="329"/>
      <c r="N17" s="330"/>
      <c r="O17" s="331">
        <f>SUM(O18:O21)</f>
        <v>18394.199999999953</v>
      </c>
      <c r="P17" s="331">
        <f>SUM(P18:P21)</f>
        <v>0</v>
      </c>
      <c r="Q17" s="331"/>
      <c r="R17" s="210">
        <f>G17-(L17+O17+P17)</f>
        <v>161850.81000000006</v>
      </c>
      <c r="S17" s="759" t="s">
        <v>381</v>
      </c>
    </row>
    <row r="18" spans="1:19" s="219" customFormat="1" ht="36" customHeight="1" outlineLevel="1">
      <c r="A18" s="332"/>
      <c r="B18" s="333"/>
      <c r="C18" s="334"/>
      <c r="D18" s="335" t="s">
        <v>116</v>
      </c>
      <c r="E18" s="334">
        <v>42338</v>
      </c>
      <c r="F18" s="334"/>
      <c r="G18" s="1001"/>
      <c r="H18" s="336">
        <f>I18/$G$17</f>
        <v>0.50000004079391269</v>
      </c>
      <c r="I18" s="337">
        <v>735403.9</v>
      </c>
      <c r="J18" s="338">
        <v>1</v>
      </c>
      <c r="K18" s="334">
        <v>40816</v>
      </c>
      <c r="L18" s="339">
        <v>735403.9</v>
      </c>
      <c r="M18" s="340">
        <v>40907</v>
      </c>
      <c r="N18" s="341">
        <f>$M$15-K18</f>
        <v>706</v>
      </c>
      <c r="O18" s="342" t="str">
        <f>IF(L18="en attente",I18,"")</f>
        <v/>
      </c>
      <c r="P18" s="343">
        <f t="shared" si="0"/>
        <v>0</v>
      </c>
      <c r="Q18" s="344"/>
      <c r="R18" s="218"/>
    </row>
    <row r="19" spans="1:19" outlineLevel="1">
      <c r="A19" s="332"/>
      <c r="B19" s="333"/>
      <c r="C19" s="345"/>
      <c r="D19" s="345"/>
      <c r="E19" s="345"/>
      <c r="F19" s="345"/>
      <c r="G19" s="411"/>
      <c r="H19" s="346">
        <f>I19/$G$17+H18</f>
        <v>0.55022700180624573</v>
      </c>
      <c r="I19" s="347">
        <v>73874.2</v>
      </c>
      <c r="J19" s="348">
        <v>2</v>
      </c>
      <c r="K19" s="345">
        <v>41977</v>
      </c>
      <c r="L19" s="349"/>
      <c r="M19" s="350"/>
      <c r="N19" s="351">
        <f ca="1">$P$2-K19</f>
        <v>1622</v>
      </c>
      <c r="O19" s="352" t="str">
        <f>IF(L19="en attente",I19,"")</f>
        <v/>
      </c>
      <c r="P19" s="352">
        <f t="shared" si="0"/>
        <v>0</v>
      </c>
      <c r="Q19" s="353" t="s">
        <v>204</v>
      </c>
      <c r="R19" s="211"/>
    </row>
    <row r="20" spans="1:19" outlineLevel="1">
      <c r="A20" s="332"/>
      <c r="B20" s="333"/>
      <c r="C20" s="345"/>
      <c r="D20" s="345"/>
      <c r="E20" s="345"/>
      <c r="F20" s="345"/>
      <c r="G20" s="411"/>
      <c r="H20" s="346">
        <f>I20/$G$17+H19</f>
        <v>0.8899578699507471</v>
      </c>
      <c r="I20" s="347">
        <v>499678.77</v>
      </c>
      <c r="J20" s="348">
        <v>3</v>
      </c>
      <c r="K20" s="345">
        <v>42334</v>
      </c>
      <c r="L20" s="349">
        <v>555158.77</v>
      </c>
      <c r="M20" s="350">
        <v>42355</v>
      </c>
      <c r="N20" s="351"/>
      <c r="O20" s="352">
        <f>(I20+I19)-L20</f>
        <v>18394.199999999953</v>
      </c>
      <c r="P20" s="352">
        <f t="shared" si="0"/>
        <v>0</v>
      </c>
      <c r="Q20" s="353" t="s">
        <v>205</v>
      </c>
      <c r="R20" s="211"/>
    </row>
    <row r="21" spans="1:19" outlineLevel="1">
      <c r="A21" s="332"/>
      <c r="B21" s="333"/>
      <c r="C21" s="345"/>
      <c r="D21" s="345"/>
      <c r="E21" s="345"/>
      <c r="F21" s="345"/>
      <c r="G21" s="970"/>
      <c r="H21" s="346"/>
      <c r="I21" s="347"/>
      <c r="J21" s="348"/>
      <c r="K21" s="345"/>
      <c r="L21" s="349"/>
      <c r="M21" s="350"/>
      <c r="N21" s="351"/>
      <c r="O21" s="352" t="str">
        <f>IF(L21="en attente",I21,"")</f>
        <v/>
      </c>
      <c r="P21" s="352">
        <f t="shared" si="0"/>
        <v>0</v>
      </c>
      <c r="Q21" s="353"/>
      <c r="R21" s="211"/>
    </row>
    <row r="22" spans="1:19" s="8" customFormat="1">
      <c r="A22" s="119" t="s">
        <v>348</v>
      </c>
      <c r="B22" s="769" t="s">
        <v>349</v>
      </c>
      <c r="C22" s="151">
        <v>43255</v>
      </c>
      <c r="D22" s="151">
        <v>44104</v>
      </c>
      <c r="E22" s="151">
        <v>44196</v>
      </c>
      <c r="F22" s="151"/>
      <c r="G22" s="258">
        <v>1227844</v>
      </c>
      <c r="H22" s="997"/>
      <c r="I22" s="123"/>
      <c r="J22" s="771"/>
      <c r="K22" s="151"/>
      <c r="L22" s="126">
        <f>SUM(L23:L25)</f>
        <v>613922</v>
      </c>
      <c r="M22" s="151"/>
      <c r="N22" s="772"/>
      <c r="O22" s="170">
        <f>SUM(O23:O25)</f>
        <v>0</v>
      </c>
      <c r="P22" s="170">
        <f>SUM(P23:P25)</f>
        <v>613922</v>
      </c>
      <c r="Q22" s="123"/>
      <c r="R22" s="683"/>
    </row>
    <row r="23" spans="1:19" outlineLevel="1">
      <c r="A23" s="46" t="s">
        <v>348</v>
      </c>
      <c r="B23" s="679"/>
      <c r="C23" s="30"/>
      <c r="D23" s="30"/>
      <c r="E23" s="30" t="s">
        <v>350</v>
      </c>
      <c r="F23" s="30" t="s">
        <v>364</v>
      </c>
      <c r="G23" s="1002"/>
      <c r="H23" s="998">
        <v>0.5</v>
      </c>
      <c r="I23" s="23">
        <f>G22*50%</f>
        <v>613922</v>
      </c>
      <c r="J23" s="678">
        <v>1</v>
      </c>
      <c r="K23" s="30">
        <v>43305</v>
      </c>
      <c r="L23" s="24">
        <v>613922</v>
      </c>
      <c r="M23" s="30">
        <v>43321</v>
      </c>
      <c r="N23" s="456"/>
      <c r="O23" s="365" t="str">
        <f>IF(L23="en attente",I23,"")</f>
        <v/>
      </c>
      <c r="P23" s="365">
        <f t="shared" si="0"/>
        <v>0</v>
      </c>
      <c r="Q23" s="23"/>
      <c r="R23" s="211"/>
    </row>
    <row r="24" spans="1:19" outlineLevel="1">
      <c r="A24" s="46" t="s">
        <v>348</v>
      </c>
      <c r="B24" s="679"/>
      <c r="C24" s="30"/>
      <c r="D24" s="30"/>
      <c r="E24" s="30"/>
      <c r="F24" s="30" t="s">
        <v>363</v>
      </c>
      <c r="G24" s="1002"/>
      <c r="H24" s="998">
        <v>0.25</v>
      </c>
      <c r="I24" s="23">
        <f>+G22*H24</f>
        <v>306961</v>
      </c>
      <c r="J24" s="678">
        <v>2</v>
      </c>
      <c r="K24" s="30"/>
      <c r="L24" s="24"/>
      <c r="M24" s="30"/>
      <c r="N24" s="456"/>
      <c r="O24" s="365" t="str">
        <f t="shared" ref="O24:O25" si="1">IF(L24="en attente",I24,"")</f>
        <v/>
      </c>
      <c r="P24" s="365">
        <f t="shared" si="0"/>
        <v>306961</v>
      </c>
      <c r="Q24" s="23"/>
      <c r="R24" s="211"/>
    </row>
    <row r="25" spans="1:19" outlineLevel="1">
      <c r="A25" s="118" t="s">
        <v>348</v>
      </c>
      <c r="B25" s="684"/>
      <c r="C25" s="155"/>
      <c r="D25" s="155"/>
      <c r="E25" s="155"/>
      <c r="F25" s="155" t="s">
        <v>365</v>
      </c>
      <c r="G25" s="1002"/>
      <c r="H25" s="999">
        <v>0.25</v>
      </c>
      <c r="I25" s="35">
        <f>+G22*H25</f>
        <v>306961</v>
      </c>
      <c r="J25" s="686">
        <v>3</v>
      </c>
      <c r="K25" s="155"/>
      <c r="L25" s="37"/>
      <c r="M25" s="155"/>
      <c r="N25" s="687"/>
      <c r="O25" s="365" t="str">
        <f t="shared" si="1"/>
        <v/>
      </c>
      <c r="P25" s="442">
        <f t="shared" si="0"/>
        <v>306961</v>
      </c>
      <c r="Q25" s="35"/>
      <c r="R25" s="211"/>
    </row>
    <row r="26" spans="1:19">
      <c r="A26" s="129" t="s">
        <v>368</v>
      </c>
      <c r="B26" s="773" t="s">
        <v>369</v>
      </c>
      <c r="C26" s="147">
        <v>43285</v>
      </c>
      <c r="D26" s="147">
        <v>44104</v>
      </c>
      <c r="E26" s="147">
        <v>44195</v>
      </c>
      <c r="F26" s="774"/>
      <c r="G26" s="258">
        <v>655125</v>
      </c>
      <c r="H26" s="1000"/>
      <c r="I26" s="141"/>
      <c r="J26" s="776"/>
      <c r="K26" s="774"/>
      <c r="L26" s="135">
        <f>SUM(L27:L29)</f>
        <v>327562.5</v>
      </c>
      <c r="M26" s="774"/>
      <c r="N26" s="777"/>
      <c r="O26" s="170">
        <f>SUM(O27:O29)</f>
        <v>0</v>
      </c>
      <c r="P26" s="150">
        <f>SUM(P27:P29)</f>
        <v>327562.5</v>
      </c>
      <c r="Q26" s="141"/>
      <c r="R26" s="211"/>
    </row>
    <row r="27" spans="1:19" outlineLevel="1">
      <c r="A27" s="46" t="s">
        <v>368</v>
      </c>
      <c r="B27" s="679"/>
      <c r="C27" s="30"/>
      <c r="D27" s="30"/>
      <c r="E27" s="30" t="s">
        <v>350</v>
      </c>
      <c r="F27" s="30" t="s">
        <v>364</v>
      </c>
      <c r="G27" s="1002"/>
      <c r="H27" s="998">
        <v>0.5</v>
      </c>
      <c r="I27" s="23">
        <f>+G26*H27</f>
        <v>327562.5</v>
      </c>
      <c r="J27" s="678">
        <v>1</v>
      </c>
      <c r="K27" s="30">
        <v>43381</v>
      </c>
      <c r="L27" s="24">
        <v>327562.5</v>
      </c>
      <c r="M27" s="30">
        <v>43433</v>
      </c>
      <c r="N27" s="456"/>
      <c r="O27" s="365" t="str">
        <f>IF(L27="en attente",I27,"")</f>
        <v/>
      </c>
      <c r="P27" s="365">
        <f t="shared" si="0"/>
        <v>0</v>
      </c>
      <c r="Q27" s="23"/>
      <c r="R27" s="211"/>
    </row>
    <row r="28" spans="1:19" outlineLevel="1">
      <c r="A28" s="46" t="s">
        <v>368</v>
      </c>
      <c r="B28" s="679"/>
      <c r="C28" s="30"/>
      <c r="D28" s="30"/>
      <c r="E28" s="30"/>
      <c r="F28" s="30" t="s">
        <v>363</v>
      </c>
      <c r="G28" s="1002"/>
      <c r="H28" s="998">
        <v>0.25</v>
      </c>
      <c r="I28" s="23">
        <f>+G26*H28</f>
        <v>163781.25</v>
      </c>
      <c r="J28" s="678">
        <v>2</v>
      </c>
      <c r="K28" s="30"/>
      <c r="L28" s="24"/>
      <c r="M28" s="30"/>
      <c r="N28" s="456"/>
      <c r="O28" s="365" t="str">
        <f t="shared" ref="O28:O29" si="2">IF(L28="en attente",I28,"")</f>
        <v/>
      </c>
      <c r="P28" s="365">
        <f t="shared" si="0"/>
        <v>163781.25</v>
      </c>
      <c r="Q28" s="23"/>
      <c r="R28" s="211"/>
    </row>
    <row r="29" spans="1:19" outlineLevel="1">
      <c r="A29" s="46" t="s">
        <v>368</v>
      </c>
      <c r="B29" s="679"/>
      <c r="C29" s="30"/>
      <c r="D29" s="30"/>
      <c r="E29" s="30"/>
      <c r="F29" s="155" t="s">
        <v>365</v>
      </c>
      <c r="G29" s="1003"/>
      <c r="H29" s="999">
        <v>0.25</v>
      </c>
      <c r="I29" s="23">
        <f>+G26*H29</f>
        <v>163781.25</v>
      </c>
      <c r="J29" s="678">
        <v>3</v>
      </c>
      <c r="K29" s="30"/>
      <c r="L29" s="24"/>
      <c r="M29" s="30"/>
      <c r="N29" s="456"/>
      <c r="O29" s="365" t="str">
        <f t="shared" si="2"/>
        <v/>
      </c>
      <c r="P29" s="365">
        <f t="shared" si="0"/>
        <v>163781.25</v>
      </c>
      <c r="Q29" s="35"/>
      <c r="R29" s="211"/>
    </row>
    <row r="30" spans="1:19" s="8" customFormat="1">
      <c r="A30" s="48"/>
      <c r="B30" s="48"/>
      <c r="C30" s="48"/>
      <c r="D30" s="48"/>
      <c r="E30" s="48"/>
      <c r="F30" s="48"/>
      <c r="G30" s="688">
        <f>G6+G9+G11+G14+G17+G22+G26</f>
        <v>3829151.42</v>
      </c>
      <c r="H30" s="688"/>
      <c r="I30" s="41">
        <f>SUMPRODUCT((DateAF_Region&lt;&gt;"")*MontantAF_Region)</f>
        <v>2725816.1100000003</v>
      </c>
      <c r="J30" s="689"/>
      <c r="K30" s="50"/>
      <c r="L30" s="690">
        <f>L6+L9+L11+L14+L17+L22+L26</f>
        <v>2700924.08</v>
      </c>
      <c r="M30" s="50"/>
      <c r="N30" s="691"/>
      <c r="O30" s="41">
        <f>O6+O9+O11+O14+O17+O22+O26</f>
        <v>18394.199999999953</v>
      </c>
      <c r="P30" s="692">
        <f>P6+P9+P11+P14+P17+P22+P26</f>
        <v>941484.5</v>
      </c>
      <c r="Q30" s="1"/>
      <c r="R30" s="166">
        <f>G30-(L30+O30+P30)</f>
        <v>168348.63999999966</v>
      </c>
    </row>
    <row r="31" spans="1:19">
      <c r="A31" s="75"/>
      <c r="B31" s="76"/>
      <c r="C31" s="76"/>
      <c r="D31" s="76"/>
      <c r="E31" s="76"/>
      <c r="F31" s="76"/>
      <c r="G31" s="76"/>
      <c r="H31" s="76"/>
      <c r="I31" s="76"/>
      <c r="J31" s="75"/>
      <c r="K31" s="76"/>
      <c r="L31" s="76"/>
      <c r="M31" s="76"/>
      <c r="N31" s="52"/>
      <c r="O31" s="1025">
        <f>SUM(O30:P30)</f>
        <v>959878.7</v>
      </c>
      <c r="P31" s="1026"/>
    </row>
    <row r="32" spans="1:19" ht="13.5" thickBot="1"/>
    <row r="33" spans="1:18" ht="13.5" thickBot="1">
      <c r="I33" s="743" t="s">
        <v>207</v>
      </c>
      <c r="J33" s="737"/>
      <c r="K33" s="737"/>
      <c r="L33" s="747" t="s">
        <v>209</v>
      </c>
    </row>
    <row r="34" spans="1:18">
      <c r="H34" s="762">
        <v>2011</v>
      </c>
      <c r="I34" s="764">
        <f>SUMPRODUCT((YEAR($H$49:$H$97)=H34)*($I$49:$I$97))</f>
        <v>735403.9</v>
      </c>
      <c r="J34" s="47"/>
      <c r="K34" s="47"/>
      <c r="L34" s="764">
        <f t="shared" ref="L34:L42" si="3">SUMPRODUCT((YEAR($K$49:$K$97)=H34)*($L$49:$L$97))</f>
        <v>735403.9</v>
      </c>
    </row>
    <row r="35" spans="1:18">
      <c r="H35" s="763">
        <v>2012</v>
      </c>
      <c r="I35" s="764">
        <f t="shared" ref="I35:I42" si="4">SUMPRODUCT((YEAR($H$49:$H$97)=H35)*($I$49:$I$97))</f>
        <v>0</v>
      </c>
      <c r="J35" s="47"/>
      <c r="K35" s="47"/>
      <c r="L35" s="764">
        <f t="shared" si="3"/>
        <v>0</v>
      </c>
    </row>
    <row r="36" spans="1:18">
      <c r="H36" s="763">
        <v>2013</v>
      </c>
      <c r="I36" s="764">
        <f t="shared" si="4"/>
        <v>205000</v>
      </c>
      <c r="J36" s="47"/>
      <c r="K36" s="47"/>
      <c r="L36" s="764">
        <f t="shared" si="3"/>
        <v>205000</v>
      </c>
    </row>
    <row r="37" spans="1:18">
      <c r="H37" s="763">
        <v>2014</v>
      </c>
      <c r="I37" s="764">
        <f t="shared" si="4"/>
        <v>94683.18</v>
      </c>
      <c r="J37" s="47"/>
      <c r="K37" s="47"/>
      <c r="L37" s="764">
        <f t="shared" si="3"/>
        <v>0</v>
      </c>
    </row>
    <row r="38" spans="1:18">
      <c r="H38" s="763">
        <v>2015</v>
      </c>
      <c r="I38" s="764">
        <f t="shared" si="4"/>
        <v>544244.53</v>
      </c>
      <c r="J38" s="47"/>
      <c r="K38" s="47"/>
      <c r="L38" s="764">
        <f t="shared" si="3"/>
        <v>614035.68000000005</v>
      </c>
    </row>
    <row r="39" spans="1:18">
      <c r="H39" s="763">
        <v>2016</v>
      </c>
      <c r="I39" s="764">
        <f t="shared" si="4"/>
        <v>205000</v>
      </c>
      <c r="J39" s="47"/>
      <c r="K39" s="47"/>
      <c r="L39" s="764">
        <f t="shared" si="3"/>
        <v>105000</v>
      </c>
    </row>
    <row r="40" spans="1:18">
      <c r="H40" s="763">
        <v>2017</v>
      </c>
      <c r="I40" s="764">
        <f t="shared" si="4"/>
        <v>0</v>
      </c>
      <c r="J40" s="47"/>
      <c r="K40" s="47"/>
      <c r="L40" s="764">
        <f t="shared" si="3"/>
        <v>100000</v>
      </c>
    </row>
    <row r="41" spans="1:18" ht="13.5" thickBot="1">
      <c r="H41" s="763">
        <v>2018</v>
      </c>
      <c r="I41" s="764">
        <f t="shared" si="4"/>
        <v>941484.5</v>
      </c>
      <c r="J41" s="47"/>
      <c r="K41" s="47"/>
      <c r="L41" s="764">
        <f t="shared" si="3"/>
        <v>941484.5</v>
      </c>
    </row>
    <row r="42" spans="1:18" ht="13.5" thickBot="1">
      <c r="H42" s="766">
        <v>2019</v>
      </c>
      <c r="I42" s="767">
        <f t="shared" si="4"/>
        <v>0</v>
      </c>
      <c r="J42" s="753"/>
      <c r="K42" s="753"/>
      <c r="L42" s="768">
        <f t="shared" si="3"/>
        <v>0</v>
      </c>
    </row>
    <row r="43" spans="1:18" ht="13.5" thickBot="1">
      <c r="I43" s="765">
        <f>SUM(I34:I42)</f>
        <v>2725816.1100000003</v>
      </c>
      <c r="J43" s="742"/>
      <c r="K43" s="742"/>
      <c r="L43" s="765">
        <f>SUM(L34:L42)</f>
        <v>2700924.08</v>
      </c>
    </row>
    <row r="44" spans="1:18">
      <c r="I44" s="166">
        <f>I43-I98</f>
        <v>0</v>
      </c>
      <c r="J44" s="1"/>
      <c r="L44" s="166">
        <f>L43-L98</f>
        <v>0</v>
      </c>
    </row>
    <row r="48" spans="1:18">
      <c r="A48" s="1"/>
      <c r="I48" s="369" t="s">
        <v>207</v>
      </c>
      <c r="L48" s="370" t="s">
        <v>209</v>
      </c>
      <c r="R48" s="1"/>
    </row>
    <row r="49" spans="1:18" ht="12" outlineLevel="1">
      <c r="A49" s="1"/>
      <c r="H49" s="378">
        <v>40787</v>
      </c>
      <c r="I49" s="91">
        <f t="shared" ref="I49:I80" si="5">SUMPRODUCT((DateAF_Region&lt;&gt;"")*(MONTH(DateAF_Region)=MONTH(H49))*(YEAR(DateAF_Region)=YEAR(H49))*MontantAF_Region)</f>
        <v>735403.9</v>
      </c>
      <c r="K49" s="378">
        <v>40787</v>
      </c>
      <c r="L49" s="91">
        <f t="shared" ref="L49:L73" si="6">SUMPRODUCT((DatePmt_Region&lt;&gt;"")*(DatePmt_Region&lt;&gt;"en attente")*(MONTH(DatePmt_Region)=MONTH(K49))*(YEAR(DatePmt_Region)=YEAR(K49))*(ISNUMBER(MtntPaye_Region)),MtntPaye_Region)</f>
        <v>0</v>
      </c>
      <c r="R49" s="1"/>
    </row>
    <row r="50" spans="1:18" ht="12" outlineLevel="1">
      <c r="A50" s="1"/>
      <c r="H50" s="378">
        <v>40878</v>
      </c>
      <c r="I50" s="91">
        <f t="shared" si="5"/>
        <v>0</v>
      </c>
      <c r="K50" s="378">
        <v>40878</v>
      </c>
      <c r="L50" s="91">
        <f t="shared" si="6"/>
        <v>735403.9</v>
      </c>
      <c r="R50" s="1"/>
    </row>
    <row r="51" spans="1:18" ht="12" outlineLevel="1">
      <c r="A51" s="1"/>
      <c r="H51" s="378">
        <v>41456</v>
      </c>
      <c r="I51" s="91">
        <f t="shared" si="5"/>
        <v>205000</v>
      </c>
      <c r="K51" s="378">
        <v>41456</v>
      </c>
      <c r="L51" s="91">
        <f t="shared" si="6"/>
        <v>0</v>
      </c>
      <c r="R51" s="1"/>
    </row>
    <row r="52" spans="1:18" ht="12" outlineLevel="1">
      <c r="A52" s="1"/>
      <c r="H52" s="378">
        <v>41518</v>
      </c>
      <c r="I52" s="91">
        <f t="shared" si="5"/>
        <v>0</v>
      </c>
      <c r="K52" s="378">
        <v>41518</v>
      </c>
      <c r="L52" s="91">
        <f t="shared" si="6"/>
        <v>205000</v>
      </c>
      <c r="R52" s="1"/>
    </row>
    <row r="53" spans="1:18" ht="12" outlineLevel="1">
      <c r="A53" s="1"/>
      <c r="H53" s="378">
        <v>41640</v>
      </c>
      <c r="I53" s="91">
        <f t="shared" si="5"/>
        <v>20808.98</v>
      </c>
      <c r="K53" s="378">
        <v>41640</v>
      </c>
      <c r="L53" s="91">
        <f t="shared" si="6"/>
        <v>0</v>
      </c>
      <c r="R53" s="1"/>
    </row>
    <row r="54" spans="1:18" ht="12" outlineLevel="1">
      <c r="A54" s="1"/>
      <c r="H54" s="378">
        <v>41974</v>
      </c>
      <c r="I54" s="91">
        <f t="shared" si="5"/>
        <v>73874.2</v>
      </c>
      <c r="K54" s="378">
        <v>41974</v>
      </c>
      <c r="L54" s="91">
        <f t="shared" si="6"/>
        <v>0</v>
      </c>
      <c r="R54" s="1"/>
    </row>
    <row r="55" spans="1:18" ht="12" outlineLevel="1">
      <c r="A55" s="1"/>
      <c r="H55" s="378">
        <v>42156</v>
      </c>
      <c r="I55" s="91">
        <f t="shared" si="5"/>
        <v>0</v>
      </c>
      <c r="K55" s="378">
        <v>42156</v>
      </c>
      <c r="L55" s="91">
        <f t="shared" si="6"/>
        <v>20808.98</v>
      </c>
      <c r="R55" s="1"/>
    </row>
    <row r="56" spans="1:18" ht="12" outlineLevel="1">
      <c r="A56" s="1"/>
      <c r="H56" s="378">
        <v>42217</v>
      </c>
      <c r="I56" s="91">
        <f t="shared" si="5"/>
        <v>44565.760000000002</v>
      </c>
      <c r="K56" s="378">
        <v>42217</v>
      </c>
      <c r="L56" s="91">
        <f t="shared" si="6"/>
        <v>0</v>
      </c>
      <c r="R56" s="1"/>
    </row>
    <row r="57" spans="1:18" ht="12" outlineLevel="1">
      <c r="A57" s="1"/>
      <c r="H57" s="378">
        <v>42278</v>
      </c>
      <c r="I57" s="91">
        <f t="shared" si="5"/>
        <v>0</v>
      </c>
      <c r="K57" s="378">
        <v>42278</v>
      </c>
      <c r="L57" s="91">
        <f t="shared" si="6"/>
        <v>38067.93</v>
      </c>
      <c r="R57" s="1"/>
    </row>
    <row r="58" spans="1:18" ht="12" outlineLevel="1">
      <c r="A58" s="1"/>
      <c r="H58" s="378">
        <v>42309</v>
      </c>
      <c r="I58" s="91">
        <f t="shared" si="5"/>
        <v>499678.77</v>
      </c>
      <c r="K58" s="378">
        <v>42309</v>
      </c>
      <c r="L58" s="91">
        <f t="shared" si="6"/>
        <v>0</v>
      </c>
      <c r="R58" s="1"/>
    </row>
    <row r="59" spans="1:18" ht="12" outlineLevel="1">
      <c r="A59" s="1"/>
      <c r="H59" s="378">
        <v>42339</v>
      </c>
      <c r="I59" s="91">
        <f t="shared" si="5"/>
        <v>0</v>
      </c>
      <c r="K59" s="378">
        <v>42339</v>
      </c>
      <c r="L59" s="91">
        <f t="shared" si="6"/>
        <v>555158.77</v>
      </c>
      <c r="R59" s="1"/>
    </row>
    <row r="60" spans="1:18" ht="12" outlineLevel="1">
      <c r="A60" s="1"/>
      <c r="H60" s="378">
        <v>42401</v>
      </c>
      <c r="I60" s="91">
        <f t="shared" si="5"/>
        <v>105000</v>
      </c>
      <c r="K60" s="378">
        <v>42401</v>
      </c>
      <c r="L60" s="91">
        <f t="shared" si="6"/>
        <v>0</v>
      </c>
      <c r="R60" s="1"/>
    </row>
    <row r="61" spans="1:18" ht="12" outlineLevel="1">
      <c r="A61" s="1"/>
      <c r="H61" s="378">
        <v>42705</v>
      </c>
      <c r="I61" s="91">
        <f t="shared" si="5"/>
        <v>100000</v>
      </c>
      <c r="K61" s="378">
        <v>42705</v>
      </c>
      <c r="L61" s="91">
        <f t="shared" si="6"/>
        <v>105000</v>
      </c>
      <c r="R61" s="1"/>
    </row>
    <row r="62" spans="1:18" ht="12" outlineLevel="1">
      <c r="A62" s="1"/>
      <c r="H62" s="378">
        <v>42736</v>
      </c>
      <c r="I62" s="91">
        <f t="shared" si="5"/>
        <v>0</v>
      </c>
      <c r="K62" s="378">
        <v>42736</v>
      </c>
      <c r="L62" s="91">
        <f t="shared" si="6"/>
        <v>0</v>
      </c>
      <c r="R62" s="1"/>
    </row>
    <row r="63" spans="1:18" ht="12" outlineLevel="1">
      <c r="A63" s="1"/>
      <c r="H63" s="378">
        <v>42767</v>
      </c>
      <c r="I63" s="91">
        <f t="shared" si="5"/>
        <v>0</v>
      </c>
      <c r="K63" s="378">
        <v>42767</v>
      </c>
      <c r="L63" s="91">
        <f t="shared" si="6"/>
        <v>100000</v>
      </c>
      <c r="R63" s="1"/>
    </row>
    <row r="64" spans="1:18" outlineLevel="1">
      <c r="H64" s="378">
        <v>42795</v>
      </c>
      <c r="I64" s="91">
        <f t="shared" si="5"/>
        <v>0</v>
      </c>
      <c r="K64" s="378">
        <v>42795</v>
      </c>
      <c r="L64" s="91">
        <f t="shared" si="6"/>
        <v>0</v>
      </c>
    </row>
    <row r="65" spans="8:12" outlineLevel="1">
      <c r="H65" s="378">
        <v>42826</v>
      </c>
      <c r="I65" s="91">
        <f t="shared" si="5"/>
        <v>0</v>
      </c>
      <c r="K65" s="378">
        <v>42826</v>
      </c>
      <c r="L65" s="91">
        <f t="shared" si="6"/>
        <v>0</v>
      </c>
    </row>
    <row r="66" spans="8:12" outlineLevel="1">
      <c r="H66" s="378">
        <v>42856</v>
      </c>
      <c r="I66" s="91">
        <f t="shared" si="5"/>
        <v>0</v>
      </c>
      <c r="K66" s="378">
        <v>42856</v>
      </c>
      <c r="L66" s="91">
        <f t="shared" si="6"/>
        <v>0</v>
      </c>
    </row>
    <row r="67" spans="8:12" outlineLevel="1">
      <c r="H67" s="378">
        <v>42887</v>
      </c>
      <c r="I67" s="91">
        <f t="shared" si="5"/>
        <v>0</v>
      </c>
      <c r="K67" s="378">
        <v>42887</v>
      </c>
      <c r="L67" s="91">
        <f t="shared" si="6"/>
        <v>0</v>
      </c>
    </row>
    <row r="68" spans="8:12" outlineLevel="1">
      <c r="H68" s="378">
        <v>42917</v>
      </c>
      <c r="I68" s="91">
        <f t="shared" si="5"/>
        <v>0</v>
      </c>
      <c r="K68" s="378">
        <v>42917</v>
      </c>
      <c r="L68" s="91">
        <f t="shared" si="6"/>
        <v>0</v>
      </c>
    </row>
    <row r="69" spans="8:12" outlineLevel="1">
      <c r="H69" s="378">
        <v>42948</v>
      </c>
      <c r="I69" s="91">
        <f t="shared" si="5"/>
        <v>0</v>
      </c>
      <c r="K69" s="378">
        <v>42948</v>
      </c>
      <c r="L69" s="91">
        <f t="shared" si="6"/>
        <v>0</v>
      </c>
    </row>
    <row r="70" spans="8:12" outlineLevel="1">
      <c r="H70" s="378">
        <v>42979</v>
      </c>
      <c r="I70" s="91">
        <f t="shared" si="5"/>
        <v>0</v>
      </c>
      <c r="K70" s="378">
        <v>42979</v>
      </c>
      <c r="L70" s="91">
        <f t="shared" si="6"/>
        <v>0</v>
      </c>
    </row>
    <row r="71" spans="8:12" outlineLevel="1">
      <c r="H71" s="378">
        <v>43009</v>
      </c>
      <c r="I71" s="91">
        <f t="shared" si="5"/>
        <v>0</v>
      </c>
      <c r="K71" s="378">
        <v>43009</v>
      </c>
      <c r="L71" s="91">
        <f t="shared" si="6"/>
        <v>0</v>
      </c>
    </row>
    <row r="72" spans="8:12" outlineLevel="1">
      <c r="H72" s="378">
        <v>43040</v>
      </c>
      <c r="I72" s="91">
        <f t="shared" si="5"/>
        <v>0</v>
      </c>
      <c r="K72" s="378">
        <v>43040</v>
      </c>
      <c r="L72" s="91">
        <f t="shared" si="6"/>
        <v>0</v>
      </c>
    </row>
    <row r="73" spans="8:12" outlineLevel="1">
      <c r="H73" s="378">
        <v>43070</v>
      </c>
      <c r="I73" s="91">
        <f t="shared" si="5"/>
        <v>0</v>
      </c>
      <c r="K73" s="378">
        <v>43070</v>
      </c>
      <c r="L73" s="91">
        <f t="shared" si="6"/>
        <v>0</v>
      </c>
    </row>
    <row r="74" spans="8:12" outlineLevel="1">
      <c r="H74" s="378">
        <v>43101</v>
      </c>
      <c r="I74" s="91">
        <f t="shared" si="5"/>
        <v>0</v>
      </c>
      <c r="K74" s="378">
        <v>43101</v>
      </c>
      <c r="L74" s="91">
        <f t="shared" ref="L74:L97" si="7">SUMPRODUCT((DatePmt_Region&lt;&gt;"")*(DatePmt_Region&lt;&gt;"en attente")*(MONTH(DatePmt_Region)=MONTH(K74))*(YEAR(DatePmt_Region)=YEAR(K74))*(ISNUMBER(MtntPaye_Region)),MtntPaye_Region)</f>
        <v>0</v>
      </c>
    </row>
    <row r="75" spans="8:12" outlineLevel="1">
      <c r="H75" s="378">
        <v>43132</v>
      </c>
      <c r="I75" s="91">
        <f t="shared" si="5"/>
        <v>0</v>
      </c>
      <c r="K75" s="378">
        <v>43132</v>
      </c>
      <c r="L75" s="91">
        <f t="shared" si="7"/>
        <v>0</v>
      </c>
    </row>
    <row r="76" spans="8:12" outlineLevel="1">
      <c r="H76" s="378">
        <v>43160</v>
      </c>
      <c r="I76" s="91">
        <f t="shared" si="5"/>
        <v>0</v>
      </c>
      <c r="K76" s="378">
        <v>43160</v>
      </c>
      <c r="L76" s="91">
        <f t="shared" si="7"/>
        <v>0</v>
      </c>
    </row>
    <row r="77" spans="8:12" outlineLevel="1">
      <c r="H77" s="378">
        <v>43191</v>
      </c>
      <c r="I77" s="91">
        <f t="shared" si="5"/>
        <v>0</v>
      </c>
      <c r="K77" s="378">
        <v>43191</v>
      </c>
      <c r="L77" s="91">
        <f t="shared" si="7"/>
        <v>0</v>
      </c>
    </row>
    <row r="78" spans="8:12" outlineLevel="1">
      <c r="H78" s="378">
        <v>43221</v>
      </c>
      <c r="I78" s="91">
        <f t="shared" si="5"/>
        <v>0</v>
      </c>
      <c r="K78" s="378">
        <v>43221</v>
      </c>
      <c r="L78" s="91">
        <f t="shared" si="7"/>
        <v>0</v>
      </c>
    </row>
    <row r="79" spans="8:12" outlineLevel="1">
      <c r="H79" s="378">
        <v>43252</v>
      </c>
      <c r="I79" s="91">
        <f t="shared" si="5"/>
        <v>0</v>
      </c>
      <c r="K79" s="378">
        <v>43252</v>
      </c>
      <c r="L79" s="91">
        <f t="shared" si="7"/>
        <v>0</v>
      </c>
    </row>
    <row r="80" spans="8:12" outlineLevel="1">
      <c r="H80" s="378">
        <v>43282</v>
      </c>
      <c r="I80" s="91">
        <f t="shared" si="5"/>
        <v>613922</v>
      </c>
      <c r="K80" s="378">
        <v>43282</v>
      </c>
      <c r="L80" s="91">
        <f t="shared" si="7"/>
        <v>0</v>
      </c>
    </row>
    <row r="81" spans="8:12" outlineLevel="1">
      <c r="H81" s="378">
        <v>43313</v>
      </c>
      <c r="I81" s="91">
        <f t="shared" ref="I81:I112" si="8">SUMPRODUCT((DateAF_Region&lt;&gt;"")*(MONTH(DateAF_Region)=MONTH(H81))*(YEAR(DateAF_Region)=YEAR(H81))*MontantAF_Region)</f>
        <v>0</v>
      </c>
      <c r="K81" s="378">
        <v>43313</v>
      </c>
      <c r="L81" s="91">
        <f t="shared" si="7"/>
        <v>613922</v>
      </c>
    </row>
    <row r="82" spans="8:12" outlineLevel="1">
      <c r="H82" s="378">
        <v>43344</v>
      </c>
      <c r="I82" s="91">
        <f t="shared" si="8"/>
        <v>0</v>
      </c>
      <c r="K82" s="378">
        <v>43344</v>
      </c>
      <c r="L82" s="91">
        <f t="shared" si="7"/>
        <v>0</v>
      </c>
    </row>
    <row r="83" spans="8:12" outlineLevel="1">
      <c r="H83" s="378">
        <v>43374</v>
      </c>
      <c r="I83" s="91">
        <f t="shared" si="8"/>
        <v>327562.5</v>
      </c>
      <c r="K83" s="378">
        <v>43374</v>
      </c>
      <c r="L83" s="91">
        <f t="shared" si="7"/>
        <v>0</v>
      </c>
    </row>
    <row r="84" spans="8:12" outlineLevel="1">
      <c r="H84" s="378">
        <v>43405</v>
      </c>
      <c r="I84" s="91">
        <f t="shared" si="8"/>
        <v>0</v>
      </c>
      <c r="K84" s="378">
        <v>43405</v>
      </c>
      <c r="L84" s="91">
        <f t="shared" si="7"/>
        <v>327562.5</v>
      </c>
    </row>
    <row r="85" spans="8:12" outlineLevel="1">
      <c r="H85" s="378">
        <v>43435</v>
      </c>
      <c r="I85" s="91">
        <f t="shared" si="8"/>
        <v>0</v>
      </c>
      <c r="K85" s="378">
        <v>43435</v>
      </c>
      <c r="L85" s="91">
        <f t="shared" si="7"/>
        <v>0</v>
      </c>
    </row>
    <row r="86" spans="8:12">
      <c r="H86" s="378">
        <v>43466</v>
      </c>
      <c r="I86" s="91">
        <f t="shared" si="8"/>
        <v>0</v>
      </c>
      <c r="K86" s="378">
        <v>43466</v>
      </c>
      <c r="L86" s="91">
        <f t="shared" si="7"/>
        <v>0</v>
      </c>
    </row>
    <row r="87" spans="8:12">
      <c r="H87" s="378">
        <v>43497</v>
      </c>
      <c r="I87" s="91">
        <f t="shared" si="8"/>
        <v>0</v>
      </c>
      <c r="K87" s="378">
        <v>43497</v>
      </c>
      <c r="L87" s="91">
        <f t="shared" si="7"/>
        <v>0</v>
      </c>
    </row>
    <row r="88" spans="8:12">
      <c r="H88" s="378">
        <v>43525</v>
      </c>
      <c r="I88" s="91">
        <f t="shared" si="8"/>
        <v>0</v>
      </c>
      <c r="K88" s="378">
        <v>43525</v>
      </c>
      <c r="L88" s="91">
        <f t="shared" si="7"/>
        <v>0</v>
      </c>
    </row>
    <row r="89" spans="8:12">
      <c r="H89" s="378">
        <v>43556</v>
      </c>
      <c r="I89" s="91">
        <f t="shared" si="8"/>
        <v>0</v>
      </c>
      <c r="K89" s="378">
        <v>43556</v>
      </c>
      <c r="L89" s="91">
        <f t="shared" si="7"/>
        <v>0</v>
      </c>
    </row>
    <row r="90" spans="8:12">
      <c r="H90" s="378">
        <v>43586</v>
      </c>
      <c r="I90" s="91">
        <f t="shared" si="8"/>
        <v>0</v>
      </c>
      <c r="K90" s="378">
        <v>43586</v>
      </c>
      <c r="L90" s="91">
        <f t="shared" si="7"/>
        <v>0</v>
      </c>
    </row>
    <row r="91" spans="8:12">
      <c r="H91" s="378">
        <v>43617</v>
      </c>
      <c r="I91" s="91">
        <f t="shared" si="8"/>
        <v>0</v>
      </c>
      <c r="K91" s="378">
        <v>43617</v>
      </c>
      <c r="L91" s="91">
        <f t="shared" si="7"/>
        <v>0</v>
      </c>
    </row>
    <row r="92" spans="8:12">
      <c r="H92" s="378">
        <v>43647</v>
      </c>
      <c r="I92" s="91">
        <f t="shared" si="8"/>
        <v>0</v>
      </c>
      <c r="K92" s="378">
        <v>43647</v>
      </c>
      <c r="L92" s="91">
        <f t="shared" si="7"/>
        <v>0</v>
      </c>
    </row>
    <row r="93" spans="8:12">
      <c r="H93" s="378">
        <v>43678</v>
      </c>
      <c r="I93" s="91">
        <f t="shared" si="8"/>
        <v>0</v>
      </c>
      <c r="K93" s="378">
        <v>43678</v>
      </c>
      <c r="L93" s="91">
        <f t="shared" si="7"/>
        <v>0</v>
      </c>
    </row>
    <row r="94" spans="8:12">
      <c r="H94" s="378">
        <v>43709</v>
      </c>
      <c r="I94" s="91">
        <f t="shared" si="8"/>
        <v>0</v>
      </c>
      <c r="K94" s="378">
        <v>43709</v>
      </c>
      <c r="L94" s="91">
        <f t="shared" si="7"/>
        <v>0</v>
      </c>
    </row>
    <row r="95" spans="8:12">
      <c r="H95" s="378">
        <v>43739</v>
      </c>
      <c r="I95" s="91">
        <f t="shared" si="8"/>
        <v>0</v>
      </c>
      <c r="K95" s="378">
        <v>43739</v>
      </c>
      <c r="L95" s="91">
        <f t="shared" si="7"/>
        <v>0</v>
      </c>
    </row>
    <row r="96" spans="8:12">
      <c r="H96" s="378">
        <v>43770</v>
      </c>
      <c r="I96" s="91">
        <f t="shared" si="8"/>
        <v>0</v>
      </c>
      <c r="K96" s="378">
        <v>43770</v>
      </c>
      <c r="L96" s="91">
        <f t="shared" si="7"/>
        <v>0</v>
      </c>
    </row>
    <row r="97" spans="1:18">
      <c r="H97" s="378">
        <v>43800</v>
      </c>
      <c r="I97" s="91">
        <f t="shared" si="8"/>
        <v>0</v>
      </c>
      <c r="K97" s="378">
        <v>43800</v>
      </c>
      <c r="L97" s="91">
        <f t="shared" si="7"/>
        <v>0</v>
      </c>
    </row>
    <row r="98" spans="1:18" s="8" customFormat="1">
      <c r="A98" s="458"/>
      <c r="I98" s="460">
        <f>SUM(I49:I97)</f>
        <v>2725816.11</v>
      </c>
      <c r="J98" s="458"/>
      <c r="L98" s="460">
        <f>SUM(L49:L97)</f>
        <v>2700924.08</v>
      </c>
      <c r="N98" s="1"/>
      <c r="O98" s="1"/>
      <c r="P98" s="1"/>
      <c r="R98" s="464"/>
    </row>
    <row r="99" spans="1:18" s="161" customFormat="1">
      <c r="A99" s="465"/>
      <c r="I99" s="166">
        <f>I98-I30</f>
        <v>0</v>
      </c>
      <c r="J99" s="465"/>
      <c r="L99" s="166">
        <f>L98-L30</f>
        <v>0</v>
      </c>
      <c r="N99" s="1"/>
      <c r="O99" s="1"/>
      <c r="P99" s="1"/>
    </row>
    <row r="100" spans="1:18">
      <c r="N100" s="8"/>
      <c r="O100" s="8"/>
      <c r="P100" s="8"/>
    </row>
    <row r="101" spans="1:18">
      <c r="N101" s="161"/>
      <c r="O101" s="161"/>
      <c r="P101" s="161"/>
    </row>
  </sheetData>
  <autoFilter ref="A4:R5">
    <filterColumn colId="8" showButton="0"/>
    <filterColumn colId="9" showButton="0"/>
    <filterColumn colId="10" showButton="0"/>
    <filterColumn colId="11" showButton="0"/>
    <filterColumn colId="12" showButton="0"/>
    <filterColumn colId="14" showButton="0"/>
  </autoFilter>
  <mergeCells count="8">
    <mergeCell ref="O31:P31"/>
    <mergeCell ref="A2:O2"/>
    <mergeCell ref="A4:A5"/>
    <mergeCell ref="B4:B5"/>
    <mergeCell ref="C4:C5"/>
    <mergeCell ref="G4:G5"/>
    <mergeCell ref="I4:N4"/>
    <mergeCell ref="O4:P4"/>
  </mergeCells>
  <pageMargins left="0.7" right="0.7" top="0.75" bottom="0.75" header="0.3" footer="0.3"/>
  <pageSetup paperSize="9" scale="76"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>
    <tabColor theme="1"/>
  </sheetPr>
  <dimension ref="A1:M50"/>
  <sheetViews>
    <sheetView topLeftCell="A5" workbookViewId="0">
      <selection activeCell="H24" sqref="H24:H48"/>
    </sheetView>
  </sheetViews>
  <sheetFormatPr defaultColWidth="11.42578125" defaultRowHeight="12.75"/>
  <cols>
    <col min="9" max="9" width="13.7109375" customWidth="1"/>
  </cols>
  <sheetData>
    <row r="1" spans="1:13" ht="13.5">
      <c r="A1" s="1027" t="s">
        <v>149</v>
      </c>
      <c r="B1" s="1027"/>
      <c r="C1" s="1027"/>
      <c r="D1" s="1027"/>
      <c r="E1" s="1027"/>
      <c r="F1" s="1027"/>
      <c r="G1" s="1027"/>
      <c r="H1" s="1027"/>
      <c r="I1" s="1027"/>
      <c r="J1" s="1027"/>
      <c r="K1" s="1027"/>
      <c r="L1" s="9">
        <f ca="1">TODAY()</f>
        <v>43599</v>
      </c>
    </row>
    <row r="2" spans="1:13">
      <c r="A2" s="6"/>
      <c r="B2" s="1"/>
      <c r="C2" s="1"/>
      <c r="D2" s="1"/>
      <c r="E2" s="1"/>
      <c r="F2" s="6"/>
      <c r="G2" s="1"/>
      <c r="H2" s="1"/>
      <c r="I2" s="1"/>
      <c r="J2" s="1"/>
      <c r="K2" s="1"/>
      <c r="L2" s="1"/>
    </row>
    <row r="3" spans="1:13">
      <c r="A3" s="1044" t="s">
        <v>2</v>
      </c>
      <c r="B3" s="1044" t="s">
        <v>0</v>
      </c>
      <c r="C3" s="1032" t="s">
        <v>21</v>
      </c>
      <c r="D3" s="1032" t="s">
        <v>12</v>
      </c>
      <c r="E3" s="1028" t="s">
        <v>4</v>
      </c>
      <c r="F3" s="1029"/>
      <c r="G3" s="1029"/>
      <c r="H3" s="1029"/>
      <c r="I3" s="1029"/>
      <c r="J3" s="1030"/>
      <c r="K3" s="1031" t="s">
        <v>13</v>
      </c>
      <c r="L3" s="1032"/>
    </row>
    <row r="4" spans="1:13">
      <c r="A4" s="1045"/>
      <c r="B4" s="1045"/>
      <c r="C4" s="1046"/>
      <c r="D4" s="1046"/>
      <c r="E4" s="10" t="s">
        <v>1</v>
      </c>
      <c r="F4" s="11" t="s">
        <v>3</v>
      </c>
      <c r="G4" s="11" t="s">
        <v>15</v>
      </c>
      <c r="H4" s="12" t="s">
        <v>14</v>
      </c>
      <c r="I4" s="10" t="s">
        <v>15</v>
      </c>
      <c r="J4" s="11" t="s">
        <v>18</v>
      </c>
      <c r="K4" s="3" t="s">
        <v>20</v>
      </c>
      <c r="L4" s="3" t="s">
        <v>19</v>
      </c>
    </row>
    <row r="5" spans="1:13" ht="13.5">
      <c r="A5" s="272" t="s">
        <v>63</v>
      </c>
      <c r="B5" s="658"/>
      <c r="C5" s="659"/>
      <c r="D5" s="660">
        <v>1085000</v>
      </c>
      <c r="E5" s="275"/>
      <c r="F5" s="661"/>
      <c r="G5" s="662"/>
      <c r="H5" s="277"/>
      <c r="I5" s="655"/>
      <c r="J5" s="662"/>
      <c r="K5" s="274"/>
      <c r="L5" s="274"/>
    </row>
    <row r="6" spans="1:13">
      <c r="A6" s="279"/>
      <c r="B6" s="298"/>
      <c r="C6" s="284"/>
      <c r="D6" s="291"/>
      <c r="E6" s="282">
        <v>1085000</v>
      </c>
      <c r="F6" s="283">
        <v>1</v>
      </c>
      <c r="G6" s="286">
        <v>42074</v>
      </c>
      <c r="H6" s="282">
        <v>1085000</v>
      </c>
      <c r="I6" s="286">
        <v>42339</v>
      </c>
      <c r="J6" s="298">
        <f>I6-G6</f>
        <v>265</v>
      </c>
      <c r="K6" s="288">
        <f>+IF(G6="",0,E6-H6)</f>
        <v>0</v>
      </c>
      <c r="L6" s="288">
        <f>IF(G6="",E6-H6,0)</f>
        <v>0</v>
      </c>
    </row>
    <row r="7" spans="1:13">
      <c r="A7" s="663"/>
      <c r="B7" s="664"/>
      <c r="C7" s="665"/>
      <c r="D7" s="666"/>
      <c r="E7" s="667"/>
      <c r="F7" s="668"/>
      <c r="G7" s="665"/>
      <c r="H7" s="669"/>
      <c r="I7" s="670"/>
      <c r="J7" s="664"/>
      <c r="K7" s="671">
        <f>+IF(G7="",0,E7-H7)</f>
        <v>0</v>
      </c>
      <c r="L7" s="671">
        <f>IF(G7="",E7-H7,0)</f>
        <v>0</v>
      </c>
    </row>
    <row r="8" spans="1:13" s="657" customFormat="1">
      <c r="A8" s="261" t="s">
        <v>63</v>
      </c>
      <c r="B8" s="57"/>
      <c r="C8" s="262"/>
      <c r="D8" s="56"/>
      <c r="E8" s="263">
        <v>542500</v>
      </c>
      <c r="F8" s="264">
        <v>1</v>
      </c>
      <c r="G8" s="262">
        <v>43157</v>
      </c>
      <c r="H8" s="672" t="s">
        <v>93</v>
      </c>
      <c r="I8" s="266"/>
      <c r="J8" s="57"/>
      <c r="K8" s="267">
        <f>+E8</f>
        <v>542500</v>
      </c>
      <c r="L8" s="267"/>
      <c r="M8" s="673" t="s">
        <v>344</v>
      </c>
    </row>
    <row r="9" spans="1:13" s="657" customFormat="1">
      <c r="A9" s="118" t="s">
        <v>342</v>
      </c>
      <c r="B9" s="39"/>
      <c r="C9" s="36"/>
      <c r="D9" s="40"/>
      <c r="E9" s="35"/>
      <c r="F9" s="44"/>
      <c r="G9" s="36"/>
      <c r="H9" s="37"/>
      <c r="I9" s="155"/>
      <c r="J9" s="39"/>
      <c r="K9" s="157"/>
      <c r="L9" s="157"/>
    </row>
    <row r="10" spans="1:13" s="657" customFormat="1">
      <c r="A10" s="261" t="s">
        <v>63</v>
      </c>
      <c r="B10" s="4"/>
      <c r="C10" s="15"/>
      <c r="D10" s="16"/>
      <c r="E10" s="23">
        <v>542500</v>
      </c>
      <c r="F10" s="42">
        <v>1</v>
      </c>
      <c r="G10" s="15">
        <v>43284</v>
      </c>
      <c r="H10" s="24">
        <v>542500</v>
      </c>
      <c r="I10" s="30">
        <v>43315</v>
      </c>
      <c r="J10" s="4"/>
      <c r="K10" s="81">
        <f>+E10</f>
        <v>542500</v>
      </c>
      <c r="L10" s="81"/>
      <c r="M10" s="673" t="s">
        <v>341</v>
      </c>
    </row>
    <row r="11" spans="1:13" s="657" customFormat="1">
      <c r="A11" s="118" t="s">
        <v>343</v>
      </c>
      <c r="B11" s="4"/>
      <c r="C11" s="15"/>
      <c r="D11" s="16"/>
      <c r="E11" s="23"/>
      <c r="F11" s="42"/>
      <c r="G11" s="15"/>
      <c r="H11" s="24"/>
      <c r="I11" s="30"/>
      <c r="J11" s="4"/>
      <c r="K11" s="81"/>
      <c r="L11" s="81"/>
    </row>
    <row r="12" spans="1:13" ht="13.5">
      <c r="A12" s="48"/>
      <c r="B12" s="48"/>
      <c r="C12" s="48"/>
      <c r="D12" s="41">
        <f>SUM(D5:D7)</f>
        <v>1085000</v>
      </c>
      <c r="E12" s="41">
        <f>+E6+E8+E10</f>
        <v>2170000</v>
      </c>
      <c r="F12" s="49"/>
      <c r="G12" s="50"/>
      <c r="H12" s="41">
        <f>SUM(H5:H11)</f>
        <v>1627500</v>
      </c>
      <c r="I12" s="50"/>
      <c r="J12" s="50"/>
      <c r="K12" s="41">
        <f>SUM(K8:K11)</f>
        <v>1085000</v>
      </c>
      <c r="L12" s="41">
        <f>SUM(L5:L7)</f>
        <v>0</v>
      </c>
    </row>
    <row r="13" spans="1:13" ht="14.25" thickBot="1">
      <c r="A13" s="75"/>
      <c r="B13" s="76"/>
      <c r="C13" s="76"/>
      <c r="D13" s="76"/>
      <c r="E13" s="76"/>
      <c r="F13" s="75"/>
      <c r="G13" s="76"/>
      <c r="H13" s="76"/>
      <c r="I13" s="76"/>
      <c r="J13" s="52"/>
      <c r="K13" s="1025">
        <f>SUM(K12:L12)</f>
        <v>1085000</v>
      </c>
      <c r="L13" s="1026"/>
    </row>
    <row r="14" spans="1:13" ht="13.5">
      <c r="A14" s="6"/>
      <c r="B14" s="1"/>
      <c r="C14" s="1"/>
      <c r="D14" s="1"/>
      <c r="E14" s="743" t="s">
        <v>207</v>
      </c>
      <c r="F14" s="737"/>
      <c r="G14" s="737"/>
      <c r="H14" s="747" t="s">
        <v>209</v>
      </c>
      <c r="I14" s="1"/>
      <c r="J14" s="1"/>
      <c r="K14" s="1"/>
      <c r="L14" s="1"/>
    </row>
    <row r="15" spans="1:13">
      <c r="D15" s="763">
        <v>2015</v>
      </c>
      <c r="E15" s="764">
        <f>SUMPRODUCT((YEAR($D$24:$D$48)=D15)*($E$24:$E$48))</f>
        <v>1085000</v>
      </c>
      <c r="F15" s="47"/>
      <c r="G15" s="47"/>
      <c r="H15" s="764">
        <f>SUMPRODUCT((YEAR($G$24:$G$48)=D15)*($H$24:$H$48))</f>
        <v>0</v>
      </c>
    </row>
    <row r="16" spans="1:13" ht="13.5" thickBot="1">
      <c r="D16" s="763">
        <v>2018</v>
      </c>
      <c r="E16" s="764">
        <f>SUMPRODUCT((YEAR($D$24:$D$48)=D16)*($E$24:$E$48))</f>
        <v>1085000</v>
      </c>
      <c r="F16" s="47"/>
      <c r="G16" s="47"/>
      <c r="H16" s="764">
        <f>SUMPRODUCT((YEAR($G$24:$G$48)=D16)*($H$24:$H$48))</f>
        <v>542500</v>
      </c>
    </row>
    <row r="17" spans="4:8" ht="13.5" thickBot="1">
      <c r="D17" s="766">
        <v>2019</v>
      </c>
      <c r="E17" s="767">
        <f>SUMPRODUCT((YEAR($D$24:$D$48)=D17)*($E$24:$E$48))</f>
        <v>0</v>
      </c>
      <c r="F17" s="753"/>
      <c r="G17" s="753"/>
      <c r="H17" s="768">
        <f>SUMPRODUCT((YEAR($G$24:$G$48)=D17)*($H$24:$H$48))</f>
        <v>0</v>
      </c>
    </row>
    <row r="18" spans="4:8" ht="14.25" thickBot="1">
      <c r="D18" s="1"/>
      <c r="E18" s="765">
        <f>SUM(E15:E17)</f>
        <v>2170000</v>
      </c>
      <c r="F18" s="742"/>
      <c r="G18" s="742"/>
      <c r="H18" s="765">
        <f>SUM(H15:H17)</f>
        <v>542500</v>
      </c>
    </row>
    <row r="19" spans="4:8" ht="13.5">
      <c r="D19" s="1"/>
      <c r="E19" s="166">
        <f>E18-E49</f>
        <v>0</v>
      </c>
      <c r="F19" s="1"/>
      <c r="G19" s="1"/>
      <c r="H19" s="166">
        <f>H18-H49</f>
        <v>0</v>
      </c>
    </row>
    <row r="20" spans="4:8">
      <c r="D20" s="1"/>
      <c r="E20" s="1"/>
      <c r="F20" s="6"/>
      <c r="G20" s="1"/>
      <c r="H20" s="1"/>
    </row>
    <row r="21" spans="4:8">
      <c r="D21" s="1"/>
      <c r="E21" s="1"/>
      <c r="F21" s="6"/>
      <c r="G21" s="1"/>
      <c r="H21" s="1"/>
    </row>
    <row r="22" spans="4:8">
      <c r="D22" s="1"/>
      <c r="E22" s="1"/>
      <c r="F22" s="6"/>
      <c r="G22" s="1"/>
      <c r="H22" s="1"/>
    </row>
    <row r="23" spans="4:8" ht="13.5">
      <c r="D23" s="1"/>
      <c r="E23" s="369" t="s">
        <v>207</v>
      </c>
      <c r="F23" s="6"/>
      <c r="G23" s="1"/>
      <c r="H23" s="370" t="s">
        <v>209</v>
      </c>
    </row>
    <row r="24" spans="4:8">
      <c r="D24" s="378">
        <v>42064</v>
      </c>
      <c r="E24" s="91">
        <f t="shared" ref="E24:E48" si="0">SUMPRODUCT((Date_AF_ETG_SALE&lt;&gt;"")*(MONTH(Date_AF_ETG_SALE)=MONTH(D24))*(YEAR(Date_AF_ETG_SALE)=YEAR(D24))*MontantAF_ETG_SALE)</f>
        <v>1085000</v>
      </c>
      <c r="F24" s="6"/>
      <c r="G24" s="378">
        <v>42156</v>
      </c>
      <c r="H24" s="91">
        <f t="shared" ref="H24:H48" si="1">SUMPRODUCT((DatePmt_ETG_SALE&lt;&gt;"")*(DatePmt_ETG_SALE&lt;&gt;"en attente")*(MONTH(DatePmt_ETG_SALE)=MONTH(G24))*(YEAR(DatePmt_ETG_SALE)=YEAR(G24))*(ISNUMBER(MtntPaye_ETG_SALE)),MtntPaye_ETG_SALE)</f>
        <v>0</v>
      </c>
    </row>
    <row r="25" spans="4:8">
      <c r="D25" s="378">
        <v>43101</v>
      </c>
      <c r="E25" s="91">
        <f t="shared" si="0"/>
        <v>0</v>
      </c>
      <c r="F25" s="6"/>
      <c r="G25" s="378">
        <v>43101</v>
      </c>
      <c r="H25" s="91">
        <f t="shared" si="1"/>
        <v>0</v>
      </c>
    </row>
    <row r="26" spans="4:8">
      <c r="D26" s="378">
        <v>43132</v>
      </c>
      <c r="E26" s="91">
        <f t="shared" si="0"/>
        <v>542500</v>
      </c>
      <c r="F26" s="6"/>
      <c r="G26" s="378">
        <v>43132</v>
      </c>
      <c r="H26" s="91">
        <f t="shared" si="1"/>
        <v>0</v>
      </c>
    </row>
    <row r="27" spans="4:8">
      <c r="D27" s="378">
        <v>43160</v>
      </c>
      <c r="E27" s="91">
        <f t="shared" si="0"/>
        <v>0</v>
      </c>
      <c r="F27" s="6"/>
      <c r="G27" s="378">
        <v>43160</v>
      </c>
      <c r="H27" s="91">
        <f t="shared" si="1"/>
        <v>0</v>
      </c>
    </row>
    <row r="28" spans="4:8">
      <c r="D28" s="378">
        <v>43191</v>
      </c>
      <c r="E28" s="91">
        <f t="shared" si="0"/>
        <v>0</v>
      </c>
      <c r="F28" s="6"/>
      <c r="G28" s="378">
        <v>43191</v>
      </c>
      <c r="H28" s="91">
        <f t="shared" si="1"/>
        <v>0</v>
      </c>
    </row>
    <row r="29" spans="4:8">
      <c r="D29" s="378">
        <v>43221</v>
      </c>
      <c r="E29" s="91">
        <f t="shared" si="0"/>
        <v>0</v>
      </c>
      <c r="F29" s="6"/>
      <c r="G29" s="378">
        <v>43221</v>
      </c>
      <c r="H29" s="91">
        <f t="shared" si="1"/>
        <v>0</v>
      </c>
    </row>
    <row r="30" spans="4:8">
      <c r="D30" s="378">
        <v>43252</v>
      </c>
      <c r="E30" s="91">
        <f t="shared" si="0"/>
        <v>0</v>
      </c>
      <c r="F30" s="6"/>
      <c r="G30" s="378">
        <v>43252</v>
      </c>
      <c r="H30" s="91">
        <f t="shared" si="1"/>
        <v>0</v>
      </c>
    </row>
    <row r="31" spans="4:8">
      <c r="D31" s="378">
        <v>43282</v>
      </c>
      <c r="E31" s="91">
        <f t="shared" si="0"/>
        <v>542500</v>
      </c>
      <c r="F31" s="6"/>
      <c r="G31" s="378">
        <v>43282</v>
      </c>
      <c r="H31" s="91">
        <f t="shared" si="1"/>
        <v>0</v>
      </c>
    </row>
    <row r="32" spans="4:8">
      <c r="D32" s="378">
        <v>43313</v>
      </c>
      <c r="E32" s="91">
        <f t="shared" si="0"/>
        <v>0</v>
      </c>
      <c r="F32" s="6"/>
      <c r="G32" s="378">
        <v>43313</v>
      </c>
      <c r="H32" s="91">
        <f t="shared" si="1"/>
        <v>542500</v>
      </c>
    </row>
    <row r="33" spans="4:8">
      <c r="D33" s="378">
        <v>43344</v>
      </c>
      <c r="E33" s="91">
        <f t="shared" si="0"/>
        <v>0</v>
      </c>
      <c r="F33" s="6"/>
      <c r="G33" s="378">
        <v>43344</v>
      </c>
      <c r="H33" s="91">
        <f t="shared" si="1"/>
        <v>0</v>
      </c>
    </row>
    <row r="34" spans="4:8">
      <c r="D34" s="378">
        <v>43374</v>
      </c>
      <c r="E34" s="91">
        <f t="shared" si="0"/>
        <v>0</v>
      </c>
      <c r="F34" s="6"/>
      <c r="G34" s="378">
        <v>43374</v>
      </c>
      <c r="H34" s="91">
        <f t="shared" si="1"/>
        <v>0</v>
      </c>
    </row>
    <row r="35" spans="4:8">
      <c r="D35" s="378">
        <v>43405</v>
      </c>
      <c r="E35" s="91">
        <f t="shared" si="0"/>
        <v>0</v>
      </c>
      <c r="F35" s="6"/>
      <c r="G35" s="378">
        <v>43405</v>
      </c>
      <c r="H35" s="91">
        <f t="shared" si="1"/>
        <v>0</v>
      </c>
    </row>
    <row r="36" spans="4:8">
      <c r="D36" s="378">
        <v>43435</v>
      </c>
      <c r="E36" s="91">
        <f t="shared" si="0"/>
        <v>0</v>
      </c>
      <c r="F36" s="6"/>
      <c r="G36" s="378">
        <v>43435</v>
      </c>
      <c r="H36" s="91">
        <f t="shared" si="1"/>
        <v>0</v>
      </c>
    </row>
    <row r="37" spans="4:8">
      <c r="D37" s="378">
        <v>43466</v>
      </c>
      <c r="E37" s="91">
        <f t="shared" si="0"/>
        <v>0</v>
      </c>
      <c r="F37" s="6"/>
      <c r="G37" s="378">
        <v>43466</v>
      </c>
      <c r="H37" s="91">
        <f t="shared" si="1"/>
        <v>0</v>
      </c>
    </row>
    <row r="38" spans="4:8">
      <c r="D38" s="378">
        <v>43497</v>
      </c>
      <c r="E38" s="91">
        <f t="shared" si="0"/>
        <v>0</v>
      </c>
      <c r="F38" s="6"/>
      <c r="G38" s="378">
        <v>43497</v>
      </c>
      <c r="H38" s="91">
        <f t="shared" si="1"/>
        <v>0</v>
      </c>
    </row>
    <row r="39" spans="4:8">
      <c r="D39" s="378">
        <v>43525</v>
      </c>
      <c r="E39" s="91">
        <f t="shared" si="0"/>
        <v>0</v>
      </c>
      <c r="F39" s="6"/>
      <c r="G39" s="378">
        <v>43525</v>
      </c>
      <c r="H39" s="91">
        <f t="shared" si="1"/>
        <v>0</v>
      </c>
    </row>
    <row r="40" spans="4:8">
      <c r="D40" s="378">
        <v>43556</v>
      </c>
      <c r="E40" s="91">
        <f t="shared" si="0"/>
        <v>0</v>
      </c>
      <c r="F40" s="6"/>
      <c r="G40" s="378">
        <v>43556</v>
      </c>
      <c r="H40" s="91">
        <f t="shared" si="1"/>
        <v>0</v>
      </c>
    </row>
    <row r="41" spans="4:8">
      <c r="D41" s="378">
        <v>43586</v>
      </c>
      <c r="E41" s="91">
        <f t="shared" si="0"/>
        <v>0</v>
      </c>
      <c r="F41" s="6"/>
      <c r="G41" s="378">
        <v>43586</v>
      </c>
      <c r="H41" s="91">
        <f t="shared" si="1"/>
        <v>0</v>
      </c>
    </row>
    <row r="42" spans="4:8">
      <c r="D42" s="378">
        <v>43617</v>
      </c>
      <c r="E42" s="91">
        <f t="shared" si="0"/>
        <v>0</v>
      </c>
      <c r="F42" s="6"/>
      <c r="G42" s="378">
        <v>43617</v>
      </c>
      <c r="H42" s="91">
        <f t="shared" si="1"/>
        <v>0</v>
      </c>
    </row>
    <row r="43" spans="4:8">
      <c r="D43" s="378">
        <v>43647</v>
      </c>
      <c r="E43" s="91">
        <f t="shared" si="0"/>
        <v>0</v>
      </c>
      <c r="F43" s="6"/>
      <c r="G43" s="378">
        <v>43647</v>
      </c>
      <c r="H43" s="91">
        <f t="shared" si="1"/>
        <v>0</v>
      </c>
    </row>
    <row r="44" spans="4:8">
      <c r="D44" s="378">
        <v>43678</v>
      </c>
      <c r="E44" s="91">
        <f t="shared" si="0"/>
        <v>0</v>
      </c>
      <c r="F44" s="6"/>
      <c r="G44" s="378">
        <v>43678</v>
      </c>
      <c r="H44" s="91">
        <f t="shared" si="1"/>
        <v>0</v>
      </c>
    </row>
    <row r="45" spans="4:8">
      <c r="D45" s="378">
        <v>43709</v>
      </c>
      <c r="E45" s="91">
        <f t="shared" si="0"/>
        <v>0</v>
      </c>
      <c r="F45" s="6"/>
      <c r="G45" s="378">
        <v>43709</v>
      </c>
      <c r="H45" s="91">
        <f t="shared" si="1"/>
        <v>0</v>
      </c>
    </row>
    <row r="46" spans="4:8">
      <c r="D46" s="378">
        <v>43739</v>
      </c>
      <c r="E46" s="91">
        <f t="shared" si="0"/>
        <v>0</v>
      </c>
      <c r="F46" s="6"/>
      <c r="G46" s="378">
        <v>43739</v>
      </c>
      <c r="H46" s="91">
        <f t="shared" si="1"/>
        <v>0</v>
      </c>
    </row>
    <row r="47" spans="4:8">
      <c r="D47" s="378">
        <v>43770</v>
      </c>
      <c r="E47" s="91">
        <f t="shared" si="0"/>
        <v>0</v>
      </c>
      <c r="F47" s="6"/>
      <c r="G47" s="378">
        <v>43770</v>
      </c>
      <c r="H47" s="91">
        <f t="shared" si="1"/>
        <v>0</v>
      </c>
    </row>
    <row r="48" spans="4:8">
      <c r="D48" s="378">
        <v>43800</v>
      </c>
      <c r="E48" s="91">
        <f t="shared" si="0"/>
        <v>0</v>
      </c>
      <c r="F48" s="6"/>
      <c r="G48" s="378">
        <v>43800</v>
      </c>
      <c r="H48" s="91">
        <f t="shared" si="1"/>
        <v>0</v>
      </c>
    </row>
    <row r="49" spans="4:8" ht="13.5">
      <c r="D49" s="8"/>
      <c r="E49" s="460">
        <f>SUM(E24:E48)</f>
        <v>2170000</v>
      </c>
      <c r="F49" s="946"/>
      <c r="G49" s="8"/>
      <c r="H49" s="460">
        <f>SUM(H24:H48)</f>
        <v>542500</v>
      </c>
    </row>
    <row r="50" spans="4:8" ht="13.5">
      <c r="D50" s="161"/>
      <c r="E50" s="166">
        <f>E49-E18</f>
        <v>0</v>
      </c>
      <c r="F50" s="465"/>
      <c r="G50" s="161"/>
      <c r="H50" s="166">
        <f>H49-H18</f>
        <v>0</v>
      </c>
    </row>
  </sheetData>
  <mergeCells count="8">
    <mergeCell ref="K13:L13"/>
    <mergeCell ref="A1:K1"/>
    <mergeCell ref="A3:A4"/>
    <mergeCell ref="B3:B4"/>
    <mergeCell ref="C3:C4"/>
    <mergeCell ref="D3:D4"/>
    <mergeCell ref="E3:J3"/>
    <mergeCell ref="K3:L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>
    <tabColor rgb="FF00B050"/>
    <outlinePr summaryBelow="0"/>
  </sheetPr>
  <dimension ref="A2:S48"/>
  <sheetViews>
    <sheetView topLeftCell="D12" workbookViewId="0">
      <selection activeCell="L18" sqref="L18"/>
    </sheetView>
  </sheetViews>
  <sheetFormatPr defaultColWidth="11.42578125" defaultRowHeight="12.75" outlineLevelRow="1" outlineLevelCol="1"/>
  <cols>
    <col min="1" max="1" width="31.5703125" style="6" bestFit="1" customWidth="1"/>
    <col min="2" max="2" width="30.42578125" style="1" customWidth="1" outlineLevel="1"/>
    <col min="3" max="3" width="15.28515625" style="1" customWidth="1"/>
    <col min="4" max="4" width="17.5703125" style="1" customWidth="1"/>
    <col min="5" max="5" width="22.28515625" style="1" customWidth="1"/>
    <col min="6" max="6" width="13.140625" style="1" customWidth="1"/>
    <col min="7" max="7" width="13.42578125" style="1" bestFit="1" customWidth="1"/>
    <col min="8" max="8" width="13.42578125" style="1" customWidth="1"/>
    <col min="9" max="9" width="14.42578125" style="1" customWidth="1"/>
    <col min="10" max="10" width="4.140625" style="6" bestFit="1" customWidth="1"/>
    <col min="11" max="11" width="10.42578125" style="1" bestFit="1" customWidth="1"/>
    <col min="12" max="12" width="14.5703125" style="1" customWidth="1"/>
    <col min="13" max="13" width="10.42578125" style="1" bestFit="1" customWidth="1"/>
    <col min="14" max="14" width="18.5703125" style="1" bestFit="1" customWidth="1"/>
    <col min="15" max="15" width="14.42578125" style="1" customWidth="1"/>
    <col min="16" max="17" width="14.42578125" style="1" bestFit="1" customWidth="1"/>
    <col min="18" max="18" width="18" style="161" customWidth="1"/>
    <col min="19" max="16384" width="11.42578125" style="1"/>
  </cols>
  <sheetData>
    <row r="2" spans="1:19">
      <c r="A2" s="1027" t="s">
        <v>351</v>
      </c>
      <c r="B2" s="1027"/>
      <c r="C2" s="1027"/>
      <c r="D2" s="1027"/>
      <c r="E2" s="1027"/>
      <c r="F2" s="1027"/>
      <c r="G2" s="1027"/>
      <c r="H2" s="1027"/>
      <c r="I2" s="1027"/>
      <c r="J2" s="1027"/>
      <c r="K2" s="1027"/>
      <c r="L2" s="1027"/>
      <c r="M2" s="1027"/>
      <c r="N2" s="1027"/>
      <c r="O2" s="1027"/>
      <c r="P2" s="9">
        <f ca="1">TODAY()</f>
        <v>43599</v>
      </c>
      <c r="Q2" s="9"/>
    </row>
    <row r="4" spans="1:19" s="2" customFormat="1" ht="25.5">
      <c r="A4" s="1044" t="s">
        <v>2</v>
      </c>
      <c r="B4" s="1044" t="s">
        <v>0</v>
      </c>
      <c r="C4" s="1032" t="s">
        <v>21</v>
      </c>
      <c r="D4" s="675" t="s">
        <v>114</v>
      </c>
      <c r="E4" s="675" t="s">
        <v>109</v>
      </c>
      <c r="F4" s="675" t="s">
        <v>112</v>
      </c>
      <c r="G4" s="1032" t="s">
        <v>12</v>
      </c>
      <c r="H4" s="919" t="s">
        <v>408</v>
      </c>
      <c r="I4" s="1028" t="s">
        <v>4</v>
      </c>
      <c r="J4" s="1029"/>
      <c r="K4" s="1029"/>
      <c r="L4" s="1029"/>
      <c r="M4" s="1029"/>
      <c r="N4" s="1030"/>
      <c r="O4" s="1031" t="s">
        <v>13</v>
      </c>
      <c r="P4" s="1032"/>
      <c r="Q4" s="3" t="s">
        <v>111</v>
      </c>
      <c r="R4" s="209"/>
      <c r="S4" s="63"/>
    </row>
    <row r="5" spans="1:19" s="13" customFormat="1">
      <c r="A5" s="1045"/>
      <c r="B5" s="1045"/>
      <c r="C5" s="1046"/>
      <c r="D5" s="676"/>
      <c r="E5" s="676"/>
      <c r="F5" s="676"/>
      <c r="G5" s="1046"/>
      <c r="H5" s="947"/>
      <c r="I5" s="10" t="s">
        <v>1</v>
      </c>
      <c r="J5" s="11" t="s">
        <v>3</v>
      </c>
      <c r="K5" s="11" t="s">
        <v>15</v>
      </c>
      <c r="L5" s="12" t="s">
        <v>14</v>
      </c>
      <c r="M5" s="10" t="s">
        <v>15</v>
      </c>
      <c r="N5" s="11" t="s">
        <v>18</v>
      </c>
      <c r="O5" s="3" t="s">
        <v>20</v>
      </c>
      <c r="P5" s="3" t="s">
        <v>19</v>
      </c>
      <c r="Q5" s="3"/>
      <c r="R5" s="161"/>
    </row>
    <row r="6" spans="1:19" s="8" customFormat="1" ht="25.5">
      <c r="A6" s="119" t="s">
        <v>348</v>
      </c>
      <c r="B6" s="769" t="s">
        <v>352</v>
      </c>
      <c r="C6" s="151">
        <v>43283</v>
      </c>
      <c r="D6" s="151">
        <v>44104</v>
      </c>
      <c r="E6" s="151">
        <v>44196</v>
      </c>
      <c r="F6" s="151"/>
      <c r="G6" s="770">
        <v>1227844</v>
      </c>
      <c r="H6" s="770"/>
      <c r="I6" s="123"/>
      <c r="J6" s="771"/>
      <c r="K6" s="151"/>
      <c r="L6" s="126">
        <f>SUM(L7:L9)</f>
        <v>613922</v>
      </c>
      <c r="M6" s="151"/>
      <c r="N6" s="772"/>
      <c r="O6" s="170">
        <f>SUM(O7:O9)</f>
        <v>0</v>
      </c>
      <c r="P6" s="159">
        <f>SUM(P7:P9)</f>
        <v>613922</v>
      </c>
      <c r="Q6" s="123"/>
      <c r="R6" s="683"/>
    </row>
    <row r="7" spans="1:19" outlineLevel="1">
      <c r="A7" s="46" t="s">
        <v>348</v>
      </c>
      <c r="B7" s="679"/>
      <c r="C7" s="30"/>
      <c r="D7" s="30"/>
      <c r="E7" s="30" t="s">
        <v>350</v>
      </c>
      <c r="F7" s="30" t="s">
        <v>364</v>
      </c>
      <c r="H7" s="680">
        <v>0.5</v>
      </c>
      <c r="I7" s="23">
        <f>G6*50%</f>
        <v>613922</v>
      </c>
      <c r="J7" s="678">
        <v>1</v>
      </c>
      <c r="K7" s="30">
        <v>43305</v>
      </c>
      <c r="L7" s="24">
        <v>613922</v>
      </c>
      <c r="M7" s="30">
        <v>43342</v>
      </c>
      <c r="N7" s="456"/>
      <c r="O7" s="365" t="str">
        <f>IF(L7="en attente",I7,"")</f>
        <v/>
      </c>
      <c r="P7" s="81"/>
      <c r="Q7" s="23"/>
      <c r="R7" s="211"/>
    </row>
    <row r="8" spans="1:19" outlineLevel="1">
      <c r="A8" s="46" t="s">
        <v>348</v>
      </c>
      <c r="B8" s="679"/>
      <c r="C8" s="30"/>
      <c r="D8" s="30"/>
      <c r="E8" s="30"/>
      <c r="F8" s="30" t="s">
        <v>363</v>
      </c>
      <c r="H8" s="680">
        <v>0.25</v>
      </c>
      <c r="I8" s="23">
        <f>+G6*H8</f>
        <v>306961</v>
      </c>
      <c r="J8" s="678">
        <v>2</v>
      </c>
      <c r="K8" s="30"/>
      <c r="L8" s="24"/>
      <c r="M8" s="30"/>
      <c r="N8" s="456"/>
      <c r="O8" s="365" t="str">
        <f>IF(L8="en attente",I8,"")</f>
        <v/>
      </c>
      <c r="P8" s="81">
        <f>+I8</f>
        <v>306961</v>
      </c>
      <c r="Q8" s="23"/>
      <c r="R8" s="211"/>
    </row>
    <row r="9" spans="1:19" outlineLevel="1">
      <c r="A9" s="118" t="s">
        <v>348</v>
      </c>
      <c r="B9" s="684"/>
      <c r="C9" s="155"/>
      <c r="D9" s="155"/>
      <c r="E9" s="155"/>
      <c r="F9" s="155" t="s">
        <v>366</v>
      </c>
      <c r="H9" s="685">
        <v>0.25</v>
      </c>
      <c r="I9" s="35">
        <f>+G6*H9</f>
        <v>306961</v>
      </c>
      <c r="J9" s="686">
        <v>3</v>
      </c>
      <c r="K9" s="155"/>
      <c r="L9" s="37"/>
      <c r="M9" s="155"/>
      <c r="N9" s="687"/>
      <c r="O9" s="442" t="str">
        <f>IF(L9="en attente",I9,"")</f>
        <v/>
      </c>
      <c r="P9" s="157">
        <f>+I9</f>
        <v>306961</v>
      </c>
      <c r="Q9" s="35"/>
      <c r="R9" s="211"/>
    </row>
    <row r="10" spans="1:19" ht="25.5">
      <c r="A10" s="119" t="s">
        <v>368</v>
      </c>
      <c r="B10" s="769" t="s">
        <v>352</v>
      </c>
      <c r="C10" s="147">
        <v>43283</v>
      </c>
      <c r="D10" s="147">
        <v>44104</v>
      </c>
      <c r="E10" s="147">
        <v>44196</v>
      </c>
      <c r="F10" s="147"/>
      <c r="G10" s="258">
        <v>655125</v>
      </c>
      <c r="H10" s="775"/>
      <c r="I10" s="132"/>
      <c r="J10" s="778"/>
      <c r="K10" s="147"/>
      <c r="L10" s="135">
        <f>SUM(L11:L13)</f>
        <v>327562.5</v>
      </c>
      <c r="M10" s="147"/>
      <c r="N10" s="779"/>
      <c r="O10" s="184">
        <f>SUM(O11:O13)</f>
        <v>0</v>
      </c>
      <c r="P10" s="150">
        <f>SUM(P11:P13)</f>
        <v>327562.5</v>
      </c>
      <c r="Q10" s="141"/>
      <c r="R10" s="211"/>
    </row>
    <row r="11" spans="1:19" outlineLevel="1">
      <c r="A11" s="46" t="s">
        <v>368</v>
      </c>
      <c r="B11" s="720"/>
      <c r="C11" s="30"/>
      <c r="D11" s="30"/>
      <c r="E11" s="30" t="s">
        <v>350</v>
      </c>
      <c r="F11" s="30" t="s">
        <v>364</v>
      </c>
      <c r="H11" s="680">
        <v>0.5</v>
      </c>
      <c r="I11" s="23">
        <f>+G10*H11</f>
        <v>327562.5</v>
      </c>
      <c r="J11" s="678">
        <v>1</v>
      </c>
      <c r="K11" s="30">
        <v>43381</v>
      </c>
      <c r="L11" s="24">
        <v>327562.5</v>
      </c>
      <c r="M11" s="30">
        <v>43440</v>
      </c>
      <c r="N11" s="456"/>
      <c r="O11" s="365" t="str">
        <f>IF(L11="en attente",I11,"")</f>
        <v/>
      </c>
      <c r="P11" s="81"/>
      <c r="Q11" s="23"/>
      <c r="R11" s="211"/>
    </row>
    <row r="12" spans="1:19" outlineLevel="1">
      <c r="A12" s="46" t="s">
        <v>368</v>
      </c>
      <c r="B12" s="679"/>
      <c r="C12" s="30"/>
      <c r="D12" s="30"/>
      <c r="E12" s="30"/>
      <c r="F12" s="30" t="s">
        <v>363</v>
      </c>
      <c r="H12" s="680">
        <v>0.25</v>
      </c>
      <c r="I12" s="23">
        <f>+G10*H12</f>
        <v>163781.25</v>
      </c>
      <c r="J12" s="678">
        <v>2</v>
      </c>
      <c r="K12" s="30"/>
      <c r="L12" s="24"/>
      <c r="M12" s="30"/>
      <c r="N12" s="456"/>
      <c r="O12" s="365" t="str">
        <f>IF(L12="en attente",I12,"")</f>
        <v/>
      </c>
      <c r="P12" s="81">
        <f>I12</f>
        <v>163781.25</v>
      </c>
      <c r="Q12" s="23"/>
      <c r="R12" s="211"/>
    </row>
    <row r="13" spans="1:19" outlineLevel="1">
      <c r="A13" s="46" t="s">
        <v>368</v>
      </c>
      <c r="B13" s="679"/>
      <c r="C13" s="30"/>
      <c r="D13" s="30"/>
      <c r="E13" s="30"/>
      <c r="F13" s="155" t="s">
        <v>366</v>
      </c>
      <c r="H13" s="685">
        <v>0.25</v>
      </c>
      <c r="I13" s="23">
        <f>+G10*H13</f>
        <v>163781.25</v>
      </c>
      <c r="J13" s="678">
        <v>3</v>
      </c>
      <c r="K13" s="30"/>
      <c r="L13" s="24"/>
      <c r="M13" s="30"/>
      <c r="N13" s="456"/>
      <c r="O13" s="365" t="str">
        <f>IF(L13="en attente",I13,"")</f>
        <v/>
      </c>
      <c r="P13" s="81">
        <f>I13</f>
        <v>163781.25</v>
      </c>
      <c r="Q13" s="23"/>
      <c r="R13" s="211"/>
    </row>
    <row r="14" spans="1:19" s="8" customFormat="1">
      <c r="A14" s="48"/>
      <c r="B14" s="48"/>
      <c r="C14" s="48"/>
      <c r="D14" s="48"/>
      <c r="E14" s="48"/>
      <c r="F14" s="48"/>
      <c r="G14" s="688">
        <f>+G6+G10</f>
        <v>1882969</v>
      </c>
      <c r="H14" s="688"/>
      <c r="I14" s="41">
        <f>SUMPRODUCT((DateAF_Rectorat&lt;&gt;"")*MontantAF_Rectorat)</f>
        <v>941484.5</v>
      </c>
      <c r="J14" s="689"/>
      <c r="K14" s="50"/>
      <c r="L14" s="690">
        <f>+L6+L10</f>
        <v>941484.5</v>
      </c>
      <c r="M14" s="50"/>
      <c r="N14" s="691"/>
      <c r="O14" s="41">
        <f>O10+O6</f>
        <v>0</v>
      </c>
      <c r="P14" s="692">
        <f>+P6+P10</f>
        <v>941484.5</v>
      </c>
      <c r="Q14" s="60"/>
      <c r="R14" s="166">
        <f>G14-(L14+O14+P14)</f>
        <v>0</v>
      </c>
    </row>
    <row r="15" spans="1:19" ht="13.5" thickBot="1">
      <c r="A15" s="75"/>
      <c r="B15" s="76"/>
      <c r="C15" s="76"/>
      <c r="D15" s="76"/>
      <c r="E15" s="76"/>
      <c r="F15" s="76"/>
      <c r="G15" s="76"/>
      <c r="H15" s="76"/>
      <c r="I15" s="76"/>
      <c r="J15" s="75"/>
      <c r="K15" s="76"/>
      <c r="L15" s="76"/>
      <c r="M15" s="76"/>
      <c r="N15" s="52"/>
      <c r="O15" s="1025">
        <f>SUM(O14:P14)</f>
        <v>941484.5</v>
      </c>
      <c r="P15" s="1026"/>
    </row>
    <row r="16" spans="1:19" ht="13.5" thickBot="1">
      <c r="I16" s="743" t="s">
        <v>207</v>
      </c>
      <c r="J16" s="737"/>
      <c r="K16" s="737"/>
      <c r="L16" s="747" t="s">
        <v>209</v>
      </c>
    </row>
    <row r="17" spans="7:12" ht="13.5" thickBot="1">
      <c r="G17" s="982">
        <v>2018</v>
      </c>
      <c r="H17" s="763"/>
      <c r="I17" s="764">
        <f>SUMPRODUCT((YEAR($H$23:$H$46)=G17)*($I$23:$I$46))</f>
        <v>941484.5</v>
      </c>
      <c r="J17" s="47"/>
      <c r="K17" s="47"/>
      <c r="L17" s="764">
        <f>SUMPRODUCT((YEAR($K$23:$K$46)=G17)*($L$23:$L$46))</f>
        <v>941484.5</v>
      </c>
    </row>
    <row r="18" spans="7:12" ht="13.5" thickBot="1">
      <c r="G18" s="766">
        <v>2019</v>
      </c>
      <c r="H18" s="910"/>
      <c r="I18" s="767">
        <f>SUMPRODUCT((YEAR($H$23:$H$46)=G18)*($I$23:$I$46))</f>
        <v>0</v>
      </c>
      <c r="J18" s="753"/>
      <c r="K18" s="753"/>
      <c r="L18" s="768">
        <f>SUMPRODUCT((YEAR($K$23:$K$46)=G18)*($L$23:$L$46))</f>
        <v>0</v>
      </c>
    </row>
    <row r="19" spans="7:12" ht="13.5" thickBot="1">
      <c r="I19" s="765">
        <f>SUM(I17:I18)</f>
        <v>941484.5</v>
      </c>
      <c r="J19" s="742"/>
      <c r="K19" s="742"/>
      <c r="L19" s="765">
        <f>SUM(L17:L18)</f>
        <v>941484.5</v>
      </c>
    </row>
    <row r="20" spans="7:12">
      <c r="I20" s="166">
        <f>I19-I14</f>
        <v>0</v>
      </c>
      <c r="J20" s="1"/>
      <c r="L20" s="166">
        <f>L19-L14</f>
        <v>0</v>
      </c>
    </row>
    <row r="22" spans="7:12">
      <c r="I22" s="369" t="s">
        <v>207</v>
      </c>
      <c r="L22" s="370" t="s">
        <v>209</v>
      </c>
    </row>
    <row r="23" spans="7:12">
      <c r="H23" s="378">
        <v>43101</v>
      </c>
      <c r="I23" s="91">
        <f t="shared" ref="I23:I46" si="0">SUMPRODUCT((DateAF_Rectorat&lt;&gt;"")*(MONTH(DateAF_Rectorat)=MONTH(H23))*(YEAR(DateAF_Rectorat)=YEAR(H23))*MontantAF_Rectorat)</f>
        <v>0</v>
      </c>
      <c r="K23" s="378">
        <v>43101</v>
      </c>
      <c r="L23" s="91">
        <f t="shared" ref="L23:L46" si="1">SUMPRODUCT((DatePmt_Rectorat&lt;&gt;"")*(DatePmt_Rectorat&lt;&gt;"en attente")*(MONTH(DatePmt_Rectorat)=MONTH(K23))*(YEAR(DatePmt_Rectorat)=YEAR(K23))*(ISNUMBER(MtntPaye_Rectorat)),MtntPaye_Rectorat)</f>
        <v>0</v>
      </c>
    </row>
    <row r="24" spans="7:12">
      <c r="H24" s="378">
        <v>43132</v>
      </c>
      <c r="I24" s="91">
        <f t="shared" si="0"/>
        <v>0</v>
      </c>
      <c r="K24" s="378">
        <v>43132</v>
      </c>
      <c r="L24" s="91">
        <f t="shared" si="1"/>
        <v>0</v>
      </c>
    </row>
    <row r="25" spans="7:12">
      <c r="H25" s="378">
        <v>43160</v>
      </c>
      <c r="I25" s="91">
        <f t="shared" si="0"/>
        <v>0</v>
      </c>
      <c r="K25" s="378">
        <v>43160</v>
      </c>
      <c r="L25" s="91">
        <f t="shared" si="1"/>
        <v>0</v>
      </c>
    </row>
    <row r="26" spans="7:12">
      <c r="H26" s="378">
        <v>43191</v>
      </c>
      <c r="I26" s="91">
        <f t="shared" si="0"/>
        <v>0</v>
      </c>
      <c r="K26" s="378">
        <v>43191</v>
      </c>
      <c r="L26" s="91">
        <f t="shared" si="1"/>
        <v>0</v>
      </c>
    </row>
    <row r="27" spans="7:12">
      <c r="H27" s="378">
        <v>43221</v>
      </c>
      <c r="I27" s="91">
        <f t="shared" si="0"/>
        <v>0</v>
      </c>
      <c r="K27" s="378">
        <v>43221</v>
      </c>
      <c r="L27" s="91">
        <f t="shared" si="1"/>
        <v>0</v>
      </c>
    </row>
    <row r="28" spans="7:12">
      <c r="H28" s="378">
        <v>43252</v>
      </c>
      <c r="I28" s="91">
        <f t="shared" si="0"/>
        <v>0</v>
      </c>
      <c r="K28" s="378">
        <v>43252</v>
      </c>
      <c r="L28" s="91">
        <f t="shared" si="1"/>
        <v>0</v>
      </c>
    </row>
    <row r="29" spans="7:12">
      <c r="H29" s="378">
        <v>43282</v>
      </c>
      <c r="I29" s="91">
        <f t="shared" si="0"/>
        <v>613922</v>
      </c>
      <c r="K29" s="378">
        <v>43282</v>
      </c>
      <c r="L29" s="91">
        <f t="shared" si="1"/>
        <v>0</v>
      </c>
    </row>
    <row r="30" spans="7:12">
      <c r="H30" s="378">
        <v>43313</v>
      </c>
      <c r="I30" s="91">
        <f t="shared" si="0"/>
        <v>0</v>
      </c>
      <c r="K30" s="378">
        <v>43313</v>
      </c>
      <c r="L30" s="91">
        <f t="shared" si="1"/>
        <v>613922</v>
      </c>
    </row>
    <row r="31" spans="7:12">
      <c r="H31" s="378">
        <v>43344</v>
      </c>
      <c r="I31" s="91">
        <f t="shared" si="0"/>
        <v>0</v>
      </c>
      <c r="K31" s="378">
        <v>43344</v>
      </c>
      <c r="L31" s="91">
        <f t="shared" si="1"/>
        <v>0</v>
      </c>
    </row>
    <row r="32" spans="7:12">
      <c r="H32" s="378">
        <v>43374</v>
      </c>
      <c r="I32" s="91">
        <f t="shared" si="0"/>
        <v>327562.5</v>
      </c>
      <c r="K32" s="378">
        <v>43374</v>
      </c>
      <c r="L32" s="91">
        <f t="shared" si="1"/>
        <v>0</v>
      </c>
    </row>
    <row r="33" spans="7:12">
      <c r="H33" s="378">
        <v>43405</v>
      </c>
      <c r="I33" s="91">
        <f t="shared" si="0"/>
        <v>0</v>
      </c>
      <c r="K33" s="378">
        <v>43405</v>
      </c>
      <c r="L33" s="91">
        <f t="shared" si="1"/>
        <v>0</v>
      </c>
    </row>
    <row r="34" spans="7:12">
      <c r="H34" s="378">
        <v>43435</v>
      </c>
      <c r="I34" s="91">
        <f t="shared" si="0"/>
        <v>0</v>
      </c>
      <c r="K34" s="378">
        <v>43435</v>
      </c>
      <c r="L34" s="91">
        <f t="shared" si="1"/>
        <v>327562.5</v>
      </c>
    </row>
    <row r="35" spans="7:12">
      <c r="H35" s="378">
        <v>43466</v>
      </c>
      <c r="I35" s="91">
        <f t="shared" si="0"/>
        <v>0</v>
      </c>
      <c r="K35" s="378">
        <v>43466</v>
      </c>
      <c r="L35" s="91">
        <f t="shared" si="1"/>
        <v>0</v>
      </c>
    </row>
    <row r="36" spans="7:12">
      <c r="H36" s="378">
        <v>43497</v>
      </c>
      <c r="I36" s="91">
        <f t="shared" si="0"/>
        <v>0</v>
      </c>
      <c r="K36" s="378">
        <v>43497</v>
      </c>
      <c r="L36" s="91">
        <f t="shared" si="1"/>
        <v>0</v>
      </c>
    </row>
    <row r="37" spans="7:12">
      <c r="H37" s="378">
        <v>43525</v>
      </c>
      <c r="I37" s="91">
        <f t="shared" si="0"/>
        <v>0</v>
      </c>
      <c r="K37" s="378">
        <v>43525</v>
      </c>
      <c r="L37" s="91">
        <f t="shared" si="1"/>
        <v>0</v>
      </c>
    </row>
    <row r="38" spans="7:12">
      <c r="H38" s="378">
        <v>43556</v>
      </c>
      <c r="I38" s="91">
        <f t="shared" si="0"/>
        <v>0</v>
      </c>
      <c r="K38" s="378">
        <v>43556</v>
      </c>
      <c r="L38" s="91">
        <f t="shared" si="1"/>
        <v>0</v>
      </c>
    </row>
    <row r="39" spans="7:12">
      <c r="H39" s="378">
        <v>43586</v>
      </c>
      <c r="I39" s="91">
        <f t="shared" si="0"/>
        <v>0</v>
      </c>
      <c r="K39" s="378">
        <v>43586</v>
      </c>
      <c r="L39" s="91">
        <f t="shared" si="1"/>
        <v>0</v>
      </c>
    </row>
    <row r="40" spans="7:12">
      <c r="H40" s="378">
        <v>43617</v>
      </c>
      <c r="I40" s="91">
        <f t="shared" si="0"/>
        <v>0</v>
      </c>
      <c r="K40" s="378">
        <v>43617</v>
      </c>
      <c r="L40" s="91">
        <f t="shared" si="1"/>
        <v>0</v>
      </c>
    </row>
    <row r="41" spans="7:12">
      <c r="H41" s="378">
        <v>43647</v>
      </c>
      <c r="I41" s="91">
        <f t="shared" si="0"/>
        <v>0</v>
      </c>
      <c r="K41" s="378">
        <v>43647</v>
      </c>
      <c r="L41" s="91">
        <f t="shared" si="1"/>
        <v>0</v>
      </c>
    </row>
    <row r="42" spans="7:12">
      <c r="H42" s="378">
        <v>43678</v>
      </c>
      <c r="I42" s="91">
        <f t="shared" si="0"/>
        <v>0</v>
      </c>
      <c r="K42" s="378">
        <v>43678</v>
      </c>
      <c r="L42" s="91">
        <f t="shared" si="1"/>
        <v>0</v>
      </c>
    </row>
    <row r="43" spans="7:12">
      <c r="H43" s="378">
        <v>43709</v>
      </c>
      <c r="I43" s="91">
        <f t="shared" si="0"/>
        <v>0</v>
      </c>
      <c r="K43" s="378">
        <v>43709</v>
      </c>
      <c r="L43" s="91">
        <f t="shared" si="1"/>
        <v>0</v>
      </c>
    </row>
    <row r="44" spans="7:12">
      <c r="H44" s="378">
        <v>43739</v>
      </c>
      <c r="I44" s="91">
        <f t="shared" si="0"/>
        <v>0</v>
      </c>
      <c r="K44" s="378">
        <v>43739</v>
      </c>
      <c r="L44" s="91">
        <f t="shared" si="1"/>
        <v>0</v>
      </c>
    </row>
    <row r="45" spans="7:12">
      <c r="H45" s="378">
        <v>43770</v>
      </c>
      <c r="I45" s="91">
        <f t="shared" si="0"/>
        <v>0</v>
      </c>
      <c r="K45" s="378">
        <v>43770</v>
      </c>
      <c r="L45" s="91">
        <f t="shared" si="1"/>
        <v>0</v>
      </c>
    </row>
    <row r="46" spans="7:12">
      <c r="H46" s="378">
        <v>43800</v>
      </c>
      <c r="I46" s="91">
        <f t="shared" si="0"/>
        <v>0</v>
      </c>
      <c r="K46" s="378">
        <v>43800</v>
      </c>
      <c r="L46" s="91">
        <f t="shared" si="1"/>
        <v>0</v>
      </c>
    </row>
    <row r="47" spans="7:12">
      <c r="G47" s="8"/>
      <c r="H47" s="8"/>
      <c r="I47" s="460">
        <f>SUM(I23:I46)</f>
        <v>941484.5</v>
      </c>
      <c r="J47" s="946"/>
      <c r="K47" s="8"/>
      <c r="L47" s="460">
        <f>SUM(L23:L46)</f>
        <v>941484.5</v>
      </c>
    </row>
    <row r="48" spans="7:12">
      <c r="G48" s="161"/>
      <c r="H48" s="161"/>
      <c r="I48" s="166">
        <f>I47-I19</f>
        <v>0</v>
      </c>
      <c r="J48" s="465"/>
      <c r="K48" s="161"/>
      <c r="L48" s="166">
        <f>L47-L19</f>
        <v>0</v>
      </c>
    </row>
  </sheetData>
  <mergeCells count="8">
    <mergeCell ref="O15:P15"/>
    <mergeCell ref="A2:O2"/>
    <mergeCell ref="A4:A5"/>
    <mergeCell ref="B4:B5"/>
    <mergeCell ref="C4:C5"/>
    <mergeCell ref="G4:G5"/>
    <mergeCell ref="I4:N4"/>
    <mergeCell ref="O4:P4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8">
    <tabColor theme="1"/>
    <pageSetUpPr fitToPage="1"/>
  </sheetPr>
  <dimension ref="A1:O26"/>
  <sheetViews>
    <sheetView workbookViewId="0">
      <selection activeCell="K8" sqref="K8"/>
    </sheetView>
  </sheetViews>
  <sheetFormatPr defaultColWidth="11.42578125" defaultRowHeight="12" outlineLevelCol="1"/>
  <cols>
    <col min="1" max="1" width="31.5703125" style="6" bestFit="1" customWidth="1"/>
    <col min="2" max="2" width="30.42578125" style="1" hidden="1" customWidth="1" outlineLevel="1"/>
    <col min="3" max="3" width="11.42578125" style="1" bestFit="1" customWidth="1" collapsed="1"/>
    <col min="4" max="4" width="13.42578125" style="1" bestFit="1" customWidth="1"/>
    <col min="5" max="5" width="14.42578125" style="1" customWidth="1"/>
    <col min="6" max="6" width="4.140625" style="6" bestFit="1" customWidth="1"/>
    <col min="7" max="7" width="10.42578125" style="1" bestFit="1" customWidth="1"/>
    <col min="8" max="8" width="12.42578125" style="1" customWidth="1"/>
    <col min="9" max="9" width="10.42578125" style="1" bestFit="1" customWidth="1"/>
    <col min="10" max="10" width="18.5703125" style="1" bestFit="1" customWidth="1"/>
    <col min="11" max="11" width="14.42578125" style="1" customWidth="1"/>
    <col min="12" max="13" width="14.42578125" style="1" bestFit="1" customWidth="1"/>
    <col min="14" max="14" width="13.42578125" style="1" bestFit="1" customWidth="1"/>
    <col min="15" max="16384" width="11.42578125" style="1"/>
  </cols>
  <sheetData>
    <row r="1" spans="1:15" ht="12.75">
      <c r="M1" s="88"/>
      <c r="N1" s="8"/>
    </row>
    <row r="2" spans="1:15" ht="12.75">
      <c r="A2" s="1027" t="s">
        <v>68</v>
      </c>
      <c r="B2" s="1027"/>
      <c r="C2" s="1027"/>
      <c r="D2" s="1027"/>
      <c r="E2" s="1027"/>
      <c r="F2" s="1027"/>
      <c r="G2" s="1027"/>
      <c r="H2" s="1027"/>
      <c r="I2" s="1027"/>
      <c r="J2" s="1027"/>
      <c r="K2" s="1027"/>
      <c r="L2" s="9">
        <f ca="1">TODAY()</f>
        <v>43599</v>
      </c>
      <c r="N2" s="61"/>
    </row>
    <row r="4" spans="1:15" s="2" customFormat="1" ht="12.75">
      <c r="A4" s="1044" t="s">
        <v>2</v>
      </c>
      <c r="B4" s="1044" t="s">
        <v>0</v>
      </c>
      <c r="C4" s="1032" t="s">
        <v>21</v>
      </c>
      <c r="D4" s="1032" t="s">
        <v>12</v>
      </c>
      <c r="E4" s="1028" t="s">
        <v>4</v>
      </c>
      <c r="F4" s="1029"/>
      <c r="G4" s="1029"/>
      <c r="H4" s="1029"/>
      <c r="I4" s="1029"/>
      <c r="J4" s="1030"/>
      <c r="K4" s="1031" t="s">
        <v>13</v>
      </c>
      <c r="L4" s="1032"/>
      <c r="N4" s="63"/>
      <c r="O4" s="63"/>
    </row>
    <row r="5" spans="1:15" s="13" customFormat="1" ht="12.75">
      <c r="A5" s="1045"/>
      <c r="B5" s="1045"/>
      <c r="C5" s="1046"/>
      <c r="D5" s="1046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</row>
    <row r="6" spans="1:15" ht="12.75">
      <c r="A6" s="400" t="s">
        <v>67</v>
      </c>
      <c r="B6" s="401"/>
      <c r="C6" s="350">
        <v>41607</v>
      </c>
      <c r="D6" s="353">
        <v>66848.639999999999</v>
      </c>
      <c r="E6" s="402"/>
      <c r="F6" s="403"/>
      <c r="G6" s="404"/>
      <c r="H6" s="405"/>
      <c r="I6" s="406"/>
      <c r="J6" s="404"/>
      <c r="K6" s="407"/>
      <c r="L6" s="407"/>
    </row>
    <row r="7" spans="1:15" ht="12.75">
      <c r="A7" s="400"/>
      <c r="B7" s="401"/>
      <c r="C7" s="345"/>
      <c r="D7" s="390">
        <v>-9746.75</v>
      </c>
      <c r="E7" s="347">
        <v>66848.639999999999</v>
      </c>
      <c r="F7" s="403">
        <v>1</v>
      </c>
      <c r="G7" s="404"/>
      <c r="H7" s="349">
        <v>57101.89</v>
      </c>
      <c r="I7" s="350">
        <v>42192</v>
      </c>
      <c r="J7" s="351"/>
      <c r="K7" s="353"/>
      <c r="L7" s="353"/>
    </row>
    <row r="8" spans="1:15" s="26" customFormat="1">
      <c r="A8" s="332" t="s">
        <v>67</v>
      </c>
      <c r="B8" s="351"/>
      <c r="C8" s="345"/>
      <c r="D8" s="353"/>
      <c r="E8" s="347"/>
      <c r="F8" s="348"/>
      <c r="G8" s="350"/>
      <c r="H8" s="347"/>
      <c r="I8" s="350">
        <v>42369</v>
      </c>
      <c r="J8" s="351"/>
      <c r="K8" s="390"/>
      <c r="L8" s="352"/>
      <c r="M8" s="31" t="s">
        <v>236</v>
      </c>
      <c r="N8" s="27"/>
    </row>
    <row r="9" spans="1:15" s="31" customFormat="1" ht="12.75">
      <c r="A9" s="474" t="s">
        <v>43</v>
      </c>
      <c r="B9" s="475"/>
      <c r="C9" s="476">
        <v>41091</v>
      </c>
      <c r="D9" s="477">
        <v>38400</v>
      </c>
      <c r="E9" s="478"/>
      <c r="F9" s="479"/>
      <c r="G9" s="476"/>
      <c r="H9" s="480"/>
      <c r="I9" s="481"/>
      <c r="J9" s="475"/>
      <c r="K9" s="482">
        <f>+IF(G9="",0,E9-H9)</f>
        <v>0</v>
      </c>
      <c r="L9" s="482">
        <f>IF(G9="",E9-H9,0)</f>
        <v>0</v>
      </c>
      <c r="M9" s="113"/>
      <c r="N9" s="113"/>
    </row>
    <row r="10" spans="1:15" s="31" customFormat="1">
      <c r="A10" s="483" t="s">
        <v>43</v>
      </c>
      <c r="B10" s="420"/>
      <c r="C10" s="410"/>
      <c r="D10" s="436" t="s">
        <v>95</v>
      </c>
      <c r="E10" s="484">
        <v>38400</v>
      </c>
      <c r="F10" s="485">
        <v>1</v>
      </c>
      <c r="G10" s="410">
        <v>41984</v>
      </c>
      <c r="H10" s="486"/>
      <c r="I10" s="487"/>
      <c r="J10" s="420">
        <f ca="1">$L$2-G10</f>
        <v>1615</v>
      </c>
      <c r="K10" s="390">
        <f>+IF(G10="",0,E10-H10)</f>
        <v>38400</v>
      </c>
      <c r="L10" s="390">
        <f>IF(G10="",E10-H10,0)</f>
        <v>0</v>
      </c>
      <c r="M10" s="113"/>
    </row>
    <row r="11" spans="1:15" s="8" customFormat="1" ht="12.75">
      <c r="A11" s="488"/>
      <c r="B11" s="488"/>
      <c r="C11" s="488"/>
      <c r="D11" s="489">
        <f>SUM(D6:D10)</f>
        <v>95501.89</v>
      </c>
      <c r="E11" s="489">
        <f>SUM(E7)</f>
        <v>66848.639999999999</v>
      </c>
      <c r="F11" s="490"/>
      <c r="G11" s="491"/>
      <c r="H11" s="489">
        <f>SUM(H6:H10)</f>
        <v>57101.89</v>
      </c>
      <c r="I11" s="491"/>
      <c r="J11" s="491"/>
      <c r="K11" s="489">
        <f>SUM(K6:K8)</f>
        <v>0</v>
      </c>
      <c r="L11" s="489">
        <f>SUM(L6:L10)</f>
        <v>0</v>
      </c>
      <c r="M11" s="20"/>
      <c r="N11" s="20"/>
    </row>
    <row r="12" spans="1:15" ht="12.75">
      <c r="A12" s="75"/>
      <c r="B12" s="76"/>
      <c r="C12" s="76"/>
      <c r="D12" s="76"/>
      <c r="E12" s="76"/>
      <c r="F12" s="75"/>
      <c r="G12" s="76"/>
      <c r="H12" s="76"/>
      <c r="I12" s="76"/>
      <c r="J12" s="52"/>
      <c r="K12" s="1025">
        <f>SUM(K11:L11)</f>
        <v>0</v>
      </c>
      <c r="L12" s="1026"/>
    </row>
    <row r="26" spans="14:14">
      <c r="N26" s="399"/>
    </row>
  </sheetData>
  <autoFilter ref="A4:M5">
    <filterColumn colId="4" showButton="0"/>
    <filterColumn colId="5" showButton="0"/>
    <filterColumn colId="6" showButton="0"/>
    <filterColumn colId="7" showButton="0"/>
    <filterColumn colId="8" showButton="0"/>
    <filterColumn colId="10" showButton="0"/>
  </autoFilter>
  <mergeCells count="8">
    <mergeCell ref="K12:L12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  <pageSetup paperSize="9" scale="76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0">
    <tabColor theme="1"/>
    <outlinePr summaryBelow="0"/>
    <pageSetUpPr fitToPage="1"/>
  </sheetPr>
  <dimension ref="A1:Q32"/>
  <sheetViews>
    <sheetView zoomScale="85" zoomScaleNormal="85" workbookViewId="0">
      <selection activeCell="G8" sqref="G8"/>
    </sheetView>
  </sheetViews>
  <sheetFormatPr defaultColWidth="11.42578125" defaultRowHeight="12" outlineLevelRow="1"/>
  <cols>
    <col min="1" max="1" width="31.5703125" style="6" bestFit="1" customWidth="1"/>
    <col min="2" max="2" width="11.42578125" style="1" bestFit="1" customWidth="1"/>
    <col min="3" max="4" width="11.42578125" style="1" customWidth="1"/>
    <col min="5" max="5" width="13.42578125" style="1" bestFit="1" customWidth="1"/>
    <col min="6" max="6" width="14.42578125" style="1" customWidth="1"/>
    <col min="7" max="7" width="4.140625" style="6" bestFit="1" customWidth="1"/>
    <col min="8" max="8" width="10.42578125" style="1" bestFit="1" customWidth="1"/>
    <col min="9" max="9" width="12.42578125" style="1" customWidth="1"/>
    <col min="10" max="10" width="10.42578125" style="1" bestFit="1" customWidth="1"/>
    <col min="11" max="11" width="18.5703125" style="1" bestFit="1" customWidth="1"/>
    <col min="12" max="12" width="14.42578125" style="1" customWidth="1"/>
    <col min="13" max="13" width="14.42578125" style="1" bestFit="1" customWidth="1"/>
    <col min="14" max="14" width="13.42578125" style="1" bestFit="1" customWidth="1"/>
    <col min="15" max="15" width="14.42578125" style="1" bestFit="1" customWidth="1"/>
    <col min="16" max="16" width="13.42578125" style="1" bestFit="1" customWidth="1"/>
    <col min="17" max="16384" width="11.42578125" style="1"/>
  </cols>
  <sheetData>
    <row r="1" spans="1:17" ht="12.75">
      <c r="O1" s="89"/>
      <c r="P1" s="8"/>
    </row>
    <row r="2" spans="1:17" ht="12.75">
      <c r="A2" s="1027" t="s">
        <v>71</v>
      </c>
      <c r="B2" s="1027"/>
      <c r="C2" s="1027"/>
      <c r="D2" s="1027"/>
      <c r="E2" s="1027"/>
      <c r="F2" s="1027"/>
      <c r="G2" s="1027"/>
      <c r="H2" s="1027"/>
      <c r="I2" s="1027"/>
      <c r="J2" s="1027"/>
      <c r="K2" s="1027"/>
      <c r="L2" s="1027"/>
      <c r="M2" s="9">
        <f ca="1">TODAY()</f>
        <v>43599</v>
      </c>
      <c r="P2" s="61"/>
    </row>
    <row r="4" spans="1:17" s="2" customFormat="1" ht="25.5">
      <c r="A4" s="1044" t="s">
        <v>2</v>
      </c>
      <c r="B4" s="1032" t="s">
        <v>21</v>
      </c>
      <c r="C4" s="224" t="s">
        <v>109</v>
      </c>
      <c r="D4" s="224" t="s">
        <v>119</v>
      </c>
      <c r="E4" s="1032" t="s">
        <v>12</v>
      </c>
      <c r="F4" s="1028" t="s">
        <v>4</v>
      </c>
      <c r="G4" s="1029"/>
      <c r="H4" s="1029"/>
      <c r="I4" s="1029"/>
      <c r="J4" s="1029"/>
      <c r="K4" s="1030"/>
      <c r="L4" s="1031" t="s">
        <v>13</v>
      </c>
      <c r="M4" s="1032"/>
      <c r="N4" s="1032" t="s">
        <v>96</v>
      </c>
      <c r="P4" s="63"/>
      <c r="Q4" s="63"/>
    </row>
    <row r="5" spans="1:17" s="13" customFormat="1" ht="12.75">
      <c r="A5" s="1045"/>
      <c r="B5" s="1046"/>
      <c r="C5" s="225"/>
      <c r="D5" s="225"/>
      <c r="E5" s="1046"/>
      <c r="F5" s="10" t="s">
        <v>1</v>
      </c>
      <c r="G5" s="11" t="s">
        <v>3</v>
      </c>
      <c r="H5" s="11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  <c r="N5" s="1046"/>
    </row>
    <row r="6" spans="1:17" s="8" customFormat="1" ht="12.75">
      <c r="A6" s="129" t="s">
        <v>39</v>
      </c>
      <c r="B6" s="147">
        <v>40452</v>
      </c>
      <c r="C6" s="149"/>
      <c r="D6" s="149"/>
      <c r="E6" s="137">
        <v>340000</v>
      </c>
      <c r="F6" s="132"/>
      <c r="G6" s="214"/>
      <c r="H6" s="134"/>
      <c r="I6" s="135">
        <f>SUM(I7:I10)</f>
        <v>289788.59000000003</v>
      </c>
      <c r="J6" s="147"/>
      <c r="K6" s="134"/>
      <c r="L6" s="137">
        <f>SUM(L7:L10)</f>
        <v>0</v>
      </c>
      <c r="M6" s="137">
        <f>SUM(M7:M10)</f>
        <v>50211.41</v>
      </c>
      <c r="N6" s="137"/>
      <c r="O6" s="166">
        <f>E6-(I6+L6+M6)</f>
        <v>0</v>
      </c>
    </row>
    <row r="7" spans="1:17" s="26" customFormat="1" ht="12.75" outlineLevel="1">
      <c r="A7" s="46" t="s">
        <v>39</v>
      </c>
      <c r="B7" s="15"/>
      <c r="C7" s="15"/>
      <c r="D7" s="15"/>
      <c r="E7" s="108">
        <f>F7/$E$6</f>
        <v>0.2</v>
      </c>
      <c r="F7" s="23">
        <v>68000</v>
      </c>
      <c r="G7" s="42">
        <v>1</v>
      </c>
      <c r="H7" s="30">
        <v>40453</v>
      </c>
      <c r="I7" s="23">
        <v>68000</v>
      </c>
      <c r="J7" s="30">
        <v>40514</v>
      </c>
      <c r="K7" s="4"/>
      <c r="L7" s="81" t="str">
        <f>IF(I7="en attente",F7,"")</f>
        <v/>
      </c>
      <c r="M7" s="81">
        <f>IF(H7="",F7-I7,0)</f>
        <v>0</v>
      </c>
      <c r="N7" s="16"/>
      <c r="O7" s="166"/>
      <c r="P7" s="27"/>
    </row>
    <row r="8" spans="1:17" s="26" customFormat="1" ht="12.75" outlineLevel="1">
      <c r="A8" s="46" t="s">
        <v>39</v>
      </c>
      <c r="B8" s="15"/>
      <c r="C8" s="15"/>
      <c r="D8" s="15"/>
      <c r="E8" s="108">
        <f>F8/$E$6+E7</f>
        <v>0.8</v>
      </c>
      <c r="F8" s="23">
        <v>204000</v>
      </c>
      <c r="G8" s="42"/>
      <c r="H8" s="15">
        <v>40981</v>
      </c>
      <c r="I8" s="24">
        <v>204000</v>
      </c>
      <c r="J8" s="30">
        <v>41267</v>
      </c>
      <c r="K8" s="4"/>
      <c r="L8" s="81" t="str">
        <f t="shared" ref="L8:L15" si="0">IF(I8="en attente",F8,"")</f>
        <v/>
      </c>
      <c r="M8" s="81">
        <f>IF(H8="",F8-I8,0)</f>
        <v>0</v>
      </c>
      <c r="N8" s="16"/>
      <c r="O8" s="166"/>
      <c r="P8" s="27"/>
    </row>
    <row r="9" spans="1:17" s="26" customFormat="1" ht="12.75" outlineLevel="1">
      <c r="A9" s="46" t="s">
        <v>39</v>
      </c>
      <c r="B9" s="15"/>
      <c r="C9" s="15"/>
      <c r="D9" s="15"/>
      <c r="E9" s="108">
        <f>F9/$E$6+E8</f>
        <v>0.85231938235294125</v>
      </c>
      <c r="F9" s="23">
        <v>17788.59</v>
      </c>
      <c r="G9" s="42"/>
      <c r="H9" s="15">
        <v>41290</v>
      </c>
      <c r="I9" s="24">
        <v>17788.59</v>
      </c>
      <c r="J9" s="30">
        <v>41349</v>
      </c>
      <c r="K9" s="4"/>
      <c r="L9" s="81" t="str">
        <f t="shared" si="0"/>
        <v/>
      </c>
      <c r="M9" s="81">
        <f>IF(H9="",F9-I9,0)</f>
        <v>0</v>
      </c>
      <c r="N9" s="16"/>
      <c r="O9" s="166"/>
      <c r="P9" s="27"/>
    </row>
    <row r="10" spans="1:17" s="26" customFormat="1" outlineLevel="1">
      <c r="A10" s="46" t="s">
        <v>39</v>
      </c>
      <c r="B10" s="15"/>
      <c r="C10" s="15"/>
      <c r="D10" s="15"/>
      <c r="E10" s="108">
        <f>F10/$E$6+E9</f>
        <v>1</v>
      </c>
      <c r="F10" s="110">
        <v>50211.41</v>
      </c>
      <c r="G10" s="42"/>
      <c r="H10" s="15"/>
      <c r="I10" s="24"/>
      <c r="J10" s="30"/>
      <c r="K10" s="4"/>
      <c r="L10" s="81" t="str">
        <f t="shared" si="0"/>
        <v/>
      </c>
      <c r="M10" s="81">
        <f>IF(H10="",F10-I10,0)</f>
        <v>50211.41</v>
      </c>
      <c r="N10" s="16"/>
      <c r="O10" s="91" t="s">
        <v>217</v>
      </c>
      <c r="P10" s="27"/>
    </row>
    <row r="11" spans="1:17" s="107" customFormat="1" ht="12.75">
      <c r="A11" s="119" t="s">
        <v>72</v>
      </c>
      <c r="B11" s="158">
        <v>41091</v>
      </c>
      <c r="C11" s="158"/>
      <c r="D11" s="158"/>
      <c r="E11" s="128">
        <v>20808.98</v>
      </c>
      <c r="F11" s="123"/>
      <c r="G11" s="138"/>
      <c r="H11" s="158"/>
      <c r="I11" s="126">
        <f>SUM(I12)</f>
        <v>0</v>
      </c>
      <c r="J11" s="151"/>
      <c r="K11" s="125"/>
      <c r="L11" s="159">
        <f>SUM(L12)</f>
        <v>20808.98</v>
      </c>
      <c r="M11" s="222">
        <f>SUM(M12)</f>
        <v>0</v>
      </c>
      <c r="N11" s="128"/>
      <c r="O11" s="166">
        <f t="shared" ref="O11:O16" si="1">E11-(I11+L11+M11)</f>
        <v>0</v>
      </c>
      <c r="P11" s="208"/>
    </row>
    <row r="12" spans="1:17" s="26" customFormat="1" ht="12.75">
      <c r="A12" s="118" t="s">
        <v>72</v>
      </c>
      <c r="B12" s="36"/>
      <c r="C12" s="36"/>
      <c r="D12" s="36"/>
      <c r="E12" s="153">
        <f>F12/E11</f>
        <v>1</v>
      </c>
      <c r="F12" s="35">
        <v>20808.98</v>
      </c>
      <c r="G12" s="44">
        <v>1</v>
      </c>
      <c r="H12" s="36">
        <v>41668</v>
      </c>
      <c r="I12" s="154" t="s">
        <v>93</v>
      </c>
      <c r="J12" s="155"/>
      <c r="K12" s="39">
        <f ca="1">$M$2-H12</f>
        <v>1931</v>
      </c>
      <c r="L12" s="157">
        <f t="shared" si="0"/>
        <v>20808.98</v>
      </c>
      <c r="M12" s="221">
        <f>IF(H12="",F12-I12,0)</f>
        <v>0</v>
      </c>
      <c r="N12" s="40"/>
      <c r="O12" s="166"/>
    </row>
    <row r="13" spans="1:17" s="8" customFormat="1" ht="12.75">
      <c r="A13" s="129" t="s">
        <v>79</v>
      </c>
      <c r="B13" s="149">
        <v>40578</v>
      </c>
      <c r="C13" s="149">
        <f>DATE(YEAR(B13),MONTH(B110)+18,DAY(B13))</f>
        <v>41094</v>
      </c>
      <c r="D13" s="149">
        <f>DATE(YEAR(C13),MONTH(C13),DAY(C13)-20)</f>
        <v>41074</v>
      </c>
      <c r="E13" s="137">
        <v>140000</v>
      </c>
      <c r="F13" s="132"/>
      <c r="G13" s="133"/>
      <c r="H13" s="149"/>
      <c r="I13" s="135">
        <f>SUM(I14:I15)</f>
        <v>70000</v>
      </c>
      <c r="J13" s="147"/>
      <c r="K13" s="134"/>
      <c r="L13" s="150">
        <f>SUM(L14:L15)</f>
        <v>70000</v>
      </c>
      <c r="M13" s="150">
        <f>SUM(M14:M15)</f>
        <v>0</v>
      </c>
      <c r="N13" s="137"/>
      <c r="O13" s="166">
        <f t="shared" si="1"/>
        <v>0</v>
      </c>
    </row>
    <row r="14" spans="1:17" ht="12.75" outlineLevel="1">
      <c r="A14" s="46" t="s">
        <v>79</v>
      </c>
      <c r="B14" s="15"/>
      <c r="C14" s="15"/>
      <c r="D14" s="15"/>
      <c r="E14" s="108">
        <f>F14/$E$13</f>
        <v>0.5</v>
      </c>
      <c r="F14" s="23">
        <v>70000</v>
      </c>
      <c r="G14" s="42">
        <v>1</v>
      </c>
      <c r="H14" s="15">
        <v>41485</v>
      </c>
      <c r="I14" s="24">
        <v>70000</v>
      </c>
      <c r="J14" s="30">
        <v>41522</v>
      </c>
      <c r="K14" s="4"/>
      <c r="L14" s="81" t="str">
        <f t="shared" si="0"/>
        <v/>
      </c>
      <c r="M14" s="81">
        <f>IF(H14="",F14-I14,0)</f>
        <v>0</v>
      </c>
      <c r="N14" s="16"/>
      <c r="O14" s="166"/>
    </row>
    <row r="15" spans="1:17" ht="12.75" outlineLevel="1">
      <c r="A15" s="46" t="s">
        <v>79</v>
      </c>
      <c r="B15" s="15"/>
      <c r="C15" s="15"/>
      <c r="D15" s="15"/>
      <c r="E15" s="108">
        <f>F15/$E$13+E14</f>
        <v>1</v>
      </c>
      <c r="F15" s="23">
        <v>70000</v>
      </c>
      <c r="G15" s="42">
        <v>2</v>
      </c>
      <c r="H15" s="15">
        <v>42034</v>
      </c>
      <c r="I15" s="112" t="s">
        <v>93</v>
      </c>
      <c r="J15" s="30"/>
      <c r="K15" s="4"/>
      <c r="L15" s="81">
        <f t="shared" si="0"/>
        <v>70000</v>
      </c>
      <c r="M15" s="81">
        <f>IF(H15="",F15-I15,0)</f>
        <v>0</v>
      </c>
      <c r="N15" s="16"/>
      <c r="O15" s="166"/>
    </row>
    <row r="16" spans="1:17" s="8" customFormat="1" ht="12.75">
      <c r="A16" s="48"/>
      <c r="B16" s="48"/>
      <c r="C16" s="48"/>
      <c r="D16" s="48"/>
      <c r="E16" s="41">
        <f>SUM(E6:E15)</f>
        <v>500814.33231938235</v>
      </c>
      <c r="F16" s="41">
        <f>SUMPRODUCT((DateAF_TCO&lt;&gt;"")*MontantAF_TCO)</f>
        <v>450597.57</v>
      </c>
      <c r="G16" s="49"/>
      <c r="H16" s="50"/>
      <c r="I16" s="41">
        <f>I6+I11+I13</f>
        <v>359788.59</v>
      </c>
      <c r="J16" s="50"/>
      <c r="K16" s="50"/>
      <c r="L16" s="41">
        <f>L6+L11+L13</f>
        <v>90808.98</v>
      </c>
      <c r="M16" s="41">
        <f>M6+M11+M13</f>
        <v>50211.41</v>
      </c>
      <c r="N16" s="41"/>
      <c r="O16" s="166">
        <f t="shared" si="1"/>
        <v>5.3523193823639303</v>
      </c>
      <c r="P16" s="20"/>
    </row>
    <row r="17" spans="1:15" ht="12.75">
      <c r="A17" s="75"/>
      <c r="B17" s="76"/>
      <c r="C17" s="76"/>
      <c r="D17" s="76"/>
      <c r="E17" s="76"/>
      <c r="F17" s="76"/>
      <c r="G17" s="75"/>
      <c r="H17" s="76"/>
      <c r="I17" s="76"/>
      <c r="J17" s="76"/>
      <c r="K17" s="52"/>
      <c r="L17" s="1025">
        <f>SUM(L16:M16)</f>
        <v>141020.39000000001</v>
      </c>
      <c r="M17" s="1026"/>
      <c r="N17" s="76"/>
      <c r="O17" s="27"/>
    </row>
    <row r="18" spans="1:15">
      <c r="I18" s="5" t="s">
        <v>244</v>
      </c>
    </row>
    <row r="20" spans="1:15" ht="12.75">
      <c r="F20" s="369" t="s">
        <v>207</v>
      </c>
      <c r="I20" s="370" t="s">
        <v>209</v>
      </c>
      <c r="L20" s="369" t="s">
        <v>207</v>
      </c>
      <c r="M20" s="370" t="s">
        <v>209</v>
      </c>
    </row>
    <row r="21" spans="1:15">
      <c r="E21" s="493">
        <v>40453</v>
      </c>
      <c r="F21" s="91">
        <f t="shared" ref="F21:F30" si="2">SUMPRODUCT((DateAF_TCO&lt;&gt;"")*(MONTH(DateAF_TCO)=MONTH(E21))*(YEAR(DateAF_TCO)=YEAR(E21))*MontantAF_TCO)</f>
        <v>68000</v>
      </c>
      <c r="H21" s="493">
        <v>40453</v>
      </c>
      <c r="I21" s="91">
        <f t="shared" ref="I21:I30" si="3">SUMPRODUCT((DatePmt_TCO&lt;&gt;"")*(DatePmt_TCO&lt;&gt;"en attente")*(MONTH(DatePmt_TCO)=MONTH(H21))*(YEAR(DatePmt_TCO)=YEAR(H21))*(ISNUMBER(MtntPaye_TCO)),MtntPaye_TCO)</f>
        <v>0</v>
      </c>
      <c r="K21" s="1">
        <v>2010</v>
      </c>
      <c r="L21" s="91">
        <f>SUMPRODUCT((YEAR($E$21:$E$30)=K21)*($F$21:$F$30))</f>
        <v>68000</v>
      </c>
      <c r="M21" s="91">
        <f>SUMPRODUCT((YEAR($H$21:$H$30)=K21)*($I$21:$I$30))</f>
        <v>68000</v>
      </c>
    </row>
    <row r="22" spans="1:15">
      <c r="E22" s="493">
        <v>40514</v>
      </c>
      <c r="F22" s="91">
        <f t="shared" si="2"/>
        <v>0</v>
      </c>
      <c r="H22" s="493">
        <v>40514</v>
      </c>
      <c r="I22" s="91">
        <f t="shared" si="3"/>
        <v>68000</v>
      </c>
      <c r="K22" s="1">
        <v>2012</v>
      </c>
      <c r="L22" s="91">
        <f>SUMPRODUCT((YEAR($E$21:$E$30)=K22)*($F$21:$F$30))</f>
        <v>204000</v>
      </c>
      <c r="M22" s="91">
        <f>SUMPRODUCT((YEAR($H$21:$H$30)=K22)*($I$21:$I$30))</f>
        <v>204000</v>
      </c>
    </row>
    <row r="23" spans="1:15">
      <c r="E23" s="493">
        <v>40981</v>
      </c>
      <c r="F23" s="91">
        <f t="shared" si="2"/>
        <v>204000</v>
      </c>
      <c r="H23" s="493">
        <v>40981</v>
      </c>
      <c r="I23" s="91">
        <f t="shared" si="3"/>
        <v>0</v>
      </c>
      <c r="K23" s="1">
        <v>2013</v>
      </c>
      <c r="L23" s="91">
        <f>SUMPRODUCT((YEAR($E$21:$E$30)=K23)*($F$21:$F$30))</f>
        <v>87788.59</v>
      </c>
      <c r="M23" s="91">
        <f>SUMPRODUCT((YEAR($H$21:$H$30)=K23)*($I$21:$I$30))</f>
        <v>87788.59</v>
      </c>
    </row>
    <row r="24" spans="1:15">
      <c r="E24" s="493">
        <v>41267</v>
      </c>
      <c r="F24" s="91">
        <f t="shared" si="2"/>
        <v>0</v>
      </c>
      <c r="H24" s="493">
        <v>41267</v>
      </c>
      <c r="I24" s="91">
        <f t="shared" si="3"/>
        <v>204000</v>
      </c>
      <c r="K24" s="1">
        <v>2014</v>
      </c>
      <c r="L24" s="91">
        <f>SUMPRODUCT((YEAR($E$21:$E$30)=K24)*($F$21:$F$30))</f>
        <v>20808.98</v>
      </c>
      <c r="M24" s="91">
        <f>SUMPRODUCT((YEAR($H$21:$H$30)=K24)*($I$21:$I$30))</f>
        <v>0</v>
      </c>
    </row>
    <row r="25" spans="1:15">
      <c r="E25" s="493">
        <v>41290</v>
      </c>
      <c r="F25" s="91">
        <f t="shared" si="2"/>
        <v>17788.59</v>
      </c>
      <c r="H25" s="493">
        <v>41290</v>
      </c>
      <c r="I25" s="91">
        <f t="shared" si="3"/>
        <v>0</v>
      </c>
      <c r="K25" s="1">
        <v>2015</v>
      </c>
      <c r="L25" s="91">
        <f>SUMPRODUCT((YEAR($E$21:$E$30)=K25)*($F$21:$F$30))</f>
        <v>70000</v>
      </c>
      <c r="M25" s="91">
        <f>SUMPRODUCT((YEAR($H$21:$H$30)=K25)*($I$21:$I$30))</f>
        <v>0</v>
      </c>
    </row>
    <row r="26" spans="1:15" ht="12.75">
      <c r="E26" s="493">
        <v>41349</v>
      </c>
      <c r="F26" s="91">
        <f t="shared" si="2"/>
        <v>0</v>
      </c>
      <c r="H26" s="493">
        <v>41349</v>
      </c>
      <c r="I26" s="91">
        <f t="shared" si="3"/>
        <v>17788.59</v>
      </c>
      <c r="L26" s="460">
        <f>SUM(L21:L25)</f>
        <v>450597.56999999995</v>
      </c>
      <c r="M26" s="460">
        <f>SUM(M21:M25)</f>
        <v>359788.58999999997</v>
      </c>
    </row>
    <row r="27" spans="1:15" ht="12.75">
      <c r="E27" s="493">
        <v>41485</v>
      </c>
      <c r="F27" s="91">
        <f t="shared" si="2"/>
        <v>70000</v>
      </c>
      <c r="H27" s="493">
        <v>41485</v>
      </c>
      <c r="I27" s="91">
        <f t="shared" si="3"/>
        <v>0</v>
      </c>
      <c r="L27" s="166">
        <f>+L26-F31</f>
        <v>0</v>
      </c>
      <c r="M27" s="166">
        <f>+M26-I31</f>
        <v>0</v>
      </c>
    </row>
    <row r="28" spans="1:15">
      <c r="E28" s="493">
        <v>41522</v>
      </c>
      <c r="F28" s="91">
        <f t="shared" si="2"/>
        <v>0</v>
      </c>
      <c r="H28" s="493">
        <v>41522</v>
      </c>
      <c r="I28" s="91">
        <f t="shared" si="3"/>
        <v>70000</v>
      </c>
    </row>
    <row r="29" spans="1:15">
      <c r="E29" s="493">
        <v>41668</v>
      </c>
      <c r="F29" s="91">
        <f t="shared" si="2"/>
        <v>20808.98</v>
      </c>
      <c r="H29" s="493">
        <v>41668</v>
      </c>
      <c r="I29" s="91">
        <f t="shared" si="3"/>
        <v>0</v>
      </c>
    </row>
    <row r="30" spans="1:15">
      <c r="E30" s="493">
        <v>42034</v>
      </c>
      <c r="F30" s="91">
        <f t="shared" si="2"/>
        <v>70000</v>
      </c>
      <c r="H30" s="493">
        <v>42034</v>
      </c>
      <c r="I30" s="91">
        <f t="shared" si="3"/>
        <v>0</v>
      </c>
    </row>
    <row r="31" spans="1:15" ht="12.75">
      <c r="F31" s="460">
        <f>SUM(F21:F30)</f>
        <v>450597.57</v>
      </c>
      <c r="I31" s="460">
        <f>SUM(I21:I30)</f>
        <v>359788.59</v>
      </c>
    </row>
    <row r="32" spans="1:15" s="161" customFormat="1" ht="12.75">
      <c r="A32" s="465"/>
      <c r="F32" s="166">
        <f>+F31-F16</f>
        <v>0</v>
      </c>
      <c r="G32" s="465"/>
      <c r="I32" s="166">
        <f>+I31-I16</f>
        <v>0</v>
      </c>
    </row>
  </sheetData>
  <autoFilter ref="A4:O5">
    <filterColumn colId="5" showButton="0"/>
    <filterColumn colId="6" showButton="0"/>
    <filterColumn colId="7" showButton="0"/>
    <filterColumn colId="8" showButton="0"/>
    <filterColumn colId="9" showButton="0"/>
    <filterColumn colId="11" showButton="0"/>
  </autoFilter>
  <mergeCells count="8">
    <mergeCell ref="N4:N5"/>
    <mergeCell ref="L17:M17"/>
    <mergeCell ref="A2:L2"/>
    <mergeCell ref="A4:A5"/>
    <mergeCell ref="B4:B5"/>
    <mergeCell ref="E4:E5"/>
    <mergeCell ref="F4:K4"/>
    <mergeCell ref="L4:M4"/>
  </mergeCells>
  <pageMargins left="0.7" right="0.7" top="0.75" bottom="0.75" header="0.3" footer="0.3"/>
  <pageSetup paperSize="9" scale="76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6">
    <tabColor theme="1"/>
    <pageSetUpPr fitToPage="1"/>
  </sheetPr>
  <dimension ref="A1:S25"/>
  <sheetViews>
    <sheetView zoomScaleNormal="100" workbookViewId="0">
      <pane xSplit="1" ySplit="5" topLeftCell="E7" activePane="bottomRight" state="frozen"/>
      <selection pane="topRight" activeCell="B1" sqref="B1"/>
      <selection pane="bottomLeft" activeCell="A6" sqref="A6"/>
      <selection pane="bottomRight" activeCell="L7" sqref="L7:L13"/>
    </sheetView>
  </sheetViews>
  <sheetFormatPr defaultColWidth="11.42578125" defaultRowHeight="12" outlineLevelCol="1"/>
  <cols>
    <col min="1" max="1" width="31.5703125" style="6" bestFit="1" customWidth="1"/>
    <col min="2" max="2" width="30.42578125" style="1" customWidth="1" outlineLevel="1"/>
    <col min="3" max="3" width="11.42578125" style="1" bestFit="1" customWidth="1"/>
    <col min="4" max="4" width="11.42578125" style="1" customWidth="1"/>
    <col min="5" max="5" width="15.5703125" style="1" customWidth="1"/>
    <col min="6" max="6" width="11.42578125" style="1" customWidth="1"/>
    <col min="7" max="7" width="13.42578125" style="1" bestFit="1" customWidth="1"/>
    <col min="8" max="8" width="14.42578125" style="1" customWidth="1"/>
    <col min="9" max="9" width="4.140625" style="6" bestFit="1" customWidth="1"/>
    <col min="10" max="10" width="10.42578125" style="1" bestFit="1" customWidth="1"/>
    <col min="11" max="11" width="12.42578125" style="1" customWidth="1"/>
    <col min="12" max="12" width="10.42578125" style="1" bestFit="1" customWidth="1"/>
    <col min="13" max="13" width="18.5703125" style="1" bestFit="1" customWidth="1"/>
    <col min="14" max="14" width="17.140625" style="1" customWidth="1"/>
    <col min="15" max="15" width="14.42578125" style="1" bestFit="1" customWidth="1"/>
    <col min="16" max="16" width="23.5703125" style="1" customWidth="1"/>
    <col min="17" max="17" width="14.42578125" style="1" bestFit="1" customWidth="1"/>
    <col min="18" max="18" width="13.42578125" style="1" bestFit="1" customWidth="1"/>
    <col min="19" max="16384" width="11.42578125" style="1"/>
  </cols>
  <sheetData>
    <row r="1" spans="1:19" ht="12.75">
      <c r="Q1" s="88"/>
      <c r="R1" s="8"/>
    </row>
    <row r="2" spans="1:19" ht="12.75">
      <c r="A2" s="1027" t="s">
        <v>65</v>
      </c>
      <c r="B2" s="1027"/>
      <c r="C2" s="1027"/>
      <c r="D2" s="1027"/>
      <c r="E2" s="1027"/>
      <c r="F2" s="1027"/>
      <c r="G2" s="1027"/>
      <c r="H2" s="1027"/>
      <c r="I2" s="1027"/>
      <c r="J2" s="1027"/>
      <c r="K2" s="1027"/>
      <c r="L2" s="1027"/>
      <c r="M2" s="1027"/>
      <c r="N2" s="1027"/>
      <c r="O2" s="9">
        <f ca="1">TODAY()</f>
        <v>43599</v>
      </c>
      <c r="P2" s="9"/>
      <c r="R2" s="61"/>
    </row>
    <row r="4" spans="1:19" s="2" customFormat="1" ht="25.5">
      <c r="A4" s="1044" t="s">
        <v>2</v>
      </c>
      <c r="B4" s="1044" t="s">
        <v>0</v>
      </c>
      <c r="C4" s="1032" t="s">
        <v>21</v>
      </c>
      <c r="D4" s="206" t="s">
        <v>114</v>
      </c>
      <c r="E4" s="206" t="s">
        <v>109</v>
      </c>
      <c r="F4" s="206" t="s">
        <v>112</v>
      </c>
      <c r="G4" s="1032" t="s">
        <v>12</v>
      </c>
      <c r="H4" s="1028" t="s">
        <v>4</v>
      </c>
      <c r="I4" s="1029"/>
      <c r="J4" s="1029"/>
      <c r="K4" s="1029"/>
      <c r="L4" s="1029"/>
      <c r="M4" s="1030"/>
      <c r="N4" s="1031" t="s">
        <v>13</v>
      </c>
      <c r="O4" s="1032"/>
      <c r="P4" s="230" t="s">
        <v>125</v>
      </c>
      <c r="Q4" s="1"/>
      <c r="R4" s="63"/>
      <c r="S4" s="63"/>
    </row>
    <row r="5" spans="1:19" s="13" customFormat="1" ht="12.75">
      <c r="A5" s="1045"/>
      <c r="B5" s="1045"/>
      <c r="C5" s="1046"/>
      <c r="D5" s="207"/>
      <c r="E5" s="207"/>
      <c r="F5" s="207"/>
      <c r="G5" s="1046"/>
      <c r="H5" s="10" t="s">
        <v>1</v>
      </c>
      <c r="I5" s="11" t="s">
        <v>3</v>
      </c>
      <c r="J5" s="11" t="s">
        <v>15</v>
      </c>
      <c r="K5" s="12" t="s">
        <v>14</v>
      </c>
      <c r="L5" s="10" t="s">
        <v>15</v>
      </c>
      <c r="M5" s="11" t="s">
        <v>18</v>
      </c>
      <c r="N5" s="3" t="s">
        <v>20</v>
      </c>
      <c r="O5" s="3" t="s">
        <v>19</v>
      </c>
      <c r="P5" s="3"/>
    </row>
    <row r="6" spans="1:19" s="8" customFormat="1" ht="25.5">
      <c r="A6" s="129" t="s">
        <v>63</v>
      </c>
      <c r="B6" s="130" t="s">
        <v>140</v>
      </c>
      <c r="C6" s="147">
        <v>41010</v>
      </c>
      <c r="D6" s="149"/>
      <c r="E6" s="149">
        <v>42004</v>
      </c>
      <c r="F6" s="149"/>
      <c r="G6" s="137">
        <v>241997.58</v>
      </c>
      <c r="H6" s="132"/>
      <c r="I6" s="214"/>
      <c r="J6" s="134"/>
      <c r="K6" s="135">
        <f>SUM(K7:K9)</f>
        <v>201959.72999999998</v>
      </c>
      <c r="L6" s="136"/>
      <c r="M6" s="134"/>
      <c r="N6" s="137">
        <f>SUM(N7:N9)</f>
        <v>0</v>
      </c>
      <c r="O6" s="137">
        <f>SUM(O7:O9)</f>
        <v>0</v>
      </c>
      <c r="P6" s="137"/>
      <c r="Q6" s="164">
        <f>G6-(K6+N6+O6)</f>
        <v>40037.850000000006</v>
      </c>
    </row>
    <row r="7" spans="1:19" s="26" customFormat="1" ht="36.75">
      <c r="A7" s="279" t="s">
        <v>63</v>
      </c>
      <c r="B7" s="298"/>
      <c r="C7" s="284"/>
      <c r="D7" s="284"/>
      <c r="E7" s="280" t="s">
        <v>124</v>
      </c>
      <c r="F7" s="284"/>
      <c r="G7" s="281">
        <f>H7/$G$6</f>
        <v>0.51293058385129309</v>
      </c>
      <c r="H7" s="282">
        <v>124127.96</v>
      </c>
      <c r="I7" s="283">
        <v>1</v>
      </c>
      <c r="J7" s="286">
        <v>40800</v>
      </c>
      <c r="K7" s="282">
        <v>124157.04</v>
      </c>
      <c r="L7" s="286">
        <v>40842</v>
      </c>
      <c r="M7" s="321">
        <f>$L$7-J7</f>
        <v>42</v>
      </c>
      <c r="N7" s="288" t="str">
        <f>IF(K7="en attente",H7,"")</f>
        <v/>
      </c>
      <c r="O7" s="288">
        <f>IF(J7="",H7-K7,0)</f>
        <v>0</v>
      </c>
      <c r="P7" s="364" t="s">
        <v>126</v>
      </c>
      <c r="Q7" s="164"/>
      <c r="R7" s="27"/>
    </row>
    <row r="8" spans="1:19" s="26" customFormat="1" ht="12.75">
      <c r="A8" s="279" t="s">
        <v>63</v>
      </c>
      <c r="B8" s="298"/>
      <c r="C8" s="284"/>
      <c r="D8" s="284"/>
      <c r="E8" s="284"/>
      <c r="F8" s="284"/>
      <c r="G8" s="281">
        <f>H8/$G$6+G7</f>
        <v>0.51293058385129309</v>
      </c>
      <c r="H8" s="282"/>
      <c r="I8" s="283"/>
      <c r="J8" s="284"/>
      <c r="K8" s="282"/>
      <c r="L8" s="286"/>
      <c r="M8" s="298"/>
      <c r="N8" s="288" t="str">
        <f>IF(K8="en attente",H8,"")</f>
        <v/>
      </c>
      <c r="O8" s="288">
        <f t="shared" ref="O8:O13" si="0">IF(J8="",H8-K8,0)</f>
        <v>0</v>
      </c>
      <c r="P8" s="288" t="s">
        <v>141</v>
      </c>
      <c r="Q8" s="164"/>
      <c r="R8" s="27"/>
    </row>
    <row r="9" spans="1:19" s="26" customFormat="1" ht="12.75">
      <c r="A9" s="279" t="s">
        <v>63</v>
      </c>
      <c r="B9" s="298"/>
      <c r="C9" s="284"/>
      <c r="D9" s="284"/>
      <c r="E9" s="284"/>
      <c r="F9" s="284"/>
      <c r="G9" s="429">
        <v>0.83460000000000001</v>
      </c>
      <c r="H9" s="282">
        <v>117869.62</v>
      </c>
      <c r="I9" s="283">
        <v>2</v>
      </c>
      <c r="J9" s="284">
        <v>41171</v>
      </c>
      <c r="K9" s="285">
        <v>77802.69</v>
      </c>
      <c r="L9" s="286">
        <v>42324</v>
      </c>
      <c r="M9" s="298"/>
      <c r="N9" s="288" t="str">
        <f>IF(K9="en attente",H9,"")</f>
        <v/>
      </c>
      <c r="O9" s="288">
        <f t="shared" si="0"/>
        <v>0</v>
      </c>
      <c r="P9" s="288" t="s">
        <v>142</v>
      </c>
      <c r="Q9" s="164"/>
      <c r="R9" s="27"/>
    </row>
    <row r="10" spans="1:19" s="107" customFormat="1" ht="12.75">
      <c r="A10" s="119" t="s">
        <v>64</v>
      </c>
      <c r="B10" s="120" t="s">
        <v>117</v>
      </c>
      <c r="C10" s="158">
        <v>40892</v>
      </c>
      <c r="D10" s="158">
        <v>40823</v>
      </c>
      <c r="E10" s="158">
        <v>42277</v>
      </c>
      <c r="F10" s="158">
        <v>41890</v>
      </c>
      <c r="G10" s="128">
        <v>1470807.68</v>
      </c>
      <c r="H10" s="123"/>
      <c r="I10" s="138"/>
      <c r="J10" s="158"/>
      <c r="K10" s="126">
        <f>SUM(K11:K13)</f>
        <v>1290562.67</v>
      </c>
      <c r="L10" s="127"/>
      <c r="M10" s="125"/>
      <c r="N10" s="159">
        <f>SUM(N11:N13)</f>
        <v>0</v>
      </c>
      <c r="O10" s="159">
        <f>SUM(O11:O13)</f>
        <v>0</v>
      </c>
      <c r="P10" s="159"/>
      <c r="Q10" s="164">
        <f>G10-(K10+N10+O10)</f>
        <v>180245.01</v>
      </c>
      <c r="R10" s="208"/>
    </row>
    <row r="11" spans="1:19" s="220" customFormat="1" ht="12.75">
      <c r="A11" s="279" t="s">
        <v>64</v>
      </c>
      <c r="B11" s="312"/>
      <c r="C11" s="313"/>
      <c r="D11" s="314"/>
      <c r="E11" s="315">
        <v>42338</v>
      </c>
      <c r="F11" s="315"/>
      <c r="G11" s="316">
        <f>H11/$G$10</f>
        <v>0.55022638989755612</v>
      </c>
      <c r="H11" s="317">
        <v>809277.2</v>
      </c>
      <c r="I11" s="318">
        <v>1</v>
      </c>
      <c r="J11" s="315">
        <v>41947</v>
      </c>
      <c r="K11" s="319"/>
      <c r="L11" s="320"/>
      <c r="M11" s="321">
        <f ca="1">$O$2-J11</f>
        <v>1652</v>
      </c>
      <c r="N11" s="322" t="str">
        <f>IF(K11="en attente",H11,"")</f>
        <v/>
      </c>
      <c r="O11" s="322">
        <f>IF(J11="",H11-K11,0)</f>
        <v>0</v>
      </c>
      <c r="P11" s="322" t="s">
        <v>202</v>
      </c>
      <c r="Q11" s="164"/>
    </row>
    <row r="12" spans="1:19" ht="12.2" customHeight="1">
      <c r="A12" s="279" t="s">
        <v>64</v>
      </c>
      <c r="B12" s="302"/>
      <c r="C12" s="284"/>
      <c r="D12" s="284"/>
      <c r="E12" s="284"/>
      <c r="F12" s="284"/>
      <c r="G12" s="281">
        <f>H12/$G$10+G11</f>
        <v>0.88995725804205761</v>
      </c>
      <c r="H12" s="282">
        <v>499678.77</v>
      </c>
      <c r="I12" s="283">
        <v>2</v>
      </c>
      <c r="J12" s="284">
        <v>42334</v>
      </c>
      <c r="K12" s="285">
        <v>1290562.67</v>
      </c>
      <c r="L12" s="286">
        <v>42381</v>
      </c>
      <c r="M12" s="298"/>
      <c r="N12" s="288" t="str">
        <f>IF(K12="en attente",H12,"")</f>
        <v/>
      </c>
      <c r="O12" s="288">
        <f>IF(J12="",H12-K12,0)</f>
        <v>0</v>
      </c>
      <c r="P12" s="288" t="s">
        <v>203</v>
      </c>
      <c r="Q12" s="164"/>
    </row>
    <row r="13" spans="1:19" ht="12.75">
      <c r="A13" s="279"/>
      <c r="B13" s="298"/>
      <c r="C13" s="284"/>
      <c r="D13" s="284"/>
      <c r="E13" s="284"/>
      <c r="F13" s="284"/>
      <c r="G13" s="291"/>
      <c r="H13" s="282"/>
      <c r="I13" s="283"/>
      <c r="J13" s="284"/>
      <c r="K13" s="285"/>
      <c r="L13" s="286"/>
      <c r="M13" s="298"/>
      <c r="N13" s="288"/>
      <c r="O13" s="288">
        <f t="shared" si="0"/>
        <v>0</v>
      </c>
      <c r="P13" s="288"/>
      <c r="Q13" s="164">
        <f>G13-(K13+N13+O13)</f>
        <v>0</v>
      </c>
      <c r="R13" s="27"/>
    </row>
    <row r="14" spans="1:19" s="8" customFormat="1" ht="12.75">
      <c r="A14" s="48"/>
      <c r="B14" s="48"/>
      <c r="C14" s="48"/>
      <c r="D14" s="48"/>
      <c r="E14" s="48"/>
      <c r="F14" s="48"/>
      <c r="G14" s="41">
        <f>G6+G10</f>
        <v>1712805.26</v>
      </c>
      <c r="H14" s="41">
        <f>SUMPRODUCT((DateAF_FEDER&lt;&gt;"")*MontantAF_FEDER)</f>
        <v>1550953.55</v>
      </c>
      <c r="I14" s="49"/>
      <c r="J14" s="50"/>
      <c r="K14" s="41">
        <f>K6+K10</f>
        <v>1492522.4</v>
      </c>
      <c r="L14" s="50"/>
      <c r="M14" s="50"/>
      <c r="N14" s="41">
        <f>N6+N10</f>
        <v>0</v>
      </c>
      <c r="O14" s="41">
        <f>O6+O10</f>
        <v>0</v>
      </c>
      <c r="P14" s="41"/>
      <c r="Q14" s="164">
        <f>G14-(K14+N14+O14)</f>
        <v>220282.8600000001</v>
      </c>
      <c r="R14" s="20"/>
    </row>
    <row r="15" spans="1:19" ht="12.75">
      <c r="A15" s="75"/>
      <c r="B15" s="76"/>
      <c r="C15" s="76"/>
      <c r="D15" s="76"/>
      <c r="E15" s="76"/>
      <c r="F15" s="76"/>
      <c r="G15" s="76"/>
      <c r="H15" s="76"/>
      <c r="I15" s="75"/>
      <c r="J15" s="76"/>
      <c r="K15" s="473"/>
      <c r="L15" s="76"/>
      <c r="M15" s="52"/>
      <c r="N15" s="1025">
        <f>SUM(N14:O14)</f>
        <v>0</v>
      </c>
      <c r="O15" s="1026"/>
    </row>
    <row r="17" spans="1:15" ht="12.75">
      <c r="H17" s="369" t="s">
        <v>207</v>
      </c>
      <c r="K17" s="370" t="s">
        <v>209</v>
      </c>
      <c r="N17" s="369" t="s">
        <v>207</v>
      </c>
      <c r="O17" s="370" t="s">
        <v>209</v>
      </c>
    </row>
    <row r="18" spans="1:15">
      <c r="G18" s="378">
        <v>40787</v>
      </c>
      <c r="H18" s="91">
        <f t="shared" ref="H18:H23" si="1">SUMPRODUCT((DateAF_FEDER&lt;&gt;"")*(MONTH(DateAF_FEDER)=MONTH(G18))*(YEAR(DateAF_FEDER)=YEAR(G18))*MontantAF_FEDER)</f>
        <v>124127.96</v>
      </c>
      <c r="J18" s="378">
        <v>40787</v>
      </c>
      <c r="K18" s="91">
        <f t="shared" ref="K18:K23" si="2">SUMPRODUCT((DatePmt_FEDER&lt;&gt;"")*(DatePmt_FEDER&lt;&gt;"en attente")*(MONTH(DatePmt_FEDER)=MONTH(J18))*(YEAR(DatePmt_FEDER)=YEAR(J18))*(ISNUMBER(MtntPaye_FEDER)),MtntPaye_FEDER)</f>
        <v>0</v>
      </c>
      <c r="M18" s="1">
        <v>2011</v>
      </c>
      <c r="N18" s="91">
        <f t="shared" ref="N18:N23" si="3">SUMPRODUCT((YEAR($G$18:$G$23)=M18)*($H$18:$H$23))</f>
        <v>124127.96</v>
      </c>
      <c r="O18" s="91">
        <f t="shared" ref="O18:O23" si="4">SUMPRODUCT((YEAR($J$18:$J$23)=M18)*($K$18:$K$23))</f>
        <v>124157.04</v>
      </c>
    </row>
    <row r="19" spans="1:15">
      <c r="G19" s="378">
        <v>40817</v>
      </c>
      <c r="H19" s="91">
        <f t="shared" si="1"/>
        <v>0</v>
      </c>
      <c r="J19" s="378">
        <v>40817</v>
      </c>
      <c r="K19" s="91">
        <f t="shared" si="2"/>
        <v>124157.04</v>
      </c>
      <c r="M19" s="1">
        <v>2012</v>
      </c>
      <c r="N19" s="91">
        <f t="shared" si="3"/>
        <v>117869.62</v>
      </c>
      <c r="O19" s="91">
        <f t="shared" si="4"/>
        <v>0</v>
      </c>
    </row>
    <row r="20" spans="1:15">
      <c r="G20" s="378">
        <v>41153</v>
      </c>
      <c r="H20" s="91">
        <f t="shared" si="1"/>
        <v>117869.62</v>
      </c>
      <c r="J20" s="378">
        <v>41153</v>
      </c>
      <c r="K20" s="91">
        <f t="shared" si="2"/>
        <v>0</v>
      </c>
      <c r="M20" s="1">
        <v>2014</v>
      </c>
      <c r="N20" s="91">
        <f t="shared" si="3"/>
        <v>809277.2</v>
      </c>
      <c r="O20" s="91">
        <f t="shared" si="4"/>
        <v>0</v>
      </c>
    </row>
    <row r="21" spans="1:15">
      <c r="G21" s="378">
        <v>41944</v>
      </c>
      <c r="H21" s="91">
        <f t="shared" si="1"/>
        <v>809277.2</v>
      </c>
      <c r="J21" s="378">
        <v>41944</v>
      </c>
      <c r="K21" s="91">
        <f t="shared" si="2"/>
        <v>0</v>
      </c>
      <c r="M21" s="1">
        <v>2015</v>
      </c>
      <c r="N21" s="91">
        <f t="shared" si="3"/>
        <v>499678.77</v>
      </c>
      <c r="O21" s="91">
        <f t="shared" si="4"/>
        <v>77802.69</v>
      </c>
    </row>
    <row r="22" spans="1:15">
      <c r="G22" s="378">
        <v>42309</v>
      </c>
      <c r="H22" s="91">
        <f t="shared" si="1"/>
        <v>499678.77</v>
      </c>
      <c r="J22" s="378">
        <v>42309</v>
      </c>
      <c r="K22" s="91">
        <f t="shared" si="2"/>
        <v>77802.69</v>
      </c>
      <c r="M22" s="1">
        <v>2016</v>
      </c>
      <c r="N22" s="91">
        <f t="shared" si="3"/>
        <v>0</v>
      </c>
      <c r="O22" s="91">
        <f t="shared" si="4"/>
        <v>1290562.67</v>
      </c>
    </row>
    <row r="23" spans="1:15">
      <c r="G23" s="378">
        <v>42370</v>
      </c>
      <c r="H23" s="91">
        <f t="shared" si="1"/>
        <v>0</v>
      </c>
      <c r="J23" s="378">
        <v>42370</v>
      </c>
      <c r="K23" s="91">
        <f t="shared" si="2"/>
        <v>1290562.67</v>
      </c>
      <c r="M23" s="1">
        <v>2017</v>
      </c>
      <c r="N23" s="1">
        <f t="shared" si="3"/>
        <v>0</v>
      </c>
      <c r="O23" s="1">
        <f t="shared" si="4"/>
        <v>0</v>
      </c>
    </row>
    <row r="24" spans="1:15" s="8" customFormat="1" ht="12.75">
      <c r="A24" s="459"/>
      <c r="H24" s="460">
        <f>SUM(H18:H23)</f>
        <v>1550953.55</v>
      </c>
      <c r="I24" s="459"/>
      <c r="K24" s="460">
        <f>SUM(K18:K23)</f>
        <v>1492522.4</v>
      </c>
      <c r="M24" s="1"/>
      <c r="N24" s="460">
        <f>SUM(N18:N23)</f>
        <v>1550953.55</v>
      </c>
      <c r="O24" s="460">
        <f>SUM(O18:O23)</f>
        <v>1492522.4</v>
      </c>
    </row>
    <row r="25" spans="1:15" s="161" customFormat="1" ht="12.75">
      <c r="A25" s="465"/>
      <c r="H25" s="166">
        <f>+H24-H14</f>
        <v>0</v>
      </c>
      <c r="I25" s="465"/>
      <c r="K25" s="166">
        <f>+K24-K14</f>
        <v>0</v>
      </c>
      <c r="M25" s="8"/>
      <c r="N25" s="166">
        <f>+N24-H24</f>
        <v>0</v>
      </c>
      <c r="O25" s="166">
        <f>+O24-K24</f>
        <v>0</v>
      </c>
    </row>
  </sheetData>
  <autoFilter ref="A4:Q5">
    <filterColumn colId="7" showButton="0"/>
    <filterColumn colId="8" showButton="0"/>
    <filterColumn colId="9" showButton="0"/>
    <filterColumn colId="10" showButton="0"/>
    <filterColumn colId="11" showButton="0"/>
    <filterColumn colId="13" showButton="0"/>
  </autoFilter>
  <mergeCells count="8">
    <mergeCell ref="N15:O15"/>
    <mergeCell ref="A2:N2"/>
    <mergeCell ref="A4:A5"/>
    <mergeCell ref="B4:B5"/>
    <mergeCell ref="C4:C5"/>
    <mergeCell ref="G4:G5"/>
    <mergeCell ref="H4:M4"/>
    <mergeCell ref="N4:O4"/>
  </mergeCells>
  <pageMargins left="0.7" right="0.7" top="0.75" bottom="0.75" header="0.3" footer="0.3"/>
  <pageSetup paperSize="9" scale="76" orientation="landscape" r:id="rId1"/>
  <legacy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1">
    <tabColor rgb="FF1CA847"/>
    <pageSetUpPr fitToPage="1"/>
  </sheetPr>
  <dimension ref="A1:Q77"/>
  <sheetViews>
    <sheetView topLeftCell="A10" workbookViewId="0">
      <selection activeCell="A24" sqref="A24"/>
    </sheetView>
  </sheetViews>
  <sheetFormatPr defaultColWidth="11.42578125" defaultRowHeight="12" outlineLevelCol="1"/>
  <cols>
    <col min="1" max="1" width="29.42578125" style="6" customWidth="1"/>
    <col min="2" max="2" width="20.7109375" style="1" customWidth="1" outlineLevel="1"/>
    <col min="3" max="3" width="14.28515625" style="1" customWidth="1"/>
    <col min="4" max="4" width="13.85546875" style="1" customWidth="1"/>
    <col min="5" max="5" width="13.42578125" style="1" bestFit="1" customWidth="1"/>
    <col min="6" max="6" width="14.42578125" style="1" customWidth="1"/>
    <col min="7" max="7" width="4.140625" style="6" bestFit="1" customWidth="1"/>
    <col min="8" max="8" width="10.42578125" style="1" bestFit="1" customWidth="1"/>
    <col min="9" max="9" width="12.42578125" style="1" customWidth="1"/>
    <col min="10" max="10" width="10.42578125" style="1" bestFit="1" customWidth="1"/>
    <col min="11" max="11" width="18.5703125" style="1" bestFit="1" customWidth="1"/>
    <col min="12" max="12" width="14.42578125" style="1" customWidth="1"/>
    <col min="13" max="13" width="14.42578125" style="1" bestFit="1" customWidth="1"/>
    <col min="14" max="14" width="4.140625" style="1" customWidth="1"/>
    <col min="15" max="15" width="14.42578125" style="1" bestFit="1" customWidth="1"/>
    <col min="16" max="16" width="13.42578125" style="1" bestFit="1" customWidth="1"/>
    <col min="17" max="16384" width="11.42578125" style="1"/>
  </cols>
  <sheetData>
    <row r="1" spans="1:17" ht="12.75">
      <c r="O1" s="88"/>
      <c r="P1" s="8"/>
    </row>
    <row r="2" spans="1:17" ht="12.75">
      <c r="A2" s="1027" t="s">
        <v>66</v>
      </c>
      <c r="B2" s="1027"/>
      <c r="C2" s="1027"/>
      <c r="D2" s="1027"/>
      <c r="E2" s="1027"/>
      <c r="F2" s="1027"/>
      <c r="G2" s="1027"/>
      <c r="H2" s="1027"/>
      <c r="I2" s="1027"/>
      <c r="J2" s="1027"/>
      <c r="K2" s="1027"/>
      <c r="L2" s="1027"/>
      <c r="M2" s="9">
        <f ca="1">TODAY()</f>
        <v>43599</v>
      </c>
      <c r="P2" s="61"/>
    </row>
    <row r="4" spans="1:17" s="2" customFormat="1" ht="25.5">
      <c r="A4" s="1044" t="s">
        <v>2</v>
      </c>
      <c r="B4" s="1044" t="s">
        <v>0</v>
      </c>
      <c r="C4" s="1032" t="s">
        <v>21</v>
      </c>
      <c r="D4" s="514" t="s">
        <v>296</v>
      </c>
      <c r="E4" s="1032" t="s">
        <v>12</v>
      </c>
      <c r="F4" s="1028" t="s">
        <v>4</v>
      </c>
      <c r="G4" s="1029"/>
      <c r="H4" s="1029"/>
      <c r="I4" s="1029"/>
      <c r="J4" s="1029"/>
      <c r="K4" s="1030"/>
      <c r="L4" s="1031" t="s">
        <v>13</v>
      </c>
      <c r="M4" s="1032"/>
      <c r="P4" s="63"/>
      <c r="Q4" s="63"/>
    </row>
    <row r="5" spans="1:17" s="13" customFormat="1" ht="12.75">
      <c r="A5" s="1045"/>
      <c r="B5" s="1045"/>
      <c r="C5" s="1046"/>
      <c r="D5" s="515"/>
      <c r="E5" s="1046"/>
      <c r="F5" s="10" t="s">
        <v>1</v>
      </c>
      <c r="G5" s="11" t="s">
        <v>3</v>
      </c>
      <c r="H5" s="11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</row>
    <row r="6" spans="1:17" ht="12.75">
      <c r="A6" s="400" t="s">
        <v>43</v>
      </c>
      <c r="B6" s="401"/>
      <c r="C6" s="350">
        <v>40817</v>
      </c>
      <c r="D6" s="345"/>
      <c r="E6" s="407">
        <v>25600</v>
      </c>
      <c r="F6" s="402"/>
      <c r="G6" s="403"/>
      <c r="H6" s="404"/>
      <c r="I6" s="405"/>
      <c r="J6" s="406"/>
      <c r="K6" s="404"/>
      <c r="L6" s="407"/>
      <c r="M6" s="407"/>
    </row>
    <row r="7" spans="1:17" s="26" customFormat="1">
      <c r="A7" s="332"/>
      <c r="B7" s="351"/>
      <c r="C7" s="345"/>
      <c r="D7" s="345"/>
      <c r="E7" s="353"/>
      <c r="F7" s="347">
        <v>12800</v>
      </c>
      <c r="G7" s="348">
        <v>1</v>
      </c>
      <c r="H7" s="350">
        <v>40841</v>
      </c>
      <c r="I7" s="347">
        <v>12800</v>
      </c>
      <c r="J7" s="350">
        <v>40882</v>
      </c>
      <c r="K7" s="351">
        <f>J7-H7</f>
        <v>41</v>
      </c>
      <c r="L7" s="352">
        <f>+IF(H7="",0,F7-I7)</f>
        <v>0</v>
      </c>
      <c r="M7" s="352">
        <f>IF(H7="",F7-I7,0)</f>
        <v>0</v>
      </c>
      <c r="O7" s="27"/>
      <c r="P7" s="27"/>
    </row>
    <row r="8" spans="1:17" s="26" customFormat="1">
      <c r="A8" s="332"/>
      <c r="B8" s="351"/>
      <c r="C8" s="345"/>
      <c r="D8" s="345"/>
      <c r="E8" s="353"/>
      <c r="F8" s="347">
        <v>7680</v>
      </c>
      <c r="G8" s="348">
        <v>2</v>
      </c>
      <c r="H8" s="345">
        <v>41849</v>
      </c>
      <c r="I8" s="347">
        <v>7680</v>
      </c>
      <c r="J8" s="350">
        <v>41891</v>
      </c>
      <c r="K8" s="351">
        <f>J8-H8</f>
        <v>42</v>
      </c>
      <c r="L8" s="352">
        <f>+IF(H8="",0,F8-I8)</f>
        <v>0</v>
      </c>
      <c r="M8" s="352">
        <f>IF(H8="",F8-I8,0)</f>
        <v>0</v>
      </c>
      <c r="O8" s="27"/>
      <c r="P8" s="27"/>
    </row>
    <row r="9" spans="1:17" s="26" customFormat="1">
      <c r="A9" s="332"/>
      <c r="B9" s="351"/>
      <c r="C9" s="345"/>
      <c r="D9" s="345"/>
      <c r="E9" s="353"/>
      <c r="F9" s="347">
        <v>5120</v>
      </c>
      <c r="G9" s="348">
        <v>3</v>
      </c>
      <c r="H9" s="345">
        <v>42005</v>
      </c>
      <c r="I9" s="349">
        <v>5120</v>
      </c>
      <c r="J9" s="350">
        <v>42129</v>
      </c>
      <c r="K9" s="351"/>
      <c r="L9" s="352">
        <f>+IF(H9="",0,F9-I9)</f>
        <v>0</v>
      </c>
      <c r="M9" s="352">
        <f>IF(H9="",F9-I9,0)</f>
        <v>0</v>
      </c>
      <c r="O9" s="27"/>
      <c r="P9" s="27"/>
    </row>
    <row r="10" spans="1:17" s="8" customFormat="1" ht="12.75">
      <c r="A10" s="535"/>
      <c r="B10" s="536"/>
      <c r="C10" s="535"/>
      <c r="D10" s="542"/>
      <c r="E10" s="537"/>
      <c r="F10" s="538">
        <f>SUM(F6:F9)-L7</f>
        <v>25600</v>
      </c>
      <c r="G10" s="539"/>
      <c r="H10" s="540"/>
      <c r="I10" s="538">
        <f>SUM(I6:I9)</f>
        <v>25600</v>
      </c>
      <c r="J10" s="540"/>
      <c r="K10" s="540"/>
      <c r="L10" s="538">
        <f>SUM(L6:L9)-L7</f>
        <v>0</v>
      </c>
      <c r="M10" s="538">
        <f>SUM(M6:M9)</f>
        <v>0</v>
      </c>
      <c r="O10" s="20"/>
      <c r="P10" s="20"/>
    </row>
    <row r="11" spans="1:17" s="8" customFormat="1" ht="12.75">
      <c r="A11" s="519" t="s">
        <v>403</v>
      </c>
      <c r="B11" s="516" t="s">
        <v>334</v>
      </c>
      <c r="C11" s="541">
        <v>42181</v>
      </c>
      <c r="D11" s="543">
        <v>44008</v>
      </c>
      <c r="E11" s="520">
        <v>9355</v>
      </c>
      <c r="F11" s="520"/>
      <c r="G11" s="527"/>
      <c r="H11" s="521"/>
      <c r="I11" s="517"/>
      <c r="J11" s="521"/>
      <c r="K11" s="518"/>
      <c r="L11" s="520"/>
      <c r="M11" s="81">
        <f>IF(H11="",F11-I11,0)</f>
        <v>0</v>
      </c>
      <c r="O11" s="20" t="s">
        <v>386</v>
      </c>
      <c r="P11" s="20"/>
    </row>
    <row r="12" spans="1:17" s="8" customFormat="1" ht="12.75">
      <c r="A12" s="983" t="s">
        <v>403</v>
      </c>
      <c r="B12" s="523"/>
      <c r="C12" s="525"/>
      <c r="D12" s="544" t="s">
        <v>385</v>
      </c>
      <c r="E12" s="17"/>
      <c r="F12" s="17">
        <v>9355</v>
      </c>
      <c r="G12" s="528"/>
      <c r="H12" s="532"/>
      <c r="I12" s="20"/>
      <c r="J12" s="532"/>
      <c r="K12" s="524"/>
      <c r="L12" s="365" t="str">
        <f>IF(I12="en attente",F12,"")</f>
        <v/>
      </c>
      <c r="M12" s="81">
        <f>IF(H12="",F12-I12,0)</f>
        <v>9355</v>
      </c>
      <c r="O12" s="20"/>
      <c r="P12" s="20"/>
    </row>
    <row r="13" spans="1:17" s="8" customFormat="1" ht="12.75">
      <c r="A13" s="526"/>
      <c r="B13" s="534"/>
      <c r="C13" s="526"/>
      <c r="D13" s="549"/>
      <c r="E13" s="387"/>
      <c r="F13" s="387"/>
      <c r="G13" s="529"/>
      <c r="H13" s="533"/>
      <c r="I13" s="531"/>
      <c r="J13" s="533"/>
      <c r="K13" s="530"/>
      <c r="L13" s="387"/>
      <c r="M13" s="104"/>
      <c r="O13" s="20"/>
      <c r="P13" s="20"/>
    </row>
    <row r="14" spans="1:17" s="8" customFormat="1" ht="12.75">
      <c r="A14" s="632" t="s">
        <v>355</v>
      </c>
      <c r="B14" s="633" t="s">
        <v>335</v>
      </c>
      <c r="C14" s="634">
        <v>42923</v>
      </c>
      <c r="D14" s="837">
        <v>43288</v>
      </c>
      <c r="E14" s="275">
        <v>4200</v>
      </c>
      <c r="F14" s="275"/>
      <c r="G14" s="635"/>
      <c r="H14" s="655"/>
      <c r="I14" s="277"/>
      <c r="J14" s="655"/>
      <c r="K14" s="637"/>
      <c r="L14" s="275"/>
      <c r="M14" s="274"/>
      <c r="O14" s="20"/>
      <c r="P14" s="20"/>
    </row>
    <row r="15" spans="1:17" s="8" customFormat="1" ht="12.75">
      <c r="A15" s="984" t="s">
        <v>355</v>
      </c>
      <c r="B15" s="643"/>
      <c r="C15" s="642"/>
      <c r="D15" s="642"/>
      <c r="E15" s="644"/>
      <c r="F15" s="644">
        <v>4200</v>
      </c>
      <c r="G15" s="645">
        <v>1</v>
      </c>
      <c r="H15" s="656">
        <v>43147</v>
      </c>
      <c r="I15" s="647">
        <v>4200</v>
      </c>
      <c r="J15" s="656">
        <v>43266</v>
      </c>
      <c r="K15" s="648"/>
      <c r="L15" s="644"/>
      <c r="M15" s="649"/>
      <c r="O15" s="20"/>
      <c r="P15" s="20"/>
    </row>
    <row r="16" spans="1:17" s="994" customFormat="1" ht="51">
      <c r="A16" s="985" t="s">
        <v>413</v>
      </c>
      <c r="B16" s="986" t="s">
        <v>337</v>
      </c>
      <c r="C16" s="987">
        <v>42923</v>
      </c>
      <c r="D16" s="988">
        <v>43288</v>
      </c>
      <c r="E16" s="989">
        <v>13720</v>
      </c>
      <c r="F16" s="989">
        <v>13720</v>
      </c>
      <c r="G16" s="990">
        <v>1</v>
      </c>
      <c r="H16" s="991"/>
      <c r="I16" s="992">
        <v>13720</v>
      </c>
      <c r="J16" s="987">
        <v>43340</v>
      </c>
      <c r="K16" s="986"/>
      <c r="L16" s="989"/>
      <c r="M16" s="993"/>
      <c r="O16" s="696"/>
      <c r="P16" s="696"/>
    </row>
    <row r="17" spans="1:16" s="8" customFormat="1" ht="12.75">
      <c r="A17" s="632" t="s">
        <v>299</v>
      </c>
      <c r="B17" s="633" t="s">
        <v>336</v>
      </c>
      <c r="C17" s="634">
        <v>42923</v>
      </c>
      <c r="D17" s="837">
        <v>43288</v>
      </c>
      <c r="E17" s="275">
        <v>7700</v>
      </c>
      <c r="F17" s="275">
        <v>7700</v>
      </c>
      <c r="G17" s="635"/>
      <c r="H17" s="636">
        <v>43087</v>
      </c>
      <c r="I17" s="277">
        <v>7700</v>
      </c>
      <c r="J17" s="636">
        <v>43150</v>
      </c>
      <c r="K17" s="637"/>
      <c r="L17" s="275"/>
      <c r="M17" s="274"/>
      <c r="O17" s="20"/>
      <c r="P17" s="20"/>
    </row>
    <row r="18" spans="1:16" s="8" customFormat="1" ht="12.75">
      <c r="A18" s="632" t="s">
        <v>332</v>
      </c>
      <c r="B18" s="633" t="s">
        <v>333</v>
      </c>
      <c r="C18" s="634">
        <v>43055</v>
      </c>
      <c r="D18" s="837">
        <v>43420</v>
      </c>
      <c r="E18" s="275">
        <v>6860</v>
      </c>
      <c r="F18" s="275"/>
      <c r="G18" s="635"/>
      <c r="H18" s="636"/>
      <c r="I18" s="277"/>
      <c r="J18" s="655"/>
      <c r="K18" s="637"/>
      <c r="L18" s="275"/>
      <c r="M18" s="274"/>
      <c r="O18" s="20"/>
      <c r="P18" s="20"/>
    </row>
    <row r="19" spans="1:16" s="8" customFormat="1" ht="12.75">
      <c r="A19" s="984" t="s">
        <v>332</v>
      </c>
      <c r="B19" s="643"/>
      <c r="C19" s="642"/>
      <c r="D19" s="642"/>
      <c r="E19" s="644"/>
      <c r="F19" s="644">
        <v>6860</v>
      </c>
      <c r="G19" s="645">
        <v>1</v>
      </c>
      <c r="H19" s="656">
        <v>43355</v>
      </c>
      <c r="I19" s="647">
        <v>6860</v>
      </c>
      <c r="J19" s="656">
        <v>43462</v>
      </c>
      <c r="K19" s="648"/>
      <c r="L19" s="644"/>
      <c r="M19" s="649"/>
      <c r="O19" s="20"/>
      <c r="P19" s="20"/>
    </row>
    <row r="20" spans="1:16" s="8" customFormat="1" ht="12.75">
      <c r="A20" s="638" t="s">
        <v>371</v>
      </c>
      <c r="B20" s="639" t="s">
        <v>345</v>
      </c>
      <c r="C20" s="704">
        <v>43206</v>
      </c>
      <c r="D20" s="838">
        <v>43481</v>
      </c>
      <c r="E20" s="292">
        <v>5600</v>
      </c>
      <c r="F20" s="732"/>
      <c r="G20" s="640"/>
      <c r="H20" s="705"/>
      <c r="I20" s="295"/>
      <c r="J20" s="296"/>
      <c r="K20" s="641"/>
      <c r="L20" s="292"/>
      <c r="M20" s="297"/>
      <c r="O20" s="20"/>
      <c r="P20" s="20"/>
    </row>
    <row r="21" spans="1:16" s="8" customFormat="1" ht="12.75">
      <c r="A21" s="995" t="s">
        <v>371</v>
      </c>
      <c r="B21" s="639"/>
      <c r="C21" s="638"/>
      <c r="D21" s="638"/>
      <c r="E21" s="292"/>
      <c r="F21" s="292">
        <v>5600</v>
      </c>
      <c r="G21" s="640">
        <v>1</v>
      </c>
      <c r="H21" s="705">
        <v>43328</v>
      </c>
      <c r="I21" s="295">
        <v>5600</v>
      </c>
      <c r="J21" s="705">
        <v>43462</v>
      </c>
      <c r="K21" s="641"/>
      <c r="L21" s="292"/>
      <c r="M21" s="297"/>
      <c r="O21" s="20"/>
      <c r="P21" s="20"/>
    </row>
    <row r="22" spans="1:16" s="8" customFormat="1" ht="12.75">
      <c r="A22" s="642"/>
      <c r="B22" s="643"/>
      <c r="C22" s="642"/>
      <c r="D22" s="642"/>
      <c r="E22" s="644"/>
      <c r="F22" s="644"/>
      <c r="G22" s="645"/>
      <c r="H22" s="646"/>
      <c r="I22" s="647"/>
      <c r="J22" s="646"/>
      <c r="K22" s="648"/>
      <c r="L22" s="644"/>
      <c r="M22" s="649"/>
      <c r="O22" s="20"/>
      <c r="P22" s="20"/>
    </row>
    <row r="23" spans="1:16" s="8" customFormat="1" ht="12.75">
      <c r="A23" s="886" t="s">
        <v>388</v>
      </c>
      <c r="B23" s="887" t="s">
        <v>389</v>
      </c>
      <c r="C23" s="888">
        <v>43272</v>
      </c>
      <c r="D23" s="889">
        <v>43637</v>
      </c>
      <c r="E23" s="17">
        <v>1575</v>
      </c>
      <c r="F23" s="890"/>
      <c r="G23" s="891"/>
      <c r="H23" s="85"/>
      <c r="I23" s="20"/>
      <c r="J23" s="21"/>
      <c r="K23" s="183"/>
      <c r="L23" s="17"/>
      <c r="M23" s="22"/>
      <c r="O23" s="20"/>
      <c r="P23" s="20"/>
    </row>
    <row r="24" spans="1:16" s="8" customFormat="1" ht="12.75">
      <c r="A24" s="996" t="s">
        <v>388</v>
      </c>
      <c r="B24" s="887"/>
      <c r="C24" s="886"/>
      <c r="D24" s="886"/>
      <c r="E24" s="17"/>
      <c r="F24" s="17">
        <v>1575</v>
      </c>
      <c r="G24" s="891"/>
      <c r="H24" s="85">
        <v>43571</v>
      </c>
      <c r="I24" s="873" t="s">
        <v>281</v>
      </c>
      <c r="J24" s="85"/>
      <c r="K24" s="183"/>
      <c r="L24" s="365">
        <f>IF(I24="en attente",F24,"")</f>
        <v>1575</v>
      </c>
      <c r="M24" s="365">
        <f>IF(H24="",F24-I24,0)</f>
        <v>0</v>
      </c>
      <c r="O24" s="20"/>
      <c r="P24" s="20"/>
    </row>
    <row r="25" spans="1:16" s="8" customFormat="1" ht="12.75">
      <c r="A25" s="892"/>
      <c r="B25" s="893"/>
      <c r="C25" s="892"/>
      <c r="D25" s="892"/>
      <c r="E25" s="387"/>
      <c r="F25" s="387"/>
      <c r="G25" s="894"/>
      <c r="H25" s="895"/>
      <c r="I25" s="531"/>
      <c r="J25" s="895"/>
      <c r="K25" s="896"/>
      <c r="L25" s="387"/>
      <c r="M25" s="104"/>
      <c r="O25" s="20"/>
      <c r="P25" s="20"/>
    </row>
    <row r="26" spans="1:16" ht="12.75">
      <c r="E26" s="62">
        <f>SUM(E6:E25)</f>
        <v>74610</v>
      </c>
      <c r="F26" s="62">
        <f>SUMPRODUCT((DateAF_ADEME&lt;&gt;"")*MontantAF_ADEME)</f>
        <v>51535</v>
      </c>
      <c r="I26" s="62">
        <f>I10+I15+I16+I17+I19+I21</f>
        <v>63680</v>
      </c>
      <c r="L26" s="62">
        <f>SUM(L6:L25)</f>
        <v>1575</v>
      </c>
      <c r="M26" s="62">
        <f>SUM(M6:M25)</f>
        <v>9355</v>
      </c>
    </row>
    <row r="27" spans="1:16" ht="12.75" thickBot="1"/>
    <row r="28" spans="1:16" ht="13.5" thickBot="1">
      <c r="F28" s="743" t="s">
        <v>207</v>
      </c>
      <c r="G28" s="736"/>
      <c r="H28" s="737"/>
      <c r="I28" s="747" t="s">
        <v>209</v>
      </c>
    </row>
    <row r="29" spans="1:16">
      <c r="E29" s="750">
        <v>2011</v>
      </c>
      <c r="F29" s="744">
        <f>SUMPRODUCT((YEAR($E$42:$E$75)=E29)*($F$42:$F$75))</f>
        <v>12800</v>
      </c>
      <c r="G29" s="522"/>
      <c r="H29" s="47"/>
      <c r="I29" s="744">
        <f>SUMPRODUCT((YEAR($E$42:$E$75)=E29)*($I$42:$I$75))</f>
        <v>12800</v>
      </c>
    </row>
    <row r="30" spans="1:16">
      <c r="E30" s="749">
        <v>2012</v>
      </c>
      <c r="F30" s="744">
        <f t="shared" ref="F30:F37" si="0">SUMPRODUCT((YEAR($E$42:$E$75)=E30)*($F$42:$F$75))</f>
        <v>0</v>
      </c>
      <c r="G30" s="522"/>
      <c r="H30" s="47"/>
      <c r="I30" s="744">
        <f t="shared" ref="I30:I37" si="1">SUMPRODUCT((YEAR($E$42:$E$75)=E30)*($I$42:$I$75))</f>
        <v>0</v>
      </c>
    </row>
    <row r="31" spans="1:16">
      <c r="E31" s="749">
        <v>2013</v>
      </c>
      <c r="F31" s="744">
        <f t="shared" si="0"/>
        <v>0</v>
      </c>
      <c r="G31" s="522"/>
      <c r="H31" s="47"/>
      <c r="I31" s="744">
        <f t="shared" si="1"/>
        <v>0</v>
      </c>
    </row>
    <row r="32" spans="1:16">
      <c r="E32" s="749">
        <v>2014</v>
      </c>
      <c r="F32" s="744">
        <f t="shared" si="0"/>
        <v>7680</v>
      </c>
      <c r="G32" s="522"/>
      <c r="H32" s="47"/>
      <c r="I32" s="744">
        <f t="shared" si="1"/>
        <v>7680</v>
      </c>
    </row>
    <row r="33" spans="5:9">
      <c r="E33" s="749">
        <v>2015</v>
      </c>
      <c r="F33" s="744">
        <f t="shared" si="0"/>
        <v>5120</v>
      </c>
      <c r="G33" s="522"/>
      <c r="H33" s="47"/>
      <c r="I33" s="744">
        <f t="shared" si="1"/>
        <v>5120</v>
      </c>
    </row>
    <row r="34" spans="5:9">
      <c r="E34" s="749">
        <v>2016</v>
      </c>
      <c r="F34" s="744">
        <f t="shared" si="0"/>
        <v>0</v>
      </c>
      <c r="G34" s="522"/>
      <c r="H34" s="47"/>
      <c r="I34" s="744">
        <f t="shared" si="1"/>
        <v>0</v>
      </c>
    </row>
    <row r="35" spans="5:9">
      <c r="E35" s="749">
        <v>2017</v>
      </c>
      <c r="F35" s="744">
        <f t="shared" si="0"/>
        <v>7700</v>
      </c>
      <c r="G35" s="522"/>
      <c r="H35" s="47"/>
      <c r="I35" s="744">
        <f t="shared" si="1"/>
        <v>0</v>
      </c>
    </row>
    <row r="36" spans="5:9" ht="12.75" thickBot="1">
      <c r="E36" s="749">
        <v>2018</v>
      </c>
      <c r="F36" s="744">
        <f t="shared" si="0"/>
        <v>16660</v>
      </c>
      <c r="G36" s="522"/>
      <c r="H36" s="47"/>
      <c r="I36" s="744">
        <f t="shared" si="1"/>
        <v>38080</v>
      </c>
    </row>
    <row r="37" spans="5:9" ht="12.75" thickBot="1">
      <c r="E37" s="751">
        <v>2019</v>
      </c>
      <c r="F37" s="745">
        <f t="shared" si="0"/>
        <v>1575</v>
      </c>
      <c r="G37" s="752"/>
      <c r="H37" s="753"/>
      <c r="I37" s="754">
        <f t="shared" si="1"/>
        <v>0</v>
      </c>
    </row>
    <row r="38" spans="5:9" ht="12.75" thickBot="1">
      <c r="E38" s="77"/>
      <c r="F38" s="746">
        <f>SUM(F29:F37)</f>
        <v>51535</v>
      </c>
      <c r="G38" s="741"/>
      <c r="H38" s="742"/>
      <c r="I38" s="746">
        <f>SUM(I29:I36)</f>
        <v>63680</v>
      </c>
    </row>
    <row r="39" spans="5:9">
      <c r="E39" s="77"/>
      <c r="F39" s="91">
        <f>F38-F76</f>
        <v>0</v>
      </c>
      <c r="I39" s="91">
        <f>I38-I76</f>
        <v>0</v>
      </c>
    </row>
    <row r="40" spans="5:9">
      <c r="F40" s="91"/>
    </row>
    <row r="41" spans="5:9" ht="12.75">
      <c r="F41" s="369" t="s">
        <v>207</v>
      </c>
      <c r="I41" s="370" t="s">
        <v>209</v>
      </c>
    </row>
    <row r="42" spans="5:9">
      <c r="E42" s="366">
        <v>40817</v>
      </c>
      <c r="F42" s="373">
        <f t="shared" ref="F42:F75" si="2">SUMPRODUCT((DateAF_ADEME&lt;&gt;"")*(MONTH(DateAF_ADEME)=MONTH(E42))*(YEAR(DateAF_ADEME)=YEAR(E42))*MontantAF_ADEME)</f>
        <v>12800</v>
      </c>
      <c r="I42" s="373">
        <f t="shared" ref="I42:I75" si="3">SUMPRODUCT((DatePmt_ADEME&lt;&gt;"")*(DatePmt_ADEME&lt;&gt;"en attente")*(MONTH(DatePmt_ADEME)=MONTH(E42))*(YEAR(DatePmt_ADEME)=YEAR(E42))*(ISNUMBER(MtntPaye_ADEME)),MtntPaye_ADEME)</f>
        <v>0</v>
      </c>
    </row>
    <row r="43" spans="5:9">
      <c r="E43" s="366">
        <v>40848</v>
      </c>
      <c r="F43" s="373">
        <f t="shared" si="2"/>
        <v>0</v>
      </c>
      <c r="I43" s="373">
        <f t="shared" si="3"/>
        <v>0</v>
      </c>
    </row>
    <row r="44" spans="5:9">
      <c r="E44" s="366">
        <v>40878</v>
      </c>
      <c r="F44" s="373">
        <f t="shared" si="2"/>
        <v>0</v>
      </c>
      <c r="I44" s="373">
        <f t="shared" si="3"/>
        <v>12800</v>
      </c>
    </row>
    <row r="45" spans="5:9">
      <c r="E45" s="366">
        <v>40909</v>
      </c>
      <c r="F45" s="373">
        <f t="shared" si="2"/>
        <v>0</v>
      </c>
      <c r="G45" s="374"/>
      <c r="H45" s="373"/>
      <c r="I45" s="373">
        <f t="shared" si="3"/>
        <v>0</v>
      </c>
    </row>
    <row r="46" spans="5:9">
      <c r="E46" s="366">
        <v>41640</v>
      </c>
      <c r="F46" s="373">
        <f t="shared" si="2"/>
        <v>0</v>
      </c>
      <c r="G46" s="374"/>
      <c r="H46" s="368"/>
      <c r="I46" s="373">
        <f t="shared" si="3"/>
        <v>0</v>
      </c>
    </row>
    <row r="47" spans="5:9">
      <c r="E47" s="366">
        <v>41821</v>
      </c>
      <c r="F47" s="373">
        <f t="shared" si="2"/>
        <v>7680</v>
      </c>
      <c r="G47" s="374"/>
      <c r="H47" s="368"/>
      <c r="I47" s="373">
        <f t="shared" si="3"/>
        <v>0</v>
      </c>
    </row>
    <row r="48" spans="5:9">
      <c r="E48" s="366">
        <v>41883</v>
      </c>
      <c r="F48" s="373">
        <f t="shared" si="2"/>
        <v>0</v>
      </c>
      <c r="G48" s="374"/>
      <c r="H48" s="368"/>
      <c r="I48" s="373">
        <f t="shared" si="3"/>
        <v>7680</v>
      </c>
    </row>
    <row r="49" spans="5:9">
      <c r="E49" s="366">
        <v>42005</v>
      </c>
      <c r="F49" s="373">
        <f t="shared" si="2"/>
        <v>5120</v>
      </c>
      <c r="G49" s="374"/>
      <c r="H49" s="368"/>
      <c r="I49" s="373">
        <f t="shared" si="3"/>
        <v>0</v>
      </c>
    </row>
    <row r="50" spans="5:9">
      <c r="E50" s="366">
        <v>42125</v>
      </c>
      <c r="F50" s="373">
        <f t="shared" si="2"/>
        <v>0</v>
      </c>
      <c r="G50" s="374"/>
      <c r="H50" s="368"/>
      <c r="I50" s="373">
        <f t="shared" si="3"/>
        <v>5120</v>
      </c>
    </row>
    <row r="51" spans="5:9">
      <c r="E51" s="366">
        <v>43070</v>
      </c>
      <c r="F51" s="373">
        <f t="shared" si="2"/>
        <v>7700</v>
      </c>
      <c r="G51" s="374"/>
      <c r="H51" s="368"/>
      <c r="I51" s="373">
        <f t="shared" si="3"/>
        <v>0</v>
      </c>
    </row>
    <row r="52" spans="5:9">
      <c r="E52" s="366">
        <v>43101</v>
      </c>
      <c r="F52" s="373">
        <f t="shared" si="2"/>
        <v>0</v>
      </c>
      <c r="G52" s="374"/>
      <c r="H52" s="368"/>
      <c r="I52" s="373">
        <f t="shared" si="3"/>
        <v>0</v>
      </c>
    </row>
    <row r="53" spans="5:9">
      <c r="E53" s="366">
        <v>43132</v>
      </c>
      <c r="F53" s="373">
        <f t="shared" si="2"/>
        <v>4200</v>
      </c>
      <c r="G53" s="374"/>
      <c r="H53" s="368"/>
      <c r="I53" s="373">
        <f t="shared" si="3"/>
        <v>7700</v>
      </c>
    </row>
    <row r="54" spans="5:9">
      <c r="E54" s="366">
        <v>43160</v>
      </c>
      <c r="F54" s="373">
        <f t="shared" si="2"/>
        <v>0</v>
      </c>
      <c r="G54" s="374"/>
      <c r="H54" s="368"/>
      <c r="I54" s="373">
        <f t="shared" si="3"/>
        <v>0</v>
      </c>
    </row>
    <row r="55" spans="5:9">
      <c r="E55" s="366">
        <v>43191</v>
      </c>
      <c r="F55" s="373">
        <f t="shared" si="2"/>
        <v>0</v>
      </c>
      <c r="G55" s="374"/>
      <c r="H55" s="368"/>
      <c r="I55" s="373">
        <f t="shared" si="3"/>
        <v>0</v>
      </c>
    </row>
    <row r="56" spans="5:9">
      <c r="E56" s="366">
        <v>43221</v>
      </c>
      <c r="F56" s="373">
        <f t="shared" si="2"/>
        <v>0</v>
      </c>
      <c r="G56" s="374"/>
      <c r="H56" s="368"/>
      <c r="I56" s="373">
        <f t="shared" si="3"/>
        <v>0</v>
      </c>
    </row>
    <row r="57" spans="5:9">
      <c r="E57" s="366">
        <v>43252</v>
      </c>
      <c r="F57" s="373">
        <f t="shared" si="2"/>
        <v>0</v>
      </c>
      <c r="G57" s="374"/>
      <c r="H57" s="368"/>
      <c r="I57" s="373">
        <f t="shared" si="3"/>
        <v>4200</v>
      </c>
    </row>
    <row r="58" spans="5:9">
      <c r="E58" s="366">
        <v>43282</v>
      </c>
      <c r="F58" s="373">
        <f t="shared" si="2"/>
        <v>0</v>
      </c>
      <c r="G58" s="374"/>
      <c r="H58" s="368"/>
      <c r="I58" s="373">
        <f t="shared" si="3"/>
        <v>0</v>
      </c>
    </row>
    <row r="59" spans="5:9">
      <c r="E59" s="366">
        <v>43313</v>
      </c>
      <c r="F59" s="373">
        <f t="shared" si="2"/>
        <v>5600</v>
      </c>
      <c r="G59" s="374"/>
      <c r="H59" s="368"/>
      <c r="I59" s="373">
        <f t="shared" si="3"/>
        <v>13720</v>
      </c>
    </row>
    <row r="60" spans="5:9">
      <c r="E60" s="366">
        <v>43344</v>
      </c>
      <c r="F60" s="373">
        <f t="shared" si="2"/>
        <v>6860</v>
      </c>
      <c r="G60" s="374"/>
      <c r="H60" s="368"/>
      <c r="I60" s="373">
        <f t="shared" si="3"/>
        <v>0</v>
      </c>
    </row>
    <row r="61" spans="5:9">
      <c r="E61" s="366">
        <v>43374</v>
      </c>
      <c r="F61" s="373">
        <f t="shared" si="2"/>
        <v>0</v>
      </c>
      <c r="G61" s="374"/>
      <c r="H61" s="368"/>
      <c r="I61" s="373">
        <f t="shared" si="3"/>
        <v>0</v>
      </c>
    </row>
    <row r="62" spans="5:9">
      <c r="E62" s="366">
        <v>43405</v>
      </c>
      <c r="F62" s="373">
        <f t="shared" si="2"/>
        <v>0</v>
      </c>
      <c r="G62" s="374"/>
      <c r="H62" s="368"/>
      <c r="I62" s="373">
        <f t="shared" si="3"/>
        <v>0</v>
      </c>
    </row>
    <row r="63" spans="5:9">
      <c r="E63" s="366">
        <v>43435</v>
      </c>
      <c r="F63" s="373">
        <f t="shared" si="2"/>
        <v>0</v>
      </c>
      <c r="G63" s="374"/>
      <c r="H63" s="368"/>
      <c r="I63" s="373">
        <f t="shared" si="3"/>
        <v>12460</v>
      </c>
    </row>
    <row r="64" spans="5:9">
      <c r="E64" s="366">
        <v>43466</v>
      </c>
      <c r="F64" s="373">
        <f t="shared" si="2"/>
        <v>0</v>
      </c>
      <c r="G64" s="374"/>
      <c r="H64" s="368"/>
      <c r="I64" s="373">
        <f t="shared" si="3"/>
        <v>0</v>
      </c>
    </row>
    <row r="65" spans="5:9">
      <c r="E65" s="366">
        <v>43497</v>
      </c>
      <c r="F65" s="373">
        <f t="shared" si="2"/>
        <v>0</v>
      </c>
      <c r="G65" s="374"/>
      <c r="H65" s="368"/>
      <c r="I65" s="373">
        <f t="shared" si="3"/>
        <v>0</v>
      </c>
    </row>
    <row r="66" spans="5:9">
      <c r="E66" s="366">
        <v>43525</v>
      </c>
      <c r="F66" s="373">
        <f t="shared" si="2"/>
        <v>0</v>
      </c>
      <c r="G66" s="374"/>
      <c r="H66" s="368"/>
      <c r="I66" s="373">
        <f t="shared" si="3"/>
        <v>0</v>
      </c>
    </row>
    <row r="67" spans="5:9">
      <c r="E67" s="366">
        <v>43556</v>
      </c>
      <c r="F67" s="373">
        <f t="shared" si="2"/>
        <v>1575</v>
      </c>
      <c r="G67" s="374"/>
      <c r="H67" s="368"/>
      <c r="I67" s="373">
        <f t="shared" si="3"/>
        <v>0</v>
      </c>
    </row>
    <row r="68" spans="5:9">
      <c r="E68" s="366">
        <v>43586</v>
      </c>
      <c r="F68" s="373">
        <f t="shared" si="2"/>
        <v>0</v>
      </c>
      <c r="G68" s="374"/>
      <c r="H68" s="368"/>
      <c r="I68" s="373">
        <f t="shared" si="3"/>
        <v>0</v>
      </c>
    </row>
    <row r="69" spans="5:9">
      <c r="E69" s="366">
        <v>43617</v>
      </c>
      <c r="F69" s="373">
        <f t="shared" si="2"/>
        <v>0</v>
      </c>
      <c r="G69" s="374"/>
      <c r="H69" s="368"/>
      <c r="I69" s="373">
        <f t="shared" si="3"/>
        <v>0</v>
      </c>
    </row>
    <row r="70" spans="5:9">
      <c r="E70" s="366">
        <v>43647</v>
      </c>
      <c r="F70" s="373">
        <f t="shared" si="2"/>
        <v>0</v>
      </c>
      <c r="G70" s="374"/>
      <c r="H70" s="368"/>
      <c r="I70" s="373">
        <f t="shared" si="3"/>
        <v>0</v>
      </c>
    </row>
    <row r="71" spans="5:9">
      <c r="E71" s="366">
        <v>43678</v>
      </c>
      <c r="F71" s="373">
        <f t="shared" si="2"/>
        <v>0</v>
      </c>
      <c r="G71" s="374"/>
      <c r="H71" s="368"/>
      <c r="I71" s="373">
        <f t="shared" si="3"/>
        <v>0</v>
      </c>
    </row>
    <row r="72" spans="5:9">
      <c r="E72" s="366">
        <v>43709</v>
      </c>
      <c r="F72" s="373">
        <f t="shared" si="2"/>
        <v>0</v>
      </c>
      <c r="G72" s="374"/>
      <c r="H72" s="368"/>
      <c r="I72" s="373">
        <f t="shared" si="3"/>
        <v>0</v>
      </c>
    </row>
    <row r="73" spans="5:9">
      <c r="E73" s="366">
        <v>43739</v>
      </c>
      <c r="F73" s="373">
        <f t="shared" si="2"/>
        <v>0</v>
      </c>
      <c r="G73" s="374"/>
      <c r="H73" s="368"/>
      <c r="I73" s="373">
        <f t="shared" si="3"/>
        <v>0</v>
      </c>
    </row>
    <row r="74" spans="5:9">
      <c r="E74" s="366">
        <v>43770</v>
      </c>
      <c r="F74" s="373">
        <f t="shared" si="2"/>
        <v>0</v>
      </c>
      <c r="G74" s="374"/>
      <c r="H74" s="368"/>
      <c r="I74" s="373">
        <f t="shared" si="3"/>
        <v>0</v>
      </c>
    </row>
    <row r="75" spans="5:9">
      <c r="E75" s="366">
        <v>43800</v>
      </c>
      <c r="F75" s="373">
        <f t="shared" si="2"/>
        <v>0</v>
      </c>
      <c r="G75" s="374"/>
      <c r="H75" s="368"/>
      <c r="I75" s="373">
        <f t="shared" si="3"/>
        <v>0</v>
      </c>
    </row>
    <row r="76" spans="5:9">
      <c r="F76" s="375">
        <f>SUM(F42:F75)</f>
        <v>51535</v>
      </c>
      <c r="G76" s="374"/>
      <c r="H76" s="368"/>
      <c r="I76" s="375">
        <f>SUM(I42:I75)</f>
        <v>63680</v>
      </c>
    </row>
    <row r="77" spans="5:9">
      <c r="F77" s="91">
        <f>F76-F26</f>
        <v>0</v>
      </c>
      <c r="I77" s="91">
        <f>I76-I26</f>
        <v>0</v>
      </c>
    </row>
  </sheetData>
  <mergeCells count="7">
    <mergeCell ref="A2:L2"/>
    <mergeCell ref="A4:A5"/>
    <mergeCell ref="B4:B5"/>
    <mergeCell ref="C4:C5"/>
    <mergeCell ref="E4:E5"/>
    <mergeCell ref="F4:K4"/>
    <mergeCell ref="L4:M4"/>
  </mergeCells>
  <pageMargins left="0.7" right="0.7" top="0.75" bottom="0.75" header="0.3" footer="0.3"/>
  <pageSetup paperSize="9" scale="85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2">
    <tabColor rgb="FF1CA847"/>
    <pageSetUpPr fitToPage="1"/>
  </sheetPr>
  <dimension ref="A1:P55"/>
  <sheetViews>
    <sheetView workbookViewId="0">
      <selection activeCell="A15" sqref="A15:A16"/>
    </sheetView>
  </sheetViews>
  <sheetFormatPr defaultColWidth="11.42578125" defaultRowHeight="12"/>
  <cols>
    <col min="1" max="1" width="31.5703125" style="6" bestFit="1" customWidth="1"/>
    <col min="2" max="2" width="11.42578125" style="1" bestFit="1" customWidth="1"/>
    <col min="3" max="3" width="13.42578125" style="1" bestFit="1" customWidth="1"/>
    <col min="4" max="4" width="14.42578125" style="1" customWidth="1"/>
    <col min="5" max="5" width="4.140625" style="6" bestFit="1" customWidth="1"/>
    <col min="6" max="6" width="10.42578125" style="1" bestFit="1" customWidth="1"/>
    <col min="7" max="7" width="12.42578125" style="1" customWidth="1"/>
    <col min="8" max="8" width="10.42578125" style="1" bestFit="1" customWidth="1"/>
    <col min="9" max="9" width="18.5703125" style="1" bestFit="1" customWidth="1"/>
    <col min="10" max="10" width="14.42578125" style="1" customWidth="1"/>
    <col min="11" max="11" width="14.42578125" style="1" bestFit="1" customWidth="1"/>
    <col min="12" max="12" width="12.28515625" style="1" customWidth="1"/>
    <col min="13" max="13" width="14.42578125" style="1" bestFit="1" customWidth="1"/>
    <col min="14" max="14" width="13.42578125" style="1" bestFit="1" customWidth="1"/>
    <col min="15" max="16384" width="11.42578125" style="1"/>
  </cols>
  <sheetData>
    <row r="1" spans="1:16" ht="12.75">
      <c r="M1" s="92"/>
      <c r="N1" s="8"/>
    </row>
    <row r="2" spans="1:16" ht="12.75">
      <c r="A2" s="1027" t="s">
        <v>81</v>
      </c>
      <c r="B2" s="1027"/>
      <c r="C2" s="1027"/>
      <c r="D2" s="1027"/>
      <c r="E2" s="1027"/>
      <c r="F2" s="1027"/>
      <c r="G2" s="1027"/>
      <c r="H2" s="1027"/>
      <c r="I2" s="1027"/>
      <c r="J2" s="1027"/>
      <c r="K2" s="9">
        <f ca="1">TODAY()</f>
        <v>43599</v>
      </c>
      <c r="N2" s="61"/>
    </row>
    <row r="4" spans="1:16" s="2" customFormat="1" ht="12.75">
      <c r="A4" s="1044" t="s">
        <v>2</v>
      </c>
      <c r="B4" s="1032" t="s">
        <v>21</v>
      </c>
      <c r="C4" s="1032" t="s">
        <v>12</v>
      </c>
      <c r="D4" s="1028" t="s">
        <v>4</v>
      </c>
      <c r="E4" s="1029"/>
      <c r="F4" s="1029"/>
      <c r="G4" s="1029"/>
      <c r="H4" s="1029"/>
      <c r="I4" s="1030"/>
      <c r="J4" s="1031" t="s">
        <v>13</v>
      </c>
      <c r="K4" s="1032"/>
      <c r="N4" s="63"/>
      <c r="O4" s="63"/>
    </row>
    <row r="5" spans="1:16" s="13" customFormat="1" ht="12.75">
      <c r="A5" s="1045"/>
      <c r="B5" s="1046"/>
      <c r="C5" s="1046"/>
      <c r="D5" s="10" t="s">
        <v>1</v>
      </c>
      <c r="E5" s="11" t="s">
        <v>3</v>
      </c>
      <c r="F5" s="11" t="s">
        <v>15</v>
      </c>
      <c r="G5" s="12" t="s">
        <v>14</v>
      </c>
      <c r="H5" s="10" t="s">
        <v>15</v>
      </c>
      <c r="I5" s="11" t="s">
        <v>18</v>
      </c>
      <c r="J5" s="3" t="s">
        <v>20</v>
      </c>
      <c r="K5" s="3" t="s">
        <v>19</v>
      </c>
    </row>
    <row r="6" spans="1:16" s="107" customFormat="1" ht="12.75">
      <c r="A6" s="272" t="s">
        <v>77</v>
      </c>
      <c r="B6" s="273">
        <v>40449</v>
      </c>
      <c r="C6" s="274">
        <v>1125260</v>
      </c>
      <c r="D6" s="273"/>
      <c r="E6" s="274"/>
      <c r="F6" s="275"/>
      <c r="G6" s="276">
        <f>SUM(G7:G9)</f>
        <v>1125260</v>
      </c>
      <c r="H6" s="273"/>
      <c r="I6" s="277"/>
      <c r="J6" s="278">
        <f>SUM(J7:J9)</f>
        <v>0</v>
      </c>
      <c r="K6" s="278">
        <f>SUM(K7:K9)</f>
        <v>0</v>
      </c>
      <c r="L6" s="227">
        <f>C6-(G6+J6+K6)</f>
        <v>0</v>
      </c>
      <c r="M6" s="13"/>
      <c r="N6" s="13"/>
      <c r="O6" s="166"/>
      <c r="P6" s="208"/>
    </row>
    <row r="7" spans="1:16" s="26" customFormat="1">
      <c r="A7" s="279" t="s">
        <v>77</v>
      </c>
      <c r="B7" s="284"/>
      <c r="C7" s="281">
        <f>D7/$C$6</f>
        <v>0.32881289657501378</v>
      </c>
      <c r="D7" s="282">
        <v>370000</v>
      </c>
      <c r="E7" s="283">
        <v>1</v>
      </c>
      <c r="F7" s="286">
        <v>40666</v>
      </c>
      <c r="G7" s="282">
        <v>370000</v>
      </c>
      <c r="H7" s="286">
        <v>40710</v>
      </c>
      <c r="I7" s="287">
        <f>IF(H7="",$K$2-F7,H7-F7)</f>
        <v>44</v>
      </c>
      <c r="J7" s="288" t="str">
        <f>IF(G7="en attente",F7,"")</f>
        <v/>
      </c>
      <c r="K7" s="288">
        <f>IF(F7="",D7-G7,0)</f>
        <v>0</v>
      </c>
      <c r="L7" s="226"/>
      <c r="M7" s="13"/>
      <c r="N7" s="13"/>
    </row>
    <row r="8" spans="1:16" s="26" customFormat="1">
      <c r="A8" s="279" t="s">
        <v>77</v>
      </c>
      <c r="B8" s="284"/>
      <c r="C8" s="281">
        <f>D8/$C$6+C7</f>
        <v>0.65499973339494866</v>
      </c>
      <c r="D8" s="282">
        <v>367045</v>
      </c>
      <c r="E8" s="283">
        <v>2</v>
      </c>
      <c r="F8" s="284">
        <v>41003</v>
      </c>
      <c r="G8" s="285">
        <v>367045</v>
      </c>
      <c r="H8" s="286">
        <v>41247</v>
      </c>
      <c r="I8" s="287">
        <f t="shared" ref="I8:I13" si="0">IF(H8="",$K$2-F8,H8-F8)</f>
        <v>244</v>
      </c>
      <c r="J8" s="288" t="str">
        <f>IF(G8="en attente",F8,"")</f>
        <v/>
      </c>
      <c r="K8" s="288">
        <f>IF(F8="",D8-G8,0)</f>
        <v>0</v>
      </c>
      <c r="L8" s="226"/>
      <c r="M8" s="13"/>
      <c r="N8" s="13"/>
    </row>
    <row r="9" spans="1:16" s="26" customFormat="1">
      <c r="A9" s="279" t="s">
        <v>77</v>
      </c>
      <c r="B9" s="284"/>
      <c r="C9" s="281">
        <f>D9/$C$6+C8</f>
        <v>1</v>
      </c>
      <c r="D9" s="282">
        <v>388215</v>
      </c>
      <c r="E9" s="283">
        <v>3</v>
      </c>
      <c r="F9" s="284">
        <v>42206</v>
      </c>
      <c r="G9" s="285">
        <v>388215</v>
      </c>
      <c r="H9" s="286">
        <v>42380</v>
      </c>
      <c r="I9" s="287">
        <f t="shared" si="0"/>
        <v>174</v>
      </c>
      <c r="J9" s="288" t="str">
        <f>IF(G9="en attente",D9,"")</f>
        <v/>
      </c>
      <c r="K9" s="288">
        <f>IF(F9="",D9-G9,0)</f>
        <v>0</v>
      </c>
      <c r="L9" s="226"/>
      <c r="M9" s="13"/>
      <c r="N9" s="13"/>
    </row>
    <row r="10" spans="1:16" s="107" customFormat="1" ht="12.75">
      <c r="A10" s="272" t="s">
        <v>78</v>
      </c>
      <c r="B10" s="273">
        <v>40449</v>
      </c>
      <c r="C10" s="274">
        <f>706937</f>
        <v>706937</v>
      </c>
      <c r="D10" s="273"/>
      <c r="E10" s="274"/>
      <c r="F10" s="275"/>
      <c r="G10" s="276">
        <f>SUM(G11:G13)</f>
        <v>701154</v>
      </c>
      <c r="H10" s="273"/>
      <c r="I10" s="277"/>
      <c r="J10" s="278">
        <f>SUM(J11:J13)</f>
        <v>0</v>
      </c>
      <c r="K10" s="278">
        <f>SUM(K11:K13)</f>
        <v>0</v>
      </c>
      <c r="L10" s="227">
        <f>C10-(G10+J10+K10)</f>
        <v>5783</v>
      </c>
      <c r="M10" s="13"/>
      <c r="N10" s="13"/>
      <c r="O10" s="166"/>
      <c r="P10" s="208"/>
    </row>
    <row r="11" spans="1:16" s="26" customFormat="1">
      <c r="A11" s="279" t="s">
        <v>78</v>
      </c>
      <c r="B11" s="280"/>
      <c r="C11" s="281">
        <f>D11/$C$10</f>
        <v>0.35363830157425624</v>
      </c>
      <c r="D11" s="282">
        <v>250000</v>
      </c>
      <c r="E11" s="283">
        <v>1</v>
      </c>
      <c r="F11" s="284">
        <v>40666</v>
      </c>
      <c r="G11" s="285">
        <v>250000</v>
      </c>
      <c r="H11" s="286">
        <v>40710</v>
      </c>
      <c r="I11" s="287">
        <f t="shared" si="0"/>
        <v>44</v>
      </c>
      <c r="J11" s="288" t="str">
        <f>IF(G11="en attente",F11,"")</f>
        <v/>
      </c>
      <c r="K11" s="288">
        <f>IF(F11="",D11-G11,0)</f>
        <v>0</v>
      </c>
      <c r="L11" s="226"/>
      <c r="M11" s="13"/>
      <c r="N11" s="13"/>
    </row>
    <row r="12" spans="1:16" s="26" customFormat="1">
      <c r="A12" s="279" t="s">
        <v>78</v>
      </c>
      <c r="B12" s="280"/>
      <c r="C12" s="281">
        <f>D12/$C$10+C11</f>
        <v>0.70000014145532063</v>
      </c>
      <c r="D12" s="282">
        <v>244856</v>
      </c>
      <c r="E12" s="283">
        <v>2</v>
      </c>
      <c r="F12" s="284">
        <v>41003</v>
      </c>
      <c r="G12" s="285">
        <v>244856</v>
      </c>
      <c r="H12" s="286">
        <v>41247</v>
      </c>
      <c r="I12" s="287">
        <f t="shared" si="0"/>
        <v>244</v>
      </c>
      <c r="J12" s="288" t="str">
        <f>IF(G12="en attente",F12,"")</f>
        <v/>
      </c>
      <c r="K12" s="288"/>
      <c r="L12" s="226"/>
      <c r="M12" s="13"/>
      <c r="N12" s="13"/>
    </row>
    <row r="13" spans="1:16">
      <c r="A13" s="279" t="s">
        <v>78</v>
      </c>
      <c r="B13" s="284"/>
      <c r="C13" s="281">
        <f>D13/$C$10+C12</f>
        <v>0.99181963880798429</v>
      </c>
      <c r="D13" s="282">
        <v>206298</v>
      </c>
      <c r="E13" s="283">
        <v>3</v>
      </c>
      <c r="F13" s="284">
        <v>42208</v>
      </c>
      <c r="G13" s="285">
        <v>206298</v>
      </c>
      <c r="H13" s="286">
        <v>42353</v>
      </c>
      <c r="I13" s="287">
        <f t="shared" si="0"/>
        <v>145</v>
      </c>
      <c r="J13" s="288" t="str">
        <f>IF(G13="en attente",D13,"")</f>
        <v/>
      </c>
      <c r="K13" s="288">
        <f>IF(F13="",D13-G13,0)</f>
        <v>0</v>
      </c>
      <c r="L13" s="271" t="s">
        <v>154</v>
      </c>
      <c r="M13" s="13"/>
      <c r="N13" s="13"/>
    </row>
    <row r="14" spans="1:16" s="456" customFormat="1" ht="12.75">
      <c r="A14" s="261" t="s">
        <v>261</v>
      </c>
      <c r="B14" s="508">
        <v>42650</v>
      </c>
      <c r="C14" s="509">
        <v>92042.64</v>
      </c>
      <c r="D14" s="520"/>
      <c r="E14" s="722"/>
      <c r="F14" s="508"/>
      <c r="G14" s="517">
        <f>SUM(G15:G16)</f>
        <v>46021.32</v>
      </c>
      <c r="H14" s="681"/>
      <c r="I14" s="723"/>
      <c r="J14" s="682">
        <f>SUM(J15:J16)</f>
        <v>0</v>
      </c>
      <c r="K14" s="682">
        <f>SUM(K15:K16)</f>
        <v>46021.32</v>
      </c>
      <c r="L14" s="505"/>
      <c r="M14" s="506"/>
      <c r="N14" s="506"/>
    </row>
    <row r="15" spans="1:16" s="456" customFormat="1" ht="12.75">
      <c r="A15" s="45" t="s">
        <v>261</v>
      </c>
      <c r="B15" s="105"/>
      <c r="C15" s="108">
        <v>0.5</v>
      </c>
      <c r="D15" s="23">
        <f>+C14*C15</f>
        <v>46021.32</v>
      </c>
      <c r="E15" s="42">
        <v>1</v>
      </c>
      <c r="F15" s="15">
        <v>43264</v>
      </c>
      <c r="G15" s="24">
        <v>46021.32</v>
      </c>
      <c r="H15" s="30">
        <v>43370</v>
      </c>
      <c r="I15" s="43"/>
      <c r="J15" s="81" t="str">
        <f>IF(G15="en attente",F15,"")</f>
        <v/>
      </c>
      <c r="K15" s="81">
        <f>IF(F15="",D15-G15,0)</f>
        <v>0</v>
      </c>
      <c r="L15" s="505"/>
      <c r="M15" s="506"/>
      <c r="N15" s="506"/>
    </row>
    <row r="16" spans="1:16" s="456" customFormat="1">
      <c r="A16" s="118" t="s">
        <v>261</v>
      </c>
      <c r="B16" s="36"/>
      <c r="C16" s="153">
        <v>0.5</v>
      </c>
      <c r="D16" s="35">
        <f>+C14*C16</f>
        <v>46021.32</v>
      </c>
      <c r="E16" s="44">
        <v>2</v>
      </c>
      <c r="F16" s="36"/>
      <c r="G16" s="37"/>
      <c r="H16" s="155"/>
      <c r="I16" s="156"/>
      <c r="J16" s="81" t="str">
        <f>IF(G16="en attente",F16,"")</f>
        <v/>
      </c>
      <c r="K16" s="81">
        <f>IF(F16="",D16-G16,0)</f>
        <v>46021.32</v>
      </c>
      <c r="L16" s="505"/>
      <c r="M16" s="506"/>
      <c r="N16" s="506"/>
    </row>
    <row r="17" spans="1:14" s="8" customFormat="1" ht="12.75">
      <c r="A17" s="48"/>
      <c r="B17" s="48"/>
      <c r="C17" s="41">
        <f>C6+C10+C14</f>
        <v>1924239.64</v>
      </c>
      <c r="D17" s="41">
        <f>SUMPRODUCT((DateAF_P_ILE&lt;&gt;"")*MontantAF_P_ILE)</f>
        <v>1872435.32</v>
      </c>
      <c r="E17" s="49"/>
      <c r="F17" s="50"/>
      <c r="G17" s="41">
        <f>G6+G10+G14</f>
        <v>1872435.32</v>
      </c>
      <c r="H17" s="50"/>
      <c r="I17" s="50"/>
      <c r="J17" s="41">
        <f>J6+J10+J14</f>
        <v>0</v>
      </c>
      <c r="K17" s="41">
        <f>K6+K10+K14</f>
        <v>46021.32</v>
      </c>
      <c r="L17" s="227">
        <f>C17-(G17+J17+K17)</f>
        <v>5782.9999999997672</v>
      </c>
      <c r="M17" s="13"/>
      <c r="N17" s="13"/>
    </row>
    <row r="18" spans="1:14" ht="12.75">
      <c r="A18" s="75"/>
      <c r="B18" s="76"/>
      <c r="C18" s="76"/>
      <c r="D18" s="76"/>
      <c r="E18" s="75"/>
      <c r="F18" s="76"/>
      <c r="G18" s="76"/>
      <c r="H18" s="76"/>
      <c r="I18" s="52"/>
      <c r="J18" s="1025">
        <f>SUM(J17:K17)</f>
        <v>46021.32</v>
      </c>
      <c r="K18" s="1026"/>
      <c r="L18" s="226"/>
      <c r="M18" s="13"/>
      <c r="N18" s="13"/>
    </row>
    <row r="19" spans="1:14">
      <c r="C19" s="26"/>
      <c r="L19" s="13"/>
      <c r="M19" s="13"/>
      <c r="N19" s="13"/>
    </row>
    <row r="20" spans="1:14">
      <c r="C20" s="26"/>
      <c r="L20" s="13"/>
      <c r="M20" s="13"/>
      <c r="N20" s="13"/>
    </row>
    <row r="21" spans="1:14" ht="12.75">
      <c r="C21" s="456"/>
      <c r="D21" s="369" t="s">
        <v>207</v>
      </c>
      <c r="G21" s="370" t="s">
        <v>209</v>
      </c>
      <c r="J21" s="369" t="s">
        <v>207</v>
      </c>
      <c r="K21" s="370" t="s">
        <v>209</v>
      </c>
    </row>
    <row r="22" spans="1:14">
      <c r="C22" s="492">
        <v>40666</v>
      </c>
      <c r="D22" s="91">
        <f>SUMPRODUCT((DateAF_P_ILE&lt;&gt;"")*(MONTH(DateAF_P_ILE)=MONTH(C22))*(YEAR(DateAF_P_ILE)=YEAR(C22))*MontantAF_P_ILE)</f>
        <v>620000</v>
      </c>
      <c r="F22" s="492">
        <v>40666</v>
      </c>
      <c r="G22" s="91">
        <f t="shared" ref="G22:G52" si="1">SUMPRODUCT((DatePmt_P_ILE&lt;&gt;"")*(DatePmt_P_ILE&lt;&gt;"en attente")*(MONTH(DatePmt_P_ILE)=MONTH(F22))*(YEAR(DatePmt_P_ILE)=YEAR(F22))*(ISNUMBER(MtntPaye_P_ILE)),MtntPaye_P_ILE)</f>
        <v>0</v>
      </c>
      <c r="I22" s="1">
        <v>2011</v>
      </c>
      <c r="J22" s="91">
        <f>SUMPRODUCT((YEAR($C$22:$C$28)=I22)*($D$22:$D$28))</f>
        <v>620000</v>
      </c>
      <c r="K22" s="91">
        <f>SUMPRODUCT((YEAR($F$22:$F$28)=I22)*($G$22:$G$28))</f>
        <v>620000</v>
      </c>
    </row>
    <row r="23" spans="1:14">
      <c r="C23" s="492">
        <v>40710</v>
      </c>
      <c r="D23" s="91">
        <f t="shared" ref="D23:D52" si="2">SUMPRODUCT((DateAF_P_ILE&lt;&gt;"")*(MONTH(DateAF_P_ILE)=MONTH(C23))*(YEAR(DateAF_P_ILE)=YEAR(C23))*MontantAF_P_ILE)</f>
        <v>0</v>
      </c>
      <c r="F23" s="492">
        <v>40710</v>
      </c>
      <c r="G23" s="91">
        <f t="shared" si="1"/>
        <v>620000</v>
      </c>
      <c r="I23" s="1">
        <v>2012</v>
      </c>
      <c r="J23" s="91">
        <f>SUMPRODUCT((YEAR($C$22:$C$28)=I23)*($D$22:$D$28))</f>
        <v>611901</v>
      </c>
      <c r="K23" s="91">
        <f>SUMPRODUCT((YEAR($F$22:$F$28)=I23)*($G$22:$G$28))</f>
        <v>611901</v>
      </c>
    </row>
    <row r="24" spans="1:14">
      <c r="C24" s="492">
        <v>41003</v>
      </c>
      <c r="D24" s="91">
        <f t="shared" si="2"/>
        <v>611901</v>
      </c>
      <c r="F24" s="492">
        <v>41003</v>
      </c>
      <c r="G24" s="91">
        <f t="shared" si="1"/>
        <v>0</v>
      </c>
      <c r="I24" s="1">
        <v>2015</v>
      </c>
      <c r="J24" s="91">
        <f>SUMPRODUCT((YEAR($C$22:$C$28)=I24)*($D$22:$D$28))</f>
        <v>594513</v>
      </c>
      <c r="K24" s="91">
        <f>SUMPRODUCT((YEAR($F$22:$F$28)=I24)*($G$22:$G$28))</f>
        <v>206298</v>
      </c>
    </row>
    <row r="25" spans="1:14">
      <c r="C25" s="492">
        <v>41247</v>
      </c>
      <c r="D25" s="91">
        <f t="shared" si="2"/>
        <v>0</v>
      </c>
      <c r="F25" s="492">
        <v>41247</v>
      </c>
      <c r="G25" s="91">
        <f t="shared" si="1"/>
        <v>611901</v>
      </c>
      <c r="I25" s="1">
        <v>2016</v>
      </c>
      <c r="J25" s="91">
        <f>SUMPRODUCT((YEAR($C$22:$C$28)=I25)*($D$22:$D$28))</f>
        <v>0</v>
      </c>
      <c r="K25" s="91">
        <f>SUMPRODUCT((YEAR($F$22:$F$28)=I25)*($G$22:$G$28))</f>
        <v>388215</v>
      </c>
    </row>
    <row r="26" spans="1:14">
      <c r="C26" s="492">
        <v>42206</v>
      </c>
      <c r="D26" s="91">
        <f t="shared" si="2"/>
        <v>594513</v>
      </c>
      <c r="F26" s="492">
        <v>42206</v>
      </c>
      <c r="G26" s="91">
        <f t="shared" si="1"/>
        <v>0</v>
      </c>
      <c r="I26" s="1">
        <v>2018</v>
      </c>
      <c r="J26" s="91">
        <f>SUMPRODUCT((YEAR($C$22:$C$40)=I26)*($D$22:$D$40))</f>
        <v>46021.32</v>
      </c>
      <c r="K26" s="91">
        <f>SUMPRODUCT((YEAR($F$22:$F$40)=I26)*($G$22:$G$40))</f>
        <v>46021.32</v>
      </c>
    </row>
    <row r="27" spans="1:14">
      <c r="C27" s="492">
        <v>42353</v>
      </c>
      <c r="D27" s="91">
        <f t="shared" si="2"/>
        <v>0</v>
      </c>
      <c r="F27" s="492">
        <v>42353</v>
      </c>
      <c r="G27" s="91">
        <f t="shared" si="1"/>
        <v>206298</v>
      </c>
      <c r="I27" s="1">
        <v>2019</v>
      </c>
      <c r="J27" s="91">
        <f>SUMPRODUCT((YEAR($C$22:$C$52)=I27)*($D$22:$D$52))</f>
        <v>0</v>
      </c>
      <c r="K27" s="91">
        <f>SUMPRODUCT((YEAR($F$22:$F$52)=I27)*($G$22:$G$52))</f>
        <v>0</v>
      </c>
    </row>
    <row r="28" spans="1:14" ht="12.75">
      <c r="C28" s="492">
        <v>42380</v>
      </c>
      <c r="D28" s="91">
        <f t="shared" si="2"/>
        <v>0</v>
      </c>
      <c r="F28" s="492">
        <v>42380</v>
      </c>
      <c r="G28" s="91">
        <f t="shared" si="1"/>
        <v>388215</v>
      </c>
      <c r="J28" s="460">
        <f>SUM(J22:J27)</f>
        <v>1872435.32</v>
      </c>
      <c r="K28" s="460">
        <f>SUM(K22:K27)</f>
        <v>1872435.32</v>
      </c>
    </row>
    <row r="29" spans="1:14" ht="12.75">
      <c r="C29" s="493">
        <v>43101</v>
      </c>
      <c r="D29" s="91">
        <f t="shared" si="2"/>
        <v>0</v>
      </c>
      <c r="F29" s="493">
        <v>43101</v>
      </c>
      <c r="G29" s="91">
        <f t="shared" si="1"/>
        <v>0</v>
      </c>
      <c r="J29" s="166">
        <f>+J28-D53</f>
        <v>0</v>
      </c>
      <c r="K29" s="166">
        <f>+K28-G53</f>
        <v>0</v>
      </c>
    </row>
    <row r="30" spans="1:14">
      <c r="C30" s="493">
        <v>43132</v>
      </c>
      <c r="D30" s="91">
        <f t="shared" si="2"/>
        <v>0</v>
      </c>
      <c r="F30" s="493">
        <v>43132</v>
      </c>
      <c r="G30" s="91">
        <f t="shared" si="1"/>
        <v>0</v>
      </c>
    </row>
    <row r="31" spans="1:14">
      <c r="C31" s="493">
        <v>43160</v>
      </c>
      <c r="D31" s="91">
        <f t="shared" si="2"/>
        <v>0</v>
      </c>
      <c r="F31" s="493">
        <v>43160</v>
      </c>
      <c r="G31" s="91">
        <f t="shared" si="1"/>
        <v>0</v>
      </c>
    </row>
    <row r="32" spans="1:14">
      <c r="C32" s="493">
        <v>43191</v>
      </c>
      <c r="D32" s="91">
        <f t="shared" si="2"/>
        <v>0</v>
      </c>
      <c r="F32" s="493">
        <v>43191</v>
      </c>
      <c r="G32" s="91">
        <f t="shared" si="1"/>
        <v>0</v>
      </c>
    </row>
    <row r="33" spans="3:7">
      <c r="C33" s="493">
        <v>43221</v>
      </c>
      <c r="D33" s="91">
        <f t="shared" si="2"/>
        <v>0</v>
      </c>
      <c r="F33" s="493">
        <v>43221</v>
      </c>
      <c r="G33" s="91">
        <f t="shared" si="1"/>
        <v>0</v>
      </c>
    </row>
    <row r="34" spans="3:7">
      <c r="C34" s="493">
        <v>43252</v>
      </c>
      <c r="D34" s="91">
        <f t="shared" si="2"/>
        <v>46021.32</v>
      </c>
      <c r="F34" s="493">
        <v>43252</v>
      </c>
      <c r="G34" s="91">
        <f t="shared" si="1"/>
        <v>0</v>
      </c>
    </row>
    <row r="35" spans="3:7">
      <c r="C35" s="493">
        <v>43282</v>
      </c>
      <c r="D35" s="91">
        <f t="shared" si="2"/>
        <v>0</v>
      </c>
      <c r="F35" s="493">
        <v>43282</v>
      </c>
      <c r="G35" s="91">
        <f t="shared" si="1"/>
        <v>0</v>
      </c>
    </row>
    <row r="36" spans="3:7">
      <c r="C36" s="493">
        <v>43313</v>
      </c>
      <c r="D36" s="91">
        <f t="shared" si="2"/>
        <v>0</v>
      </c>
      <c r="F36" s="493">
        <v>43313</v>
      </c>
      <c r="G36" s="91">
        <f t="shared" si="1"/>
        <v>0</v>
      </c>
    </row>
    <row r="37" spans="3:7">
      <c r="C37" s="493">
        <v>43344</v>
      </c>
      <c r="D37" s="91">
        <f t="shared" si="2"/>
        <v>0</v>
      </c>
      <c r="F37" s="493">
        <v>43344</v>
      </c>
      <c r="G37" s="91">
        <f t="shared" si="1"/>
        <v>46021.32</v>
      </c>
    </row>
    <row r="38" spans="3:7">
      <c r="C38" s="493">
        <v>43374</v>
      </c>
      <c r="D38" s="91">
        <f t="shared" si="2"/>
        <v>0</v>
      </c>
      <c r="F38" s="493">
        <v>43374</v>
      </c>
      <c r="G38" s="91">
        <f t="shared" si="1"/>
        <v>0</v>
      </c>
    </row>
    <row r="39" spans="3:7">
      <c r="C39" s="493">
        <v>43405</v>
      </c>
      <c r="D39" s="91">
        <f t="shared" si="2"/>
        <v>0</v>
      </c>
      <c r="F39" s="493">
        <v>43405</v>
      </c>
      <c r="G39" s="91">
        <f t="shared" si="1"/>
        <v>0</v>
      </c>
    </row>
    <row r="40" spans="3:7">
      <c r="C40" s="493">
        <v>43435</v>
      </c>
      <c r="D40" s="91">
        <f t="shared" si="2"/>
        <v>0</v>
      </c>
      <c r="F40" s="493">
        <v>43435</v>
      </c>
      <c r="G40" s="91">
        <f>SUMPRODUCT((DatePmt_P_ILE&lt;&gt;"")*(DatePmt_P_ILE&lt;&gt;"en attente")*(MONTH(DatePmt_P_ILE)=MONTH(F40))*(YEAR(DatePmt_P_ILE)=YEAR(F40))*(ISNUMBER(MtntPaye_P_ILE)),MtntPaye_P_ILE)</f>
        <v>0</v>
      </c>
    </row>
    <row r="41" spans="3:7">
      <c r="C41" s="493">
        <v>43466</v>
      </c>
      <c r="D41" s="91">
        <f t="shared" si="2"/>
        <v>0</v>
      </c>
      <c r="F41" s="493">
        <v>43466</v>
      </c>
      <c r="G41" s="91">
        <f t="shared" si="1"/>
        <v>0</v>
      </c>
    </row>
    <row r="42" spans="3:7">
      <c r="C42" s="493">
        <v>43497</v>
      </c>
      <c r="D42" s="91">
        <f t="shared" si="2"/>
        <v>0</v>
      </c>
      <c r="F42" s="493">
        <v>43497</v>
      </c>
      <c r="G42" s="91">
        <f t="shared" si="1"/>
        <v>0</v>
      </c>
    </row>
    <row r="43" spans="3:7">
      <c r="C43" s="493">
        <v>43525</v>
      </c>
      <c r="D43" s="91">
        <f t="shared" si="2"/>
        <v>0</v>
      </c>
      <c r="F43" s="493">
        <v>43525</v>
      </c>
      <c r="G43" s="91">
        <f t="shared" si="1"/>
        <v>0</v>
      </c>
    </row>
    <row r="44" spans="3:7">
      <c r="C44" s="493">
        <v>43556</v>
      </c>
      <c r="D44" s="91">
        <f t="shared" si="2"/>
        <v>0</v>
      </c>
      <c r="F44" s="493">
        <v>43556</v>
      </c>
      <c r="G44" s="91">
        <f t="shared" si="1"/>
        <v>0</v>
      </c>
    </row>
    <row r="45" spans="3:7">
      <c r="C45" s="493">
        <v>43586</v>
      </c>
      <c r="D45" s="91">
        <f t="shared" si="2"/>
        <v>0</v>
      </c>
      <c r="F45" s="493">
        <v>43586</v>
      </c>
      <c r="G45" s="91">
        <f t="shared" si="1"/>
        <v>0</v>
      </c>
    </row>
    <row r="46" spans="3:7">
      <c r="C46" s="493">
        <v>43617</v>
      </c>
      <c r="D46" s="91">
        <f t="shared" si="2"/>
        <v>0</v>
      </c>
      <c r="F46" s="493">
        <v>43617</v>
      </c>
      <c r="G46" s="91">
        <f t="shared" si="1"/>
        <v>0</v>
      </c>
    </row>
    <row r="47" spans="3:7">
      <c r="C47" s="493">
        <v>43647</v>
      </c>
      <c r="D47" s="91">
        <f t="shared" si="2"/>
        <v>0</v>
      </c>
      <c r="F47" s="493">
        <v>43647</v>
      </c>
      <c r="G47" s="91">
        <f t="shared" si="1"/>
        <v>0</v>
      </c>
    </row>
    <row r="48" spans="3:7">
      <c r="C48" s="493">
        <v>43678</v>
      </c>
      <c r="D48" s="91">
        <f t="shared" si="2"/>
        <v>0</v>
      </c>
      <c r="F48" s="493">
        <v>43678</v>
      </c>
      <c r="G48" s="91">
        <f t="shared" si="1"/>
        <v>0</v>
      </c>
    </row>
    <row r="49" spans="3:8">
      <c r="C49" s="493">
        <v>43709</v>
      </c>
      <c r="D49" s="91">
        <f t="shared" si="2"/>
        <v>0</v>
      </c>
      <c r="F49" s="493">
        <v>43709</v>
      </c>
      <c r="G49" s="91">
        <f t="shared" si="1"/>
        <v>0</v>
      </c>
    </row>
    <row r="50" spans="3:8">
      <c r="C50" s="493">
        <v>43739</v>
      </c>
      <c r="D50" s="91">
        <f t="shared" si="2"/>
        <v>0</v>
      </c>
      <c r="F50" s="493">
        <v>43739</v>
      </c>
      <c r="G50" s="91">
        <f t="shared" si="1"/>
        <v>0</v>
      </c>
    </row>
    <row r="51" spans="3:8">
      <c r="C51" s="493">
        <v>43770</v>
      </c>
      <c r="D51" s="91">
        <f t="shared" si="2"/>
        <v>0</v>
      </c>
      <c r="F51" s="493">
        <v>43770</v>
      </c>
      <c r="G51" s="91">
        <f t="shared" si="1"/>
        <v>0</v>
      </c>
    </row>
    <row r="52" spans="3:8">
      <c r="C52" s="493">
        <v>43800</v>
      </c>
      <c r="D52" s="91">
        <f t="shared" si="2"/>
        <v>0</v>
      </c>
      <c r="F52" s="493">
        <v>43800</v>
      </c>
      <c r="G52" s="91">
        <f t="shared" si="1"/>
        <v>0</v>
      </c>
    </row>
    <row r="53" spans="3:8" ht="12.75">
      <c r="D53" s="460">
        <f>SUM(D22:D40)</f>
        <v>1872435.32</v>
      </c>
      <c r="E53" s="459"/>
      <c r="F53" s="8"/>
      <c r="G53" s="460">
        <f>SUM(G22:G40)</f>
        <v>1872435.32</v>
      </c>
    </row>
    <row r="54" spans="3:8" ht="12.75">
      <c r="D54" s="166">
        <f>+D53-D17</f>
        <v>0</v>
      </c>
      <c r="E54" s="465"/>
      <c r="F54" s="161"/>
      <c r="G54" s="166">
        <f>+G53-G17</f>
        <v>0</v>
      </c>
      <c r="H54" s="161"/>
    </row>
    <row r="55" spans="3:8" ht="12.75">
      <c r="D55" s="161"/>
      <c r="E55" s="465"/>
      <c r="F55" s="161"/>
      <c r="G55" s="161"/>
      <c r="H55" s="161"/>
    </row>
  </sheetData>
  <mergeCells count="7">
    <mergeCell ref="J18:K18"/>
    <mergeCell ref="A2:J2"/>
    <mergeCell ref="A4:A5"/>
    <mergeCell ref="B4:B5"/>
    <mergeCell ref="C4:C5"/>
    <mergeCell ref="D4:I4"/>
    <mergeCell ref="J4:K4"/>
  </mergeCells>
  <pageMargins left="0.7" right="0.7" top="0.75" bottom="0.75" header="0.3" footer="0.3"/>
  <pageSetup paperSize="9" scale="76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3">
    <tabColor rgb="FF00B050"/>
  </sheetPr>
  <dimension ref="A1:R129"/>
  <sheetViews>
    <sheetView topLeftCell="A6" workbookViewId="0">
      <selection activeCell="E83" sqref="E83"/>
    </sheetView>
  </sheetViews>
  <sheetFormatPr defaultColWidth="11.42578125" defaultRowHeight="12"/>
  <cols>
    <col min="1" max="1" width="31.5703125" style="6" bestFit="1" customWidth="1"/>
    <col min="2" max="2" width="31.5703125" style="6" customWidth="1"/>
    <col min="3" max="3" width="9.7109375" style="1" bestFit="1" customWidth="1"/>
    <col min="4" max="4" width="8.5703125" style="1" bestFit="1" customWidth="1"/>
    <col min="5" max="5" width="13.42578125" style="1" bestFit="1" customWidth="1"/>
    <col min="6" max="6" width="14.42578125" style="91" customWidth="1"/>
    <col min="7" max="7" width="4.140625" style="6" bestFit="1" customWidth="1"/>
    <col min="8" max="8" width="10.42578125" style="781" bestFit="1" customWidth="1"/>
    <col min="9" max="9" width="12.42578125" style="1" customWidth="1"/>
    <col min="10" max="10" width="10.42578125" style="1" bestFit="1" customWidth="1"/>
    <col min="11" max="11" width="18.5703125" style="6" bestFit="1" customWidth="1"/>
    <col min="12" max="12" width="14.42578125" style="1" customWidth="1"/>
    <col min="13" max="13" width="14.42578125" style="1" bestFit="1" customWidth="1"/>
    <col min="14" max="14" width="12.28515625" style="875" customWidth="1"/>
    <col min="15" max="15" width="16.140625" style="1" customWidth="1"/>
    <col min="16" max="16" width="13.42578125" style="1" bestFit="1" customWidth="1"/>
    <col min="17" max="16384" width="11.42578125" style="1"/>
  </cols>
  <sheetData>
    <row r="1" spans="1:18" ht="12.75">
      <c r="O1" s="223"/>
      <c r="P1" s="8"/>
    </row>
    <row r="2" spans="1:18" ht="12.75">
      <c r="A2" s="1027" t="s">
        <v>120</v>
      </c>
      <c r="B2" s="1027"/>
      <c r="C2" s="1027"/>
      <c r="D2" s="1027"/>
      <c r="E2" s="1027"/>
      <c r="F2" s="1027"/>
      <c r="G2" s="1027"/>
      <c r="H2" s="1027"/>
      <c r="I2" s="1027"/>
      <c r="J2" s="1027"/>
      <c r="K2" s="1027"/>
      <c r="L2" s="1027"/>
      <c r="M2" s="9">
        <f ca="1">TODAY()</f>
        <v>43599</v>
      </c>
      <c r="P2" s="61"/>
    </row>
    <row r="4" spans="1:18" s="2" customFormat="1" ht="25.5">
      <c r="A4" s="1044" t="s">
        <v>2</v>
      </c>
      <c r="B4" s="451" t="s">
        <v>263</v>
      </c>
      <c r="C4" s="1032" t="s">
        <v>21</v>
      </c>
      <c r="D4" s="224" t="s">
        <v>121</v>
      </c>
      <c r="E4" s="1032" t="s">
        <v>269</v>
      </c>
      <c r="F4" s="1028" t="s">
        <v>4</v>
      </c>
      <c r="G4" s="1029"/>
      <c r="H4" s="1029"/>
      <c r="I4" s="1029"/>
      <c r="J4" s="1029"/>
      <c r="K4" s="1030"/>
      <c r="L4" s="1031" t="s">
        <v>13</v>
      </c>
      <c r="M4" s="1032"/>
      <c r="N4" s="849"/>
      <c r="P4" s="63"/>
      <c r="Q4" s="63"/>
    </row>
    <row r="5" spans="1:18" s="13" customFormat="1" ht="12.75">
      <c r="A5" s="1045"/>
      <c r="B5" s="452"/>
      <c r="C5" s="1046"/>
      <c r="D5" s="225"/>
      <c r="E5" s="1046"/>
      <c r="F5" s="10" t="s">
        <v>1</v>
      </c>
      <c r="G5" s="11" t="s">
        <v>3</v>
      </c>
      <c r="H5" s="782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  <c r="N5" s="849"/>
    </row>
    <row r="6" spans="1:18" s="107" customFormat="1" ht="14.25" customHeight="1">
      <c r="A6" s="792" t="s">
        <v>387</v>
      </c>
      <c r="B6" s="796" t="s">
        <v>264</v>
      </c>
      <c r="C6" s="824"/>
      <c r="D6" s="824"/>
      <c r="E6" s="489">
        <v>17204.37</v>
      </c>
      <c r="F6" s="820">
        <v>17204.37</v>
      </c>
      <c r="G6" s="489"/>
      <c r="H6" s="793">
        <v>43551</v>
      </c>
      <c r="I6" s="861">
        <v>17204.37</v>
      </c>
      <c r="J6" s="862">
        <v>43573</v>
      </c>
      <c r="K6" s="861"/>
      <c r="L6" s="820" t="str">
        <f t="shared" ref="L6:L37" si="0">IF(I6="en attente",F6,"")</f>
        <v/>
      </c>
      <c r="M6" s="795">
        <f>IF(H6="",F6-I6,0)</f>
        <v>0</v>
      </c>
      <c r="N6" s="849"/>
      <c r="O6" s="13"/>
      <c r="P6" s="13"/>
      <c r="Q6" s="166"/>
      <c r="R6" s="208"/>
    </row>
    <row r="7" spans="1:18" s="107" customFormat="1" ht="14.25" customHeight="1">
      <c r="A7" s="792" t="s">
        <v>43</v>
      </c>
      <c r="B7" s="796" t="s">
        <v>264</v>
      </c>
      <c r="C7" s="824"/>
      <c r="D7" s="824"/>
      <c r="E7" s="489">
        <v>24360.32</v>
      </c>
      <c r="F7" s="820">
        <v>24360.32</v>
      </c>
      <c r="G7" s="489"/>
      <c r="H7" s="793">
        <v>43481</v>
      </c>
      <c r="I7" s="861">
        <v>24360.32</v>
      </c>
      <c r="J7" s="862">
        <v>43539</v>
      </c>
      <c r="K7" s="861">
        <f>IF(J7="",$M$2-H7,J7-H7)</f>
        <v>58</v>
      </c>
      <c r="L7" s="820" t="str">
        <f t="shared" si="0"/>
        <v/>
      </c>
      <c r="M7" s="795">
        <f>IF(H7="",F7-I7,0)</f>
        <v>0</v>
      </c>
      <c r="N7" s="849"/>
      <c r="O7" s="13"/>
      <c r="P7" s="13"/>
      <c r="Q7" s="166"/>
      <c r="R7" s="208"/>
    </row>
    <row r="8" spans="1:18" s="107" customFormat="1" ht="12.75">
      <c r="A8" s="792" t="s">
        <v>46</v>
      </c>
      <c r="B8" s="796" t="s">
        <v>264</v>
      </c>
      <c r="C8" s="824">
        <v>41094</v>
      </c>
      <c r="D8" s="824"/>
      <c r="E8" s="489">
        <v>9449.1</v>
      </c>
      <c r="F8" s="799">
        <v>9449.1</v>
      </c>
      <c r="G8" s="489"/>
      <c r="H8" s="793">
        <v>43481</v>
      </c>
      <c r="I8" s="801">
        <v>9449.1299999999992</v>
      </c>
      <c r="J8" s="862">
        <v>43539</v>
      </c>
      <c r="K8" s="861">
        <f t="shared" ref="K8:K59" si="1">IF(J8="",$M$2-H8,J8-H8)</f>
        <v>58</v>
      </c>
      <c r="L8" s="820" t="str">
        <f t="shared" si="0"/>
        <v/>
      </c>
      <c r="M8" s="795">
        <f t="shared" ref="M8:M11" si="2">IF(H8="",F8-I8,0)</f>
        <v>0</v>
      </c>
      <c r="N8" s="849"/>
      <c r="O8" s="13"/>
      <c r="P8" s="13"/>
      <c r="Q8" s="166"/>
      <c r="R8" s="208"/>
    </row>
    <row r="9" spans="1:18" s="229" customFormat="1" ht="12.75">
      <c r="A9" s="792" t="s">
        <v>49</v>
      </c>
      <c r="B9" s="796" t="s">
        <v>264</v>
      </c>
      <c r="C9" s="797"/>
      <c r="D9" s="798"/>
      <c r="E9" s="489">
        <v>51875.6</v>
      </c>
      <c r="F9" s="799">
        <v>51875.6</v>
      </c>
      <c r="G9" s="800"/>
      <c r="H9" s="793">
        <v>42452</v>
      </c>
      <c r="I9" s="801">
        <v>51875.6</v>
      </c>
      <c r="J9" s="797">
        <v>42513</v>
      </c>
      <c r="K9" s="800">
        <f t="shared" si="1"/>
        <v>61</v>
      </c>
      <c r="L9" s="489" t="str">
        <f t="shared" si="0"/>
        <v/>
      </c>
      <c r="M9" s="795">
        <f t="shared" si="2"/>
        <v>0</v>
      </c>
      <c r="N9" s="849"/>
    </row>
    <row r="10" spans="1:18" s="229" customFormat="1" ht="12.75">
      <c r="A10" s="792" t="s">
        <v>9</v>
      </c>
      <c r="B10" s="796" t="s">
        <v>264</v>
      </c>
      <c r="C10" s="797"/>
      <c r="D10" s="798"/>
      <c r="E10" s="489">
        <v>42015.88</v>
      </c>
      <c r="F10" s="799">
        <v>42015.88</v>
      </c>
      <c r="G10" s="800"/>
      <c r="H10" s="793">
        <v>42660</v>
      </c>
      <c r="I10" s="801">
        <v>42015.88</v>
      </c>
      <c r="J10" s="797">
        <v>42836</v>
      </c>
      <c r="K10" s="800">
        <f t="shared" si="1"/>
        <v>176</v>
      </c>
      <c r="L10" s="794" t="str">
        <f t="shared" si="0"/>
        <v/>
      </c>
      <c r="M10" s="795">
        <f>IF(H10="",F10-I10,0)</f>
        <v>0</v>
      </c>
      <c r="N10" s="849"/>
    </row>
    <row r="11" spans="1:18" s="229" customFormat="1" ht="12.75">
      <c r="A11" s="792" t="s">
        <v>8</v>
      </c>
      <c r="B11" s="796" t="s">
        <v>264</v>
      </c>
      <c r="C11" s="824"/>
      <c r="D11" s="824"/>
      <c r="E11" s="489">
        <v>46495.98</v>
      </c>
      <c r="F11" s="799">
        <v>46495.98</v>
      </c>
      <c r="G11" s="489"/>
      <c r="H11" s="793">
        <v>42660</v>
      </c>
      <c r="I11" s="801">
        <v>46495.48</v>
      </c>
      <c r="J11" s="862">
        <v>43542</v>
      </c>
      <c r="K11" s="861">
        <f t="shared" si="1"/>
        <v>882</v>
      </c>
      <c r="L11" s="489" t="str">
        <f t="shared" si="0"/>
        <v/>
      </c>
      <c r="M11" s="795">
        <f t="shared" si="2"/>
        <v>0</v>
      </c>
      <c r="N11" s="849"/>
    </row>
    <row r="12" spans="1:18" s="229" customFormat="1" ht="12.75">
      <c r="A12" s="792" t="s">
        <v>266</v>
      </c>
      <c r="B12" s="796" t="s">
        <v>264</v>
      </c>
      <c r="C12" s="797"/>
      <c r="D12" s="798"/>
      <c r="E12" s="489">
        <v>37827.35</v>
      </c>
      <c r="F12" s="799">
        <v>37827.35</v>
      </c>
      <c r="G12" s="800"/>
      <c r="H12" s="793">
        <v>42660</v>
      </c>
      <c r="I12" s="801">
        <v>37825.35</v>
      </c>
      <c r="J12" s="797">
        <v>42989</v>
      </c>
      <c r="K12" s="800">
        <f t="shared" si="1"/>
        <v>329</v>
      </c>
      <c r="L12" s="794" t="str">
        <f t="shared" si="0"/>
        <v/>
      </c>
      <c r="M12" s="802">
        <f t="shared" ref="M12:M27" si="3">IF(H12="",F12-I12,0)</f>
        <v>0</v>
      </c>
      <c r="N12" s="849"/>
    </row>
    <row r="13" spans="1:18" s="229" customFormat="1" ht="12.75">
      <c r="A13" s="792" t="s">
        <v>267</v>
      </c>
      <c r="B13" s="796" t="s">
        <v>264</v>
      </c>
      <c r="C13" s="797"/>
      <c r="D13" s="798"/>
      <c r="E13" s="489">
        <v>93111.2</v>
      </c>
      <c r="F13" s="799">
        <v>93111.2</v>
      </c>
      <c r="G13" s="800"/>
      <c r="H13" s="793">
        <v>42829</v>
      </c>
      <c r="I13" s="801">
        <v>93111.2</v>
      </c>
      <c r="J13" s="797">
        <v>42892</v>
      </c>
      <c r="K13" s="800">
        <f t="shared" si="1"/>
        <v>63</v>
      </c>
      <c r="L13" s="794" t="str">
        <f t="shared" si="0"/>
        <v/>
      </c>
      <c r="M13" s="802">
        <f t="shared" si="3"/>
        <v>0</v>
      </c>
      <c r="N13" s="849"/>
    </row>
    <row r="14" spans="1:18" s="229" customFormat="1" ht="12.75">
      <c r="A14" s="792" t="s">
        <v>47</v>
      </c>
      <c r="B14" s="796" t="s">
        <v>264</v>
      </c>
      <c r="C14" s="797"/>
      <c r="D14" s="798"/>
      <c r="E14" s="489">
        <v>17009.03</v>
      </c>
      <c r="F14" s="799">
        <v>17009.03</v>
      </c>
      <c r="G14" s="800"/>
      <c r="H14" s="793">
        <v>42803</v>
      </c>
      <c r="I14" s="801">
        <v>17009.03</v>
      </c>
      <c r="J14" s="797">
        <v>42877</v>
      </c>
      <c r="K14" s="800">
        <f t="shared" si="1"/>
        <v>74</v>
      </c>
      <c r="L14" s="794" t="str">
        <f t="shared" si="0"/>
        <v/>
      </c>
      <c r="M14" s="802">
        <f t="shared" si="3"/>
        <v>0</v>
      </c>
      <c r="N14" s="849"/>
      <c r="O14" s="510"/>
    </row>
    <row r="15" spans="1:18" s="229" customFormat="1" ht="12.75">
      <c r="A15" s="792" t="s">
        <v>50</v>
      </c>
      <c r="B15" s="796" t="s">
        <v>264</v>
      </c>
      <c r="C15" s="797"/>
      <c r="D15" s="798"/>
      <c r="E15" s="489">
        <v>28319.18</v>
      </c>
      <c r="F15" s="799">
        <v>28319.18</v>
      </c>
      <c r="G15" s="800"/>
      <c r="H15" s="793">
        <v>42660</v>
      </c>
      <c r="I15" s="801">
        <v>28319.18</v>
      </c>
      <c r="J15" s="797">
        <v>42797</v>
      </c>
      <c r="K15" s="800">
        <f t="shared" si="1"/>
        <v>137</v>
      </c>
      <c r="L15" s="794" t="str">
        <f t="shared" si="0"/>
        <v/>
      </c>
      <c r="M15" s="802">
        <f t="shared" si="3"/>
        <v>0</v>
      </c>
      <c r="N15" s="849"/>
    </row>
    <row r="16" spans="1:18" s="229" customFormat="1" ht="12.75">
      <c r="A16" s="792" t="s">
        <v>51</v>
      </c>
      <c r="B16" s="796" t="s">
        <v>264</v>
      </c>
      <c r="C16" s="797"/>
      <c r="D16" s="798"/>
      <c r="E16" s="489">
        <v>58548.7</v>
      </c>
      <c r="F16" s="799">
        <v>58548.7</v>
      </c>
      <c r="G16" s="800"/>
      <c r="H16" s="793">
        <v>42781</v>
      </c>
      <c r="I16" s="801">
        <v>58548.68</v>
      </c>
      <c r="J16" s="797">
        <v>43542</v>
      </c>
      <c r="K16" s="800">
        <f t="shared" si="1"/>
        <v>761</v>
      </c>
      <c r="L16" s="794" t="str">
        <f t="shared" si="0"/>
        <v/>
      </c>
      <c r="M16" s="802">
        <f t="shared" si="3"/>
        <v>0</v>
      </c>
      <c r="N16" s="849"/>
      <c r="O16" s="510"/>
    </row>
    <row r="17" spans="1:16" s="229" customFormat="1" ht="12.75">
      <c r="A17" s="792" t="s">
        <v>55</v>
      </c>
      <c r="B17" s="796" t="s">
        <v>264</v>
      </c>
      <c r="C17" s="797"/>
      <c r="D17" s="798"/>
      <c r="E17" s="489">
        <v>120804.55</v>
      </c>
      <c r="F17" s="799">
        <v>120804.55</v>
      </c>
      <c r="G17" s="800"/>
      <c r="H17" s="793">
        <v>43060</v>
      </c>
      <c r="I17" s="801">
        <v>120804.55</v>
      </c>
      <c r="J17" s="797">
        <v>43406</v>
      </c>
      <c r="K17" s="800">
        <f t="shared" si="1"/>
        <v>346</v>
      </c>
      <c r="L17" s="794" t="str">
        <f t="shared" si="0"/>
        <v/>
      </c>
      <c r="M17" s="802">
        <f t="shared" si="3"/>
        <v>0</v>
      </c>
      <c r="N17" s="849"/>
    </row>
    <row r="18" spans="1:16" s="229" customFormat="1" ht="12.75">
      <c r="A18" s="792" t="s">
        <v>56</v>
      </c>
      <c r="B18" s="796" t="s">
        <v>264</v>
      </c>
      <c r="C18" s="797"/>
      <c r="D18" s="798"/>
      <c r="E18" s="489">
        <v>34402.42</v>
      </c>
      <c r="F18" s="799">
        <v>34402.42</v>
      </c>
      <c r="G18" s="800"/>
      <c r="H18" s="793">
        <v>42761</v>
      </c>
      <c r="I18" s="801">
        <v>34402.410000000003</v>
      </c>
      <c r="J18" s="797">
        <v>42838</v>
      </c>
      <c r="K18" s="800">
        <f t="shared" si="1"/>
        <v>77</v>
      </c>
      <c r="L18" s="794" t="str">
        <f t="shared" si="0"/>
        <v/>
      </c>
      <c r="M18" s="802">
        <f t="shared" si="3"/>
        <v>0</v>
      </c>
      <c r="N18" s="849"/>
    </row>
    <row r="19" spans="1:16" s="229" customFormat="1" ht="12.75">
      <c r="A19" s="792" t="s">
        <v>58</v>
      </c>
      <c r="B19" s="796" t="s">
        <v>264</v>
      </c>
      <c r="C19" s="797"/>
      <c r="D19" s="798"/>
      <c r="E19" s="489">
        <f>26523.95*1.085</f>
        <v>28778.48575</v>
      </c>
      <c r="F19" s="799">
        <v>28778.49</v>
      </c>
      <c r="G19" s="800"/>
      <c r="H19" s="793">
        <v>42765</v>
      </c>
      <c r="I19" s="801">
        <v>28778.48</v>
      </c>
      <c r="J19" s="797">
        <v>42983</v>
      </c>
      <c r="K19" s="800">
        <f t="shared" si="1"/>
        <v>218</v>
      </c>
      <c r="L19" s="794" t="str">
        <f t="shared" si="0"/>
        <v/>
      </c>
      <c r="M19" s="802">
        <f t="shared" si="3"/>
        <v>0</v>
      </c>
      <c r="N19" s="849"/>
    </row>
    <row r="20" spans="1:16" s="229" customFormat="1" ht="12.75">
      <c r="A20" s="792" t="s">
        <v>268</v>
      </c>
      <c r="B20" s="796" t="s">
        <v>264</v>
      </c>
      <c r="C20" s="797"/>
      <c r="D20" s="798"/>
      <c r="E20" s="489">
        <f>99805.82*1.085</f>
        <v>108289.3147</v>
      </c>
      <c r="F20" s="799">
        <v>108289.31</v>
      </c>
      <c r="G20" s="800"/>
      <c r="H20" s="793">
        <v>43171</v>
      </c>
      <c r="I20" s="801">
        <v>108289.31</v>
      </c>
      <c r="J20" s="797">
        <v>43475</v>
      </c>
      <c r="K20" s="800">
        <f t="shared" si="1"/>
        <v>304</v>
      </c>
      <c r="L20" s="794" t="str">
        <f t="shared" si="0"/>
        <v/>
      </c>
      <c r="M20" s="802">
        <f t="shared" si="3"/>
        <v>0</v>
      </c>
      <c r="N20" s="849"/>
    </row>
    <row r="21" spans="1:16" s="229" customFormat="1" ht="12.75">
      <c r="A21" s="792" t="s">
        <v>59</v>
      </c>
      <c r="B21" s="796" t="s">
        <v>264</v>
      </c>
      <c r="C21" s="797"/>
      <c r="D21" s="798"/>
      <c r="E21" s="489">
        <f>37161.21*1.085</f>
        <v>40319.912850000001</v>
      </c>
      <c r="F21" s="799">
        <v>40319.910000000003</v>
      </c>
      <c r="G21" s="800"/>
      <c r="H21" s="793">
        <v>43076</v>
      </c>
      <c r="I21" s="801">
        <v>40319.910000000003</v>
      </c>
      <c r="J21" s="797">
        <v>43258</v>
      </c>
      <c r="K21" s="800">
        <f t="shared" si="1"/>
        <v>182</v>
      </c>
      <c r="L21" s="794" t="str">
        <f t="shared" si="0"/>
        <v/>
      </c>
      <c r="M21" s="802">
        <f t="shared" si="3"/>
        <v>0</v>
      </c>
      <c r="N21" s="849"/>
    </row>
    <row r="22" spans="1:16" s="229" customFormat="1" ht="12.75">
      <c r="A22" s="792" t="s">
        <v>60</v>
      </c>
      <c r="B22" s="796" t="s">
        <v>264</v>
      </c>
      <c r="C22" s="797"/>
      <c r="D22" s="798"/>
      <c r="E22" s="489">
        <f>17785.2*1.085</f>
        <v>19296.941999999999</v>
      </c>
      <c r="F22" s="799">
        <v>19296.939999999999</v>
      </c>
      <c r="G22" s="800"/>
      <c r="H22" s="793">
        <v>43062</v>
      </c>
      <c r="I22" s="801">
        <v>19296.939999999999</v>
      </c>
      <c r="J22" s="797">
        <v>43326</v>
      </c>
      <c r="K22" s="800">
        <f t="shared" si="1"/>
        <v>264</v>
      </c>
      <c r="L22" s="794" t="str">
        <f t="shared" si="0"/>
        <v/>
      </c>
      <c r="M22" s="802">
        <f t="shared" si="3"/>
        <v>0</v>
      </c>
      <c r="N22" s="849"/>
    </row>
    <row r="23" spans="1:16" s="229" customFormat="1" ht="12.75">
      <c r="A23" s="792" t="s">
        <v>61</v>
      </c>
      <c r="B23" s="796" t="s">
        <v>264</v>
      </c>
      <c r="C23" s="797"/>
      <c r="D23" s="798"/>
      <c r="E23" s="489">
        <f>29590.37</f>
        <v>29590.37</v>
      </c>
      <c r="F23" s="799">
        <v>29590.37</v>
      </c>
      <c r="G23" s="800"/>
      <c r="H23" s="793">
        <v>42717</v>
      </c>
      <c r="I23" s="801">
        <v>29590.37</v>
      </c>
      <c r="J23" s="797">
        <v>43266</v>
      </c>
      <c r="K23" s="800">
        <f t="shared" si="1"/>
        <v>549</v>
      </c>
      <c r="L23" s="794" t="str">
        <f t="shared" si="0"/>
        <v/>
      </c>
      <c r="M23" s="802">
        <f t="shared" si="3"/>
        <v>0</v>
      </c>
      <c r="N23" s="849"/>
      <c r="O23" s="510"/>
    </row>
    <row r="24" spans="1:16" s="229" customFormat="1" ht="12.75">
      <c r="A24" s="789" t="s">
        <v>306</v>
      </c>
      <c r="B24" s="804" t="s">
        <v>264</v>
      </c>
      <c r="C24" s="805"/>
      <c r="D24" s="806"/>
      <c r="E24" s="790">
        <v>18729.66</v>
      </c>
      <c r="F24" s="808">
        <v>18729.66</v>
      </c>
      <c r="G24" s="809"/>
      <c r="H24" s="810">
        <v>42949</v>
      </c>
      <c r="I24" s="811" t="s">
        <v>93</v>
      </c>
      <c r="J24" s="805"/>
      <c r="K24" s="809">
        <f t="shared" ca="1" si="1"/>
        <v>650</v>
      </c>
      <c r="L24" s="812">
        <f t="shared" si="0"/>
        <v>18729.66</v>
      </c>
      <c r="M24" s="813">
        <f t="shared" si="3"/>
        <v>0</v>
      </c>
      <c r="N24" s="849"/>
      <c r="O24" s="510"/>
    </row>
    <row r="25" spans="1:16" s="26" customFormat="1" ht="12.75">
      <c r="A25" s="789" t="s">
        <v>237</v>
      </c>
      <c r="B25" s="804" t="s">
        <v>264</v>
      </c>
      <c r="C25" s="814"/>
      <c r="D25" s="814"/>
      <c r="E25" s="790">
        <v>15338</v>
      </c>
      <c r="F25" s="815">
        <v>15338</v>
      </c>
      <c r="G25" s="816"/>
      <c r="H25" s="817"/>
      <c r="I25" s="815"/>
      <c r="J25" s="818"/>
      <c r="K25" s="809">
        <f t="shared" ca="1" si="1"/>
        <v>43599</v>
      </c>
      <c r="L25" s="812" t="str">
        <f t="shared" si="0"/>
        <v/>
      </c>
      <c r="M25" s="812">
        <f t="shared" si="3"/>
        <v>15338</v>
      </c>
      <c r="N25" s="849"/>
      <c r="O25" s="13"/>
      <c r="P25" s="13"/>
    </row>
    <row r="26" spans="1:16" s="26" customFormat="1" ht="12.75">
      <c r="A26" s="792" t="s">
        <v>275</v>
      </c>
      <c r="B26" s="796" t="s">
        <v>264</v>
      </c>
      <c r="C26" s="819"/>
      <c r="D26" s="819"/>
      <c r="E26" s="489">
        <v>18573.52</v>
      </c>
      <c r="F26" s="820">
        <v>18573.52</v>
      </c>
      <c r="G26" s="821"/>
      <c r="H26" s="822">
        <v>42969</v>
      </c>
      <c r="I26" s="820">
        <v>18573.52</v>
      </c>
      <c r="J26" s="823">
        <v>43224</v>
      </c>
      <c r="K26" s="800">
        <f t="shared" si="1"/>
        <v>255</v>
      </c>
      <c r="L26" s="794" t="str">
        <f t="shared" si="0"/>
        <v/>
      </c>
      <c r="M26" s="794">
        <f t="shared" si="3"/>
        <v>0</v>
      </c>
      <c r="N26" s="849"/>
      <c r="O26" s="13"/>
      <c r="P26" s="13"/>
    </row>
    <row r="27" spans="1:16" s="26" customFormat="1" ht="12.75">
      <c r="A27" s="792" t="s">
        <v>338</v>
      </c>
      <c r="B27" s="796" t="s">
        <v>264</v>
      </c>
      <c r="C27" s="824"/>
      <c r="D27" s="819"/>
      <c r="E27" s="489">
        <f>25031.85*1.085</f>
        <v>27159.557249999998</v>
      </c>
      <c r="F27" s="820">
        <v>27159.56</v>
      </c>
      <c r="G27" s="821"/>
      <c r="H27" s="822">
        <v>43179</v>
      </c>
      <c r="I27" s="820">
        <v>27159.56</v>
      </c>
      <c r="J27" s="823">
        <v>43448</v>
      </c>
      <c r="K27" s="800">
        <f t="shared" si="1"/>
        <v>269</v>
      </c>
      <c r="L27" s="794" t="str">
        <f t="shared" si="0"/>
        <v/>
      </c>
      <c r="M27" s="794">
        <f t="shared" si="3"/>
        <v>0</v>
      </c>
      <c r="N27" s="849"/>
      <c r="O27" s="13"/>
      <c r="P27" s="13"/>
    </row>
    <row r="28" spans="1:16" s="26" customFormat="1" ht="12.75">
      <c r="A28" s="789" t="s">
        <v>273</v>
      </c>
      <c r="B28" s="804" t="s">
        <v>264</v>
      </c>
      <c r="C28" s="825"/>
      <c r="D28" s="814"/>
      <c r="E28" s="790">
        <v>29077.75</v>
      </c>
      <c r="F28" s="815">
        <v>29077.75</v>
      </c>
      <c r="G28" s="816"/>
      <c r="H28" s="817">
        <v>43272</v>
      </c>
      <c r="I28" s="826" t="s">
        <v>93</v>
      </c>
      <c r="J28" s="818"/>
      <c r="K28" s="809">
        <f t="shared" ca="1" si="1"/>
        <v>327</v>
      </c>
      <c r="L28" s="812">
        <f t="shared" si="0"/>
        <v>29077.75</v>
      </c>
      <c r="M28" s="812"/>
      <c r="N28" s="849"/>
      <c r="O28" s="13"/>
      <c r="P28" s="13"/>
    </row>
    <row r="29" spans="1:16" s="26" customFormat="1" ht="12.75">
      <c r="A29" s="789" t="s">
        <v>260</v>
      </c>
      <c r="B29" s="804" t="s">
        <v>264</v>
      </c>
      <c r="C29" s="825"/>
      <c r="D29" s="814"/>
      <c r="E29" s="790">
        <f>81795.02*1.085</f>
        <v>88747.596699999995</v>
      </c>
      <c r="F29" s="815">
        <v>88747.596699999995</v>
      </c>
      <c r="G29" s="816"/>
      <c r="H29" s="817"/>
      <c r="I29" s="815"/>
      <c r="J29" s="818"/>
      <c r="K29" s="809">
        <f t="shared" ca="1" si="1"/>
        <v>43599</v>
      </c>
      <c r="L29" s="812" t="str">
        <f t="shared" si="0"/>
        <v/>
      </c>
      <c r="M29" s="812">
        <f t="shared" ref="M29:M37" si="4">IF(H29="",F29-I29,0)</f>
        <v>88747.596699999995</v>
      </c>
      <c r="N29" s="849"/>
      <c r="O29" s="13"/>
      <c r="P29" s="13"/>
    </row>
    <row r="30" spans="1:16" s="26" customFormat="1" ht="12.75">
      <c r="A30" s="792" t="s">
        <v>130</v>
      </c>
      <c r="B30" s="796" t="s">
        <v>264</v>
      </c>
      <c r="C30" s="824"/>
      <c r="D30" s="819"/>
      <c r="E30" s="489">
        <v>18371</v>
      </c>
      <c r="F30" s="820">
        <v>18371</v>
      </c>
      <c r="G30" s="821"/>
      <c r="H30" s="822">
        <v>43336</v>
      </c>
      <c r="I30" s="820">
        <v>18371</v>
      </c>
      <c r="J30" s="823">
        <v>43395</v>
      </c>
      <c r="K30" s="800">
        <f t="shared" si="1"/>
        <v>59</v>
      </c>
      <c r="L30" s="794" t="str">
        <f t="shared" si="0"/>
        <v/>
      </c>
      <c r="M30" s="794">
        <f t="shared" si="4"/>
        <v>0</v>
      </c>
      <c r="N30" s="849"/>
      <c r="O30" s="13"/>
      <c r="P30" s="13"/>
    </row>
    <row r="31" spans="1:16" s="26" customFormat="1" ht="12.75">
      <c r="A31" s="792" t="s">
        <v>272</v>
      </c>
      <c r="B31" s="796" t="s">
        <v>264</v>
      </c>
      <c r="C31" s="824"/>
      <c r="D31" s="819"/>
      <c r="E31" s="827">
        <v>36226.06</v>
      </c>
      <c r="F31" s="820">
        <v>36226.06</v>
      </c>
      <c r="G31" s="821"/>
      <c r="H31" s="822">
        <v>43354</v>
      </c>
      <c r="I31" s="820">
        <v>36226.06</v>
      </c>
      <c r="J31" s="823">
        <v>43409</v>
      </c>
      <c r="K31" s="800">
        <f t="shared" si="1"/>
        <v>55</v>
      </c>
      <c r="L31" s="794" t="str">
        <f t="shared" si="0"/>
        <v/>
      </c>
      <c r="M31" s="794">
        <f t="shared" si="4"/>
        <v>0</v>
      </c>
      <c r="N31" s="849"/>
      <c r="O31" s="13"/>
      <c r="P31" s="13"/>
    </row>
    <row r="32" spans="1:16" s="26" customFormat="1" ht="12.75">
      <c r="A32" s="789" t="s">
        <v>143</v>
      </c>
      <c r="B32" s="804" t="s">
        <v>264</v>
      </c>
      <c r="C32" s="825"/>
      <c r="D32" s="814"/>
      <c r="E32" s="829">
        <f>14221.78*1.085</f>
        <v>15430.631300000001</v>
      </c>
      <c r="F32" s="815">
        <v>15430.63</v>
      </c>
      <c r="G32" s="816"/>
      <c r="H32" s="817">
        <v>43397</v>
      </c>
      <c r="I32" s="826" t="s">
        <v>93</v>
      </c>
      <c r="J32" s="818"/>
      <c r="K32" s="809">
        <f t="shared" ca="1" si="1"/>
        <v>202</v>
      </c>
      <c r="L32" s="812">
        <f t="shared" si="0"/>
        <v>15430.63</v>
      </c>
      <c r="M32" s="812">
        <f t="shared" si="4"/>
        <v>0</v>
      </c>
      <c r="N32" s="849"/>
      <c r="O32" s="13"/>
      <c r="P32" s="13"/>
    </row>
    <row r="33" spans="1:16" s="26" customFormat="1" ht="12.75">
      <c r="A33" s="792" t="s">
        <v>259</v>
      </c>
      <c r="B33" s="796" t="s">
        <v>264</v>
      </c>
      <c r="C33" s="824"/>
      <c r="D33" s="819"/>
      <c r="E33" s="827">
        <v>92098.45</v>
      </c>
      <c r="F33" s="820">
        <v>92098.45</v>
      </c>
      <c r="G33" s="821"/>
      <c r="H33" s="822">
        <v>43514</v>
      </c>
      <c r="I33" s="820">
        <v>92098.45</v>
      </c>
      <c r="J33" s="823">
        <v>43570</v>
      </c>
      <c r="K33" s="800">
        <f t="shared" si="1"/>
        <v>56</v>
      </c>
      <c r="L33" s="794" t="str">
        <f t="shared" si="0"/>
        <v/>
      </c>
      <c r="M33" s="794">
        <f t="shared" si="4"/>
        <v>0</v>
      </c>
      <c r="N33" s="849"/>
      <c r="O33" s="13"/>
      <c r="P33" s="13"/>
    </row>
    <row r="34" spans="1:16" s="26" customFormat="1" ht="12.75">
      <c r="A34" s="789" t="s">
        <v>131</v>
      </c>
      <c r="B34" s="804" t="s">
        <v>264</v>
      </c>
      <c r="C34" s="825"/>
      <c r="D34" s="814"/>
      <c r="E34" s="829">
        <f>45234.05*1.085</f>
        <v>49078.94425</v>
      </c>
      <c r="F34" s="815">
        <v>49078.94425</v>
      </c>
      <c r="G34" s="816"/>
      <c r="H34" s="817">
        <v>43425</v>
      </c>
      <c r="I34" s="826" t="s">
        <v>93</v>
      </c>
      <c r="J34" s="818"/>
      <c r="K34" s="809">
        <f t="shared" ca="1" si="1"/>
        <v>174</v>
      </c>
      <c r="L34" s="812">
        <f t="shared" si="0"/>
        <v>49078.94425</v>
      </c>
      <c r="M34" s="812">
        <f t="shared" si="4"/>
        <v>0</v>
      </c>
      <c r="N34" s="849"/>
      <c r="O34" s="13"/>
      <c r="P34" s="13"/>
    </row>
    <row r="35" spans="1:16" s="26" customFormat="1" ht="12.75">
      <c r="A35" s="789" t="s">
        <v>147</v>
      </c>
      <c r="B35" s="804" t="s">
        <v>264</v>
      </c>
      <c r="C35" s="825"/>
      <c r="D35" s="814"/>
      <c r="E35" s="884">
        <f>12035.96*1.085</f>
        <v>13059.016599999999</v>
      </c>
      <c r="F35" s="815">
        <f>E35</f>
        <v>13059.016599999999</v>
      </c>
      <c r="G35" s="816"/>
      <c r="H35" s="817"/>
      <c r="I35" s="815"/>
      <c r="J35" s="818"/>
      <c r="K35" s="809">
        <f t="shared" ca="1" si="1"/>
        <v>43599</v>
      </c>
      <c r="L35" s="812" t="str">
        <f t="shared" si="0"/>
        <v/>
      </c>
      <c r="M35" s="812">
        <f t="shared" si="4"/>
        <v>13059.016599999999</v>
      </c>
      <c r="N35" s="849"/>
      <c r="O35" s="13"/>
      <c r="P35" s="13"/>
    </row>
    <row r="36" spans="1:16" s="26" customFormat="1" ht="12.75">
      <c r="A36" s="789" t="s">
        <v>37</v>
      </c>
      <c r="B36" s="804" t="s">
        <v>264</v>
      </c>
      <c r="C36" s="825"/>
      <c r="D36" s="814"/>
      <c r="E36" s="829">
        <f>72447.32*1.085</f>
        <v>78605.342199999999</v>
      </c>
      <c r="F36" s="815">
        <v>78605.342199999999</v>
      </c>
      <c r="G36" s="816"/>
      <c r="H36" s="817">
        <v>43425</v>
      </c>
      <c r="I36" s="826" t="s">
        <v>93</v>
      </c>
      <c r="J36" s="818"/>
      <c r="K36" s="809">
        <f t="shared" ca="1" si="1"/>
        <v>174</v>
      </c>
      <c r="L36" s="812">
        <f t="shared" si="0"/>
        <v>78605.342199999999</v>
      </c>
      <c r="M36" s="812">
        <f t="shared" si="4"/>
        <v>0</v>
      </c>
      <c r="N36" s="849"/>
      <c r="O36" s="13"/>
      <c r="P36" s="13"/>
    </row>
    <row r="37" spans="1:16" s="26" customFormat="1" ht="12.75">
      <c r="A37" s="792" t="s">
        <v>37</v>
      </c>
      <c r="B37" s="796" t="s">
        <v>264</v>
      </c>
      <c r="C37" s="324"/>
      <c r="D37" s="476"/>
      <c r="E37" s="863">
        <v>21718.06</v>
      </c>
      <c r="F37" s="864">
        <v>21718.06</v>
      </c>
      <c r="G37" s="699"/>
      <c r="H37" s="865">
        <v>43425</v>
      </c>
      <c r="I37" s="820">
        <v>21718.06</v>
      </c>
      <c r="J37" s="701">
        <v>43479</v>
      </c>
      <c r="K37" s="866">
        <f t="shared" si="1"/>
        <v>54</v>
      </c>
      <c r="L37" s="794" t="str">
        <f t="shared" si="0"/>
        <v/>
      </c>
      <c r="M37" s="794">
        <f t="shared" si="4"/>
        <v>0</v>
      </c>
      <c r="N37" s="849"/>
      <c r="O37" s="13"/>
      <c r="P37" s="13"/>
    </row>
    <row r="38" spans="1:16" s="26" customFormat="1" ht="12.75">
      <c r="A38" s="261" t="s">
        <v>280</v>
      </c>
      <c r="B38" s="878" t="s">
        <v>264</v>
      </c>
      <c r="C38" s="508"/>
      <c r="D38" s="260"/>
      <c r="E38" s="509">
        <f>61533.1*1.085</f>
        <v>66763.413499999995</v>
      </c>
      <c r="F38" s="56">
        <v>66763.41</v>
      </c>
      <c r="G38" s="264"/>
      <c r="H38" s="879"/>
      <c r="I38" s="265"/>
      <c r="J38" s="266"/>
      <c r="K38" s="880"/>
      <c r="L38" s="881"/>
      <c r="M38" s="267"/>
      <c r="N38" s="877" t="s">
        <v>394</v>
      </c>
      <c r="O38" s="13"/>
      <c r="P38" s="13"/>
    </row>
    <row r="39" spans="1:16" s="26" customFormat="1" ht="12.75">
      <c r="A39" s="261" t="s">
        <v>255</v>
      </c>
      <c r="B39" s="878" t="s">
        <v>264</v>
      </c>
      <c r="C39" s="508"/>
      <c r="D39" s="260"/>
      <c r="E39" s="509">
        <f>16717.31*1.085</f>
        <v>18138.281350000001</v>
      </c>
      <c r="F39" s="56">
        <f>E39</f>
        <v>18138.281350000001</v>
      </c>
      <c r="G39" s="264"/>
      <c r="H39" s="879"/>
      <c r="I39" s="265"/>
      <c r="J39" s="266"/>
      <c r="K39" s="880"/>
      <c r="L39" s="881"/>
      <c r="M39" s="267"/>
      <c r="N39" s="877"/>
      <c r="O39" s="13"/>
      <c r="P39" s="13"/>
    </row>
    <row r="40" spans="1:16" s="26" customFormat="1" ht="12.75">
      <c r="A40" s="261" t="s">
        <v>257</v>
      </c>
      <c r="B40" s="878" t="s">
        <v>264</v>
      </c>
      <c r="C40" s="508"/>
      <c r="D40" s="260"/>
      <c r="E40" s="509">
        <f>23733.45*1.085</f>
        <v>25750.793249999999</v>
      </c>
      <c r="F40" s="56">
        <f>+E40</f>
        <v>25750.793249999999</v>
      </c>
      <c r="G40" s="264"/>
      <c r="H40" s="879"/>
      <c r="I40" s="265"/>
      <c r="J40" s="266"/>
      <c r="K40" s="880"/>
      <c r="L40" s="881"/>
      <c r="M40" s="267"/>
      <c r="N40" s="877"/>
      <c r="O40" s="13"/>
      <c r="P40" s="13"/>
    </row>
    <row r="41" spans="1:16" s="26" customFormat="1" ht="12.75">
      <c r="A41" s="261" t="s">
        <v>314</v>
      </c>
      <c r="B41" s="878" t="s">
        <v>264</v>
      </c>
      <c r="C41" s="508"/>
      <c r="D41" s="260"/>
      <c r="E41" s="509">
        <f>44959.45*1.085</f>
        <v>48781.003249999994</v>
      </c>
      <c r="F41" s="56">
        <f>E41</f>
        <v>48781.003249999994</v>
      </c>
      <c r="G41" s="264"/>
      <c r="H41" s="879"/>
      <c r="I41" s="265"/>
      <c r="J41" s="266"/>
      <c r="K41" s="880"/>
      <c r="L41" s="881"/>
      <c r="M41" s="267"/>
      <c r="N41" s="877" t="s">
        <v>394</v>
      </c>
      <c r="O41" s="13"/>
      <c r="P41" s="13"/>
    </row>
    <row r="42" spans="1:16" s="26" customFormat="1" ht="12.75">
      <c r="A42" s="119" t="s">
        <v>412</v>
      </c>
      <c r="B42" s="713"/>
      <c r="C42" s="158"/>
      <c r="D42" s="714"/>
      <c r="E42" s="443"/>
      <c r="F42" s="122"/>
      <c r="G42" s="252"/>
      <c r="H42" s="784"/>
      <c r="I42" s="450">
        <f>SUM(I43)</f>
        <v>0</v>
      </c>
      <c r="J42" s="215"/>
      <c r="K42" s="715">
        <f t="shared" ca="1" si="1"/>
        <v>43599</v>
      </c>
      <c r="L42" s="123"/>
      <c r="M42" s="254">
        <f>SUM(M43)</f>
        <v>0</v>
      </c>
      <c r="N42" s="849"/>
      <c r="O42" s="13"/>
      <c r="P42" s="13"/>
    </row>
    <row r="43" spans="1:16" s="26" customFormat="1" ht="12.75">
      <c r="A43" s="45" t="s">
        <v>412</v>
      </c>
      <c r="B43" s="453"/>
      <c r="C43" s="105"/>
      <c r="D43" s="29"/>
      <c r="E43" s="448"/>
      <c r="F43" s="16"/>
      <c r="G43" s="42"/>
      <c r="H43" s="783"/>
      <c r="I43" s="24"/>
      <c r="J43" s="30"/>
      <c r="K43" s="564">
        <f t="shared" ca="1" si="1"/>
        <v>43599</v>
      </c>
      <c r="L43" s="365"/>
      <c r="M43" s="157"/>
      <c r="N43" s="849"/>
      <c r="O43" s="13"/>
      <c r="P43" s="13"/>
    </row>
    <row r="44" spans="1:16" s="26" customFormat="1" ht="12.75">
      <c r="A44" s="613" t="s">
        <v>412</v>
      </c>
      <c r="B44" s="614"/>
      <c r="C44" s="615"/>
      <c r="D44" s="615"/>
      <c r="E44" s="616"/>
      <c r="F44" s="617"/>
      <c r="G44" s="618"/>
      <c r="H44" s="785"/>
      <c r="I44" s="619"/>
      <c r="J44" s="620"/>
      <c r="K44" s="830">
        <f t="shared" ca="1" si="1"/>
        <v>43599</v>
      </c>
      <c r="L44" s="831"/>
      <c r="M44" s="832"/>
      <c r="N44" s="849"/>
      <c r="O44" s="13"/>
      <c r="P44" s="13"/>
    </row>
    <row r="45" spans="1:16" s="26" customFormat="1" ht="12.75">
      <c r="A45" s="874" t="s">
        <v>58</v>
      </c>
      <c r="B45" s="804" t="s">
        <v>265</v>
      </c>
      <c r="C45" s="814"/>
      <c r="D45" s="814"/>
      <c r="E45" s="807">
        <v>15485</v>
      </c>
      <c r="F45" s="815">
        <v>15485</v>
      </c>
      <c r="G45" s="816"/>
      <c r="H45" s="817">
        <v>42761</v>
      </c>
      <c r="I45" s="826" t="s">
        <v>93</v>
      </c>
      <c r="J45" s="818"/>
      <c r="K45" s="809">
        <f t="shared" ca="1" si="1"/>
        <v>838</v>
      </c>
      <c r="L45" s="812">
        <f>IF(I45="en attente",F45,"")</f>
        <v>15485</v>
      </c>
      <c r="M45" s="812">
        <f t="shared" ref="M45:M63" si="5">IF(H45="",F45-I45,0)</f>
        <v>0</v>
      </c>
      <c r="N45" s="849"/>
      <c r="O45" s="13"/>
      <c r="P45" s="13"/>
    </row>
    <row r="46" spans="1:16" s="26" customFormat="1" ht="12.75">
      <c r="A46" s="874" t="s">
        <v>61</v>
      </c>
      <c r="B46" s="804" t="s">
        <v>265</v>
      </c>
      <c r="C46" s="814"/>
      <c r="D46" s="814"/>
      <c r="E46" s="807">
        <v>24894</v>
      </c>
      <c r="F46" s="815">
        <v>24894</v>
      </c>
      <c r="G46" s="816"/>
      <c r="H46" s="817">
        <v>42830</v>
      </c>
      <c r="I46" s="826" t="s">
        <v>93</v>
      </c>
      <c r="J46" s="818"/>
      <c r="K46" s="809">
        <f t="shared" ca="1" si="1"/>
        <v>769</v>
      </c>
      <c r="L46" s="812">
        <f>IF(I46="en attente",F46,"")</f>
        <v>24894</v>
      </c>
      <c r="M46" s="812">
        <f t="shared" si="5"/>
        <v>0</v>
      </c>
      <c r="N46" s="849"/>
      <c r="O46" s="13"/>
      <c r="P46" s="13"/>
    </row>
    <row r="47" spans="1:16" s="26" customFormat="1" ht="12.75">
      <c r="A47" s="874" t="s">
        <v>59</v>
      </c>
      <c r="B47" s="804" t="s">
        <v>265</v>
      </c>
      <c r="C47" s="814"/>
      <c r="D47" s="814"/>
      <c r="E47" s="807">
        <v>17350</v>
      </c>
      <c r="F47" s="815">
        <v>17350</v>
      </c>
      <c r="G47" s="816"/>
      <c r="H47" s="817">
        <v>43188</v>
      </c>
      <c r="I47" s="826" t="s">
        <v>93</v>
      </c>
      <c r="J47" s="818"/>
      <c r="K47" s="809">
        <f t="shared" ca="1" si="1"/>
        <v>411</v>
      </c>
      <c r="L47" s="812">
        <f>IF(I47="en attente",F47,"")</f>
        <v>17350</v>
      </c>
      <c r="M47" s="812">
        <f t="shared" si="5"/>
        <v>0</v>
      </c>
      <c r="N47" s="849"/>
      <c r="O47" s="13"/>
      <c r="P47" s="13"/>
    </row>
    <row r="48" spans="1:16" s="26" customFormat="1" ht="12.75">
      <c r="A48" s="874" t="s">
        <v>272</v>
      </c>
      <c r="B48" s="804" t="s">
        <v>265</v>
      </c>
      <c r="C48" s="814"/>
      <c r="D48" s="814"/>
      <c r="E48" s="807">
        <f>12414</f>
        <v>12414</v>
      </c>
      <c r="F48" s="833">
        <f>+E48</f>
        <v>12414</v>
      </c>
      <c r="G48" s="816"/>
      <c r="H48" s="817">
        <v>43453</v>
      </c>
      <c r="I48" s="826" t="s">
        <v>93</v>
      </c>
      <c r="J48" s="818"/>
      <c r="K48" s="809">
        <f t="shared" ca="1" si="1"/>
        <v>146</v>
      </c>
      <c r="L48" s="812">
        <f t="shared" ref="L48:L63" si="6">IF(I48="en attente",F48,"")</f>
        <v>12414</v>
      </c>
      <c r="M48" s="812">
        <f t="shared" si="5"/>
        <v>0</v>
      </c>
      <c r="N48" s="849"/>
      <c r="O48" s="13"/>
      <c r="P48" s="13"/>
    </row>
    <row r="49" spans="1:17" s="26" customFormat="1" ht="72">
      <c r="A49" s="874" t="s">
        <v>273</v>
      </c>
      <c r="B49" s="804" t="s">
        <v>265</v>
      </c>
      <c r="C49" s="814"/>
      <c r="D49" s="814"/>
      <c r="E49" s="807">
        <v>9265</v>
      </c>
      <c r="F49" s="833">
        <f>+E49</f>
        <v>9265</v>
      </c>
      <c r="G49" s="816"/>
      <c r="H49" s="817">
        <v>43451</v>
      </c>
      <c r="I49" s="826" t="s">
        <v>93</v>
      </c>
      <c r="J49" s="818"/>
      <c r="K49" s="809">
        <f t="shared" ca="1" si="1"/>
        <v>148</v>
      </c>
      <c r="L49" s="812">
        <f t="shared" si="6"/>
        <v>9265</v>
      </c>
      <c r="M49" s="812">
        <f t="shared" si="5"/>
        <v>0</v>
      </c>
      <c r="N49" s="876" t="s">
        <v>390</v>
      </c>
      <c r="O49" s="13"/>
      <c r="P49" s="13"/>
    </row>
    <row r="50" spans="1:17" s="26" customFormat="1" ht="12.75">
      <c r="A50" s="792" t="s">
        <v>238</v>
      </c>
      <c r="B50" s="796" t="s">
        <v>265</v>
      </c>
      <c r="C50" s="819"/>
      <c r="D50" s="819"/>
      <c r="E50" s="489">
        <f>5055*1.085</f>
        <v>5484.6750000000002</v>
      </c>
      <c r="F50" s="820">
        <v>5484.6750000000002</v>
      </c>
      <c r="G50" s="821"/>
      <c r="H50" s="822">
        <v>43060</v>
      </c>
      <c r="I50" s="820">
        <v>4438</v>
      </c>
      <c r="J50" s="823">
        <v>43474</v>
      </c>
      <c r="K50" s="800">
        <f t="shared" si="1"/>
        <v>414</v>
      </c>
      <c r="L50" s="794" t="str">
        <f t="shared" si="6"/>
        <v/>
      </c>
      <c r="M50" s="794">
        <f t="shared" si="5"/>
        <v>0</v>
      </c>
      <c r="N50" s="849" t="s">
        <v>382</v>
      </c>
      <c r="O50" s="13"/>
      <c r="P50" s="449">
        <f>F50-I50</f>
        <v>1046.6750000000002</v>
      </c>
    </row>
    <row r="51" spans="1:17" s="26" customFormat="1" ht="12.75">
      <c r="A51" s="874" t="s">
        <v>147</v>
      </c>
      <c r="B51" s="804" t="s">
        <v>265</v>
      </c>
      <c r="C51" s="814"/>
      <c r="D51" s="814"/>
      <c r="E51" s="807">
        <f>8336*1.085</f>
        <v>9044.56</v>
      </c>
      <c r="F51" s="815">
        <v>9044.56</v>
      </c>
      <c r="G51" s="816"/>
      <c r="H51" s="817"/>
      <c r="I51" s="815"/>
      <c r="J51" s="818"/>
      <c r="K51" s="809">
        <f t="shared" ca="1" si="1"/>
        <v>43599</v>
      </c>
      <c r="L51" s="812" t="str">
        <f t="shared" si="6"/>
        <v/>
      </c>
      <c r="M51" s="812">
        <f t="shared" si="5"/>
        <v>9044.56</v>
      </c>
      <c r="N51" s="849"/>
      <c r="O51" s="13"/>
      <c r="P51" s="13"/>
    </row>
    <row r="52" spans="1:17" s="26" customFormat="1" ht="12.75">
      <c r="A52" s="874" t="s">
        <v>143</v>
      </c>
      <c r="B52" s="804" t="s">
        <v>265</v>
      </c>
      <c r="C52" s="814"/>
      <c r="D52" s="814"/>
      <c r="E52" s="807">
        <f>11840*1.085</f>
        <v>12846.4</v>
      </c>
      <c r="F52" s="833">
        <v>12846.4</v>
      </c>
      <c r="G52" s="816"/>
      <c r="H52" s="817">
        <v>43411</v>
      </c>
      <c r="I52" s="826" t="s">
        <v>93</v>
      </c>
      <c r="J52" s="818"/>
      <c r="K52" s="809">
        <f t="shared" ca="1" si="1"/>
        <v>188</v>
      </c>
      <c r="L52" s="812">
        <f t="shared" si="6"/>
        <v>12846.4</v>
      </c>
      <c r="M52" s="812">
        <f t="shared" si="5"/>
        <v>0</v>
      </c>
      <c r="N52" s="849" t="s">
        <v>397</v>
      </c>
      <c r="O52" s="13"/>
      <c r="P52" s="13"/>
    </row>
    <row r="53" spans="1:17" s="26" customFormat="1" ht="12.75">
      <c r="A53" s="874" t="s">
        <v>37</v>
      </c>
      <c r="B53" s="804" t="s">
        <v>265</v>
      </c>
      <c r="C53" s="818"/>
      <c r="D53" s="814"/>
      <c r="E53" s="828">
        <f>20936*1.085</f>
        <v>22715.559999999998</v>
      </c>
      <c r="F53" s="815">
        <v>22715.559999999998</v>
      </c>
      <c r="G53" s="816"/>
      <c r="H53" s="817"/>
      <c r="I53" s="834"/>
      <c r="J53" s="818"/>
      <c r="K53" s="809">
        <f t="shared" ca="1" si="1"/>
        <v>43599</v>
      </c>
      <c r="L53" s="812" t="str">
        <f t="shared" si="6"/>
        <v/>
      </c>
      <c r="M53" s="812">
        <f t="shared" si="5"/>
        <v>22715.559999999998</v>
      </c>
      <c r="N53" s="849"/>
      <c r="O53" s="13"/>
      <c r="P53" s="13"/>
      <c r="Q53" s="166"/>
    </row>
    <row r="54" spans="1:17" s="26" customFormat="1" ht="12.75">
      <c r="A54" s="874" t="s">
        <v>259</v>
      </c>
      <c r="B54" s="804" t="s">
        <v>265</v>
      </c>
      <c r="C54" s="818"/>
      <c r="D54" s="814"/>
      <c r="E54" s="828">
        <f>66468*1.085</f>
        <v>72117.78</v>
      </c>
      <c r="F54" s="815">
        <v>72117.78</v>
      </c>
      <c r="G54" s="816"/>
      <c r="H54" s="817"/>
      <c r="I54" s="834"/>
      <c r="J54" s="818"/>
      <c r="K54" s="809">
        <f t="shared" ca="1" si="1"/>
        <v>43599</v>
      </c>
      <c r="L54" s="812" t="str">
        <f t="shared" si="6"/>
        <v/>
      </c>
      <c r="M54" s="812">
        <f t="shared" si="5"/>
        <v>72117.78</v>
      </c>
      <c r="N54" s="849"/>
      <c r="O54" s="13"/>
      <c r="P54" s="13"/>
      <c r="Q54" s="166"/>
    </row>
    <row r="55" spans="1:17" s="26" customFormat="1" ht="12.75">
      <c r="A55" s="874" t="s">
        <v>130</v>
      </c>
      <c r="B55" s="804" t="s">
        <v>265</v>
      </c>
      <c r="C55" s="818"/>
      <c r="D55" s="814"/>
      <c r="E55" s="828">
        <f>10836*1.085</f>
        <v>11757.06</v>
      </c>
      <c r="F55" s="833">
        <v>11757.06</v>
      </c>
      <c r="G55" s="816"/>
      <c r="H55" s="817">
        <v>43516</v>
      </c>
      <c r="I55" s="883" t="s">
        <v>93</v>
      </c>
      <c r="J55" s="818"/>
      <c r="K55" s="809">
        <f t="shared" ca="1" si="1"/>
        <v>83</v>
      </c>
      <c r="L55" s="812">
        <f t="shared" si="6"/>
        <v>11757.06</v>
      </c>
      <c r="M55" s="812">
        <f t="shared" si="5"/>
        <v>0</v>
      </c>
      <c r="N55" s="849" t="s">
        <v>392</v>
      </c>
      <c r="O55" s="13"/>
      <c r="P55" s="13"/>
    </row>
    <row r="56" spans="1:17" s="26" customFormat="1" ht="12.75">
      <c r="A56" s="874" t="s">
        <v>403</v>
      </c>
      <c r="B56" s="804" t="s">
        <v>265</v>
      </c>
      <c r="C56" s="818"/>
      <c r="D56" s="814"/>
      <c r="E56" s="828">
        <f>60104*1.085</f>
        <v>65212.84</v>
      </c>
      <c r="F56" s="815">
        <v>65212.84</v>
      </c>
      <c r="G56" s="816"/>
      <c r="H56" s="817"/>
      <c r="I56" s="815"/>
      <c r="J56" s="818"/>
      <c r="K56" s="809">
        <f t="shared" ca="1" si="1"/>
        <v>43599</v>
      </c>
      <c r="L56" s="812" t="str">
        <f t="shared" si="6"/>
        <v/>
      </c>
      <c r="M56" s="812">
        <f t="shared" si="5"/>
        <v>65212.84</v>
      </c>
      <c r="N56" s="849"/>
      <c r="O56" s="13"/>
      <c r="P56" s="13"/>
    </row>
    <row r="57" spans="1:17" s="26" customFormat="1" ht="12.75">
      <c r="A57" s="874" t="s">
        <v>131</v>
      </c>
      <c r="B57" s="804" t="s">
        <v>265</v>
      </c>
      <c r="C57" s="818"/>
      <c r="D57" s="814"/>
      <c r="E57" s="828">
        <f>21616*1.085</f>
        <v>23453.360000000001</v>
      </c>
      <c r="F57" s="815">
        <v>23453.360000000001</v>
      </c>
      <c r="G57" s="816"/>
      <c r="H57" s="817"/>
      <c r="I57" s="815"/>
      <c r="J57" s="818"/>
      <c r="K57" s="809">
        <f t="shared" ca="1" si="1"/>
        <v>43599</v>
      </c>
      <c r="L57" s="812" t="str">
        <f t="shared" si="6"/>
        <v/>
      </c>
      <c r="M57" s="812">
        <f t="shared" si="5"/>
        <v>23453.360000000001</v>
      </c>
      <c r="N57" s="849"/>
      <c r="O57" s="13"/>
      <c r="P57" s="13"/>
    </row>
    <row r="58" spans="1:17" s="26" customFormat="1" ht="12.75">
      <c r="A58" s="874" t="s">
        <v>261</v>
      </c>
      <c r="B58" s="804" t="s">
        <v>265</v>
      </c>
      <c r="C58" s="818"/>
      <c r="D58" s="814"/>
      <c r="E58" s="828">
        <f>68840*1.085</f>
        <v>74691.399999999994</v>
      </c>
      <c r="F58" s="815">
        <f t="shared" ref="F58:F63" si="7">E58</f>
        <v>74691.399999999994</v>
      </c>
      <c r="G58" s="816"/>
      <c r="H58" s="817"/>
      <c r="I58" s="815"/>
      <c r="J58" s="818"/>
      <c r="K58" s="809">
        <f t="shared" ca="1" si="1"/>
        <v>43599</v>
      </c>
      <c r="L58" s="812" t="str">
        <f t="shared" si="6"/>
        <v/>
      </c>
      <c r="M58" s="812">
        <f t="shared" si="5"/>
        <v>74691.399999999994</v>
      </c>
      <c r="N58" s="849"/>
      <c r="O58" s="13"/>
      <c r="P58" s="13"/>
    </row>
    <row r="59" spans="1:17" s="26" customFormat="1" ht="12.75">
      <c r="A59" s="874" t="s">
        <v>251</v>
      </c>
      <c r="B59" s="804" t="s">
        <v>265</v>
      </c>
      <c r="C59" s="818"/>
      <c r="D59" s="814"/>
      <c r="E59" s="828">
        <f>14823*1.085</f>
        <v>16082.955</v>
      </c>
      <c r="F59" s="815">
        <f t="shared" si="7"/>
        <v>16082.955</v>
      </c>
      <c r="G59" s="816"/>
      <c r="H59" s="817"/>
      <c r="I59" s="815"/>
      <c r="J59" s="818"/>
      <c r="K59" s="809">
        <f t="shared" ca="1" si="1"/>
        <v>43599</v>
      </c>
      <c r="L59" s="812" t="str">
        <f t="shared" si="6"/>
        <v/>
      </c>
      <c r="M59" s="812">
        <f t="shared" si="5"/>
        <v>16082.955</v>
      </c>
      <c r="N59" s="849" t="s">
        <v>95</v>
      </c>
      <c r="O59" s="13"/>
      <c r="P59" s="13"/>
    </row>
    <row r="60" spans="1:17" s="26" customFormat="1" ht="12.75">
      <c r="A60" s="874" t="s">
        <v>255</v>
      </c>
      <c r="B60" s="804" t="s">
        <v>265</v>
      </c>
      <c r="C60" s="818"/>
      <c r="D60" s="814"/>
      <c r="E60" s="828">
        <f>47790*1.085</f>
        <v>51852.15</v>
      </c>
      <c r="F60" s="815">
        <f t="shared" si="7"/>
        <v>51852.15</v>
      </c>
      <c r="G60" s="816"/>
      <c r="H60" s="817"/>
      <c r="I60" s="815"/>
      <c r="J60" s="818"/>
      <c r="K60" s="809"/>
      <c r="L60" s="812" t="str">
        <f t="shared" si="6"/>
        <v/>
      </c>
      <c r="M60" s="812">
        <f t="shared" si="5"/>
        <v>51852.15</v>
      </c>
      <c r="N60" s="849"/>
      <c r="O60" s="13"/>
      <c r="P60" s="13"/>
    </row>
    <row r="61" spans="1:17" s="26" customFormat="1" ht="12.75">
      <c r="A61" s="874" t="s">
        <v>314</v>
      </c>
      <c r="B61" s="804" t="s">
        <v>384</v>
      </c>
      <c r="C61" s="818">
        <v>42926</v>
      </c>
      <c r="D61" s="814"/>
      <c r="E61" s="828">
        <f>49964*1.085</f>
        <v>54210.939999999995</v>
      </c>
      <c r="F61" s="815">
        <f t="shared" si="7"/>
        <v>54210.939999999995</v>
      </c>
      <c r="G61" s="816"/>
      <c r="H61" s="817"/>
      <c r="I61" s="815"/>
      <c r="J61" s="818"/>
      <c r="K61" s="809"/>
      <c r="L61" s="812" t="str">
        <f t="shared" si="6"/>
        <v/>
      </c>
      <c r="M61" s="812">
        <f t="shared" si="5"/>
        <v>54210.939999999995</v>
      </c>
      <c r="N61" s="849"/>
      <c r="O61" s="13"/>
      <c r="P61" s="13"/>
    </row>
    <row r="62" spans="1:17" s="26" customFormat="1" ht="12.75">
      <c r="A62" s="874" t="s">
        <v>280</v>
      </c>
      <c r="B62" s="804" t="s">
        <v>391</v>
      </c>
      <c r="C62" s="818">
        <v>43136</v>
      </c>
      <c r="D62" s="814"/>
      <c r="E62" s="828">
        <f>98780*1.085</f>
        <v>107176.3</v>
      </c>
      <c r="F62" s="815">
        <f t="shared" si="7"/>
        <v>107176.3</v>
      </c>
      <c r="G62" s="816"/>
      <c r="H62" s="817"/>
      <c r="I62" s="815"/>
      <c r="J62" s="818"/>
      <c r="K62" s="809"/>
      <c r="L62" s="812" t="str">
        <f t="shared" si="6"/>
        <v/>
      </c>
      <c r="M62" s="812">
        <f t="shared" si="5"/>
        <v>107176.3</v>
      </c>
      <c r="N62" s="849"/>
      <c r="O62" s="13"/>
      <c r="P62" s="13"/>
    </row>
    <row r="63" spans="1:17" s="26" customFormat="1" ht="12.75">
      <c r="A63" s="874" t="s">
        <v>302</v>
      </c>
      <c r="B63" s="804" t="s">
        <v>391</v>
      </c>
      <c r="C63" s="818"/>
      <c r="D63" s="814"/>
      <c r="E63" s="828">
        <f>43630*1.085</f>
        <v>47338.549999999996</v>
      </c>
      <c r="F63" s="815">
        <f t="shared" si="7"/>
        <v>47338.549999999996</v>
      </c>
      <c r="G63" s="816"/>
      <c r="H63" s="817"/>
      <c r="I63" s="815"/>
      <c r="J63" s="818"/>
      <c r="K63" s="809"/>
      <c r="L63" s="812" t="str">
        <f t="shared" si="6"/>
        <v/>
      </c>
      <c r="M63" s="812">
        <f t="shared" si="5"/>
        <v>47338.549999999996</v>
      </c>
      <c r="N63" s="849"/>
      <c r="O63" s="13"/>
      <c r="P63" s="13"/>
    </row>
    <row r="64" spans="1:17" s="26" customFormat="1" ht="12.75">
      <c r="A64" s="874" t="s">
        <v>355</v>
      </c>
      <c r="B64" s="804"/>
      <c r="C64" s="818">
        <v>43027</v>
      </c>
      <c r="D64" s="814"/>
      <c r="E64" s="828">
        <v>0</v>
      </c>
      <c r="F64" s="815"/>
      <c r="G64" s="816"/>
      <c r="H64" s="817"/>
      <c r="I64" s="815"/>
      <c r="J64" s="818"/>
      <c r="K64" s="809"/>
      <c r="L64" s="812"/>
      <c r="M64" s="812"/>
      <c r="N64" s="849"/>
      <c r="O64" s="13"/>
      <c r="P64" s="13"/>
    </row>
    <row r="65" spans="1:16" s="26" customFormat="1" ht="12.75">
      <c r="A65" s="874" t="s">
        <v>371</v>
      </c>
      <c r="B65" s="804" t="s">
        <v>393</v>
      </c>
      <c r="C65" s="818"/>
      <c r="D65" s="814"/>
      <c r="E65" s="828">
        <v>0</v>
      </c>
      <c r="F65" s="815"/>
      <c r="G65" s="816"/>
      <c r="H65" s="817"/>
      <c r="I65" s="815"/>
      <c r="J65" s="818"/>
      <c r="K65" s="809"/>
      <c r="L65" s="812"/>
      <c r="M65" s="812"/>
      <c r="N65" s="849"/>
      <c r="O65" s="13"/>
      <c r="P65" s="13"/>
    </row>
    <row r="66" spans="1:16" s="26" customFormat="1" ht="12.75">
      <c r="A66" s="874" t="s">
        <v>305</v>
      </c>
      <c r="B66" s="804"/>
      <c r="C66" s="818"/>
      <c r="D66" s="814"/>
      <c r="E66" s="828">
        <v>0</v>
      </c>
      <c r="F66" s="815"/>
      <c r="G66" s="816"/>
      <c r="H66" s="817"/>
      <c r="I66" s="815"/>
      <c r="J66" s="818"/>
      <c r="K66" s="809"/>
      <c r="L66" s="812"/>
      <c r="M66" s="812"/>
      <c r="N66" s="849"/>
      <c r="O66" s="13"/>
      <c r="P66" s="13"/>
    </row>
    <row r="67" spans="1:16" s="26" customFormat="1" ht="12.75">
      <c r="A67" s="874" t="s">
        <v>353</v>
      </c>
      <c r="B67" s="804"/>
      <c r="C67" s="818"/>
      <c r="D67" s="814"/>
      <c r="E67" s="828">
        <v>0</v>
      </c>
      <c r="F67" s="815"/>
      <c r="G67" s="816"/>
      <c r="H67" s="817"/>
      <c r="I67" s="815"/>
      <c r="J67" s="818"/>
      <c r="K67" s="809"/>
      <c r="L67" s="812"/>
      <c r="M67" s="812"/>
      <c r="N67" s="849"/>
      <c r="O67" s="13"/>
      <c r="P67" s="13"/>
    </row>
    <row r="68" spans="1:16" s="26" customFormat="1" ht="12.75">
      <c r="A68" s="874" t="s">
        <v>307</v>
      </c>
      <c r="B68" s="804"/>
      <c r="C68" s="818"/>
      <c r="D68" s="814"/>
      <c r="E68" s="828">
        <v>0</v>
      </c>
      <c r="F68" s="815"/>
      <c r="G68" s="816"/>
      <c r="H68" s="817"/>
      <c r="I68" s="815"/>
      <c r="J68" s="818"/>
      <c r="K68" s="809"/>
      <c r="L68" s="812"/>
      <c r="M68" s="812"/>
      <c r="N68" s="849"/>
      <c r="O68" s="13"/>
      <c r="P68" s="13"/>
    </row>
    <row r="69" spans="1:16" s="26" customFormat="1" ht="12.75">
      <c r="A69" s="874" t="s">
        <v>257</v>
      </c>
      <c r="B69" s="804"/>
      <c r="C69" s="818"/>
      <c r="D69" s="814"/>
      <c r="E69" s="828">
        <v>0</v>
      </c>
      <c r="F69" s="815"/>
      <c r="G69" s="816"/>
      <c r="H69" s="817"/>
      <c r="I69" s="815"/>
      <c r="J69" s="818"/>
      <c r="K69" s="809"/>
      <c r="L69" s="812"/>
      <c r="M69" s="812"/>
      <c r="N69" s="849"/>
      <c r="O69" s="13"/>
      <c r="P69" s="13"/>
    </row>
    <row r="70" spans="1:16" s="26" customFormat="1" ht="12.75">
      <c r="A70" s="874" t="s">
        <v>252</v>
      </c>
      <c r="B70" s="804"/>
      <c r="C70" s="818"/>
      <c r="D70" s="814"/>
      <c r="E70" s="828">
        <v>0</v>
      </c>
      <c r="F70" s="815"/>
      <c r="G70" s="816"/>
      <c r="H70" s="817"/>
      <c r="I70" s="815"/>
      <c r="J70" s="818"/>
      <c r="K70" s="809"/>
      <c r="L70" s="812"/>
      <c r="M70" s="812"/>
      <c r="N70" s="849"/>
      <c r="O70" s="13"/>
      <c r="P70" s="13"/>
    </row>
    <row r="71" spans="1:16" s="26" customFormat="1" ht="12.75">
      <c r="A71" s="803" t="s">
        <v>412</v>
      </c>
      <c r="B71" s="804"/>
      <c r="C71" s="818"/>
      <c r="D71" s="814"/>
      <c r="E71" s="828">
        <v>0</v>
      </c>
      <c r="F71" s="815"/>
      <c r="G71" s="816"/>
      <c r="H71" s="817"/>
      <c r="I71" s="815"/>
      <c r="J71" s="818"/>
      <c r="K71" s="809"/>
      <c r="L71" s="812"/>
      <c r="M71" s="812"/>
      <c r="N71" s="849"/>
      <c r="O71" s="13"/>
      <c r="P71" s="13"/>
    </row>
    <row r="72" spans="1:16" s="26" customFormat="1" ht="12.75">
      <c r="A72" s="859" t="s">
        <v>383</v>
      </c>
      <c r="B72" s="850"/>
      <c r="C72" s="851"/>
      <c r="D72" s="852"/>
      <c r="E72" s="853">
        <v>0</v>
      </c>
      <c r="F72" s="854"/>
      <c r="G72" s="855"/>
      <c r="H72" s="856"/>
      <c r="I72" s="854"/>
      <c r="J72" s="851"/>
      <c r="K72" s="857"/>
      <c r="L72" s="858"/>
      <c r="M72" s="858"/>
      <c r="N72" s="849"/>
      <c r="O72" s="13"/>
      <c r="P72" s="13"/>
    </row>
    <row r="73" spans="1:16" s="26" customFormat="1" ht="12.75">
      <c r="A73" s="882" t="s">
        <v>328</v>
      </c>
      <c r="B73" s="804" t="s">
        <v>265</v>
      </c>
      <c r="C73" s="818"/>
      <c r="D73" s="814"/>
      <c r="E73" s="828">
        <f>50436*1.085</f>
        <v>54723.06</v>
      </c>
      <c r="F73" s="815">
        <f>E73</f>
        <v>54723.06</v>
      </c>
      <c r="G73" s="816"/>
      <c r="H73" s="817"/>
      <c r="I73" s="815"/>
      <c r="J73" s="818"/>
      <c r="K73" s="809"/>
      <c r="L73" s="812" t="str">
        <f t="shared" ref="L73" si="8">IF(I73="en attente",F73,"")</f>
        <v/>
      </c>
      <c r="M73" s="812">
        <f t="shared" ref="M73" si="9">IF(H73="",F73-I73,0)</f>
        <v>54723.06</v>
      </c>
      <c r="N73" s="849"/>
      <c r="O73" s="13"/>
      <c r="P73" s="13"/>
    </row>
    <row r="74" spans="1:16" s="26" customFormat="1" ht="12.75">
      <c r="A74" s="882" t="s">
        <v>321</v>
      </c>
      <c r="B74" s="804"/>
      <c r="C74" s="818"/>
      <c r="D74" s="814"/>
      <c r="E74" s="828">
        <v>0</v>
      </c>
      <c r="F74" s="815"/>
      <c r="G74" s="816"/>
      <c r="H74" s="817"/>
      <c r="I74" s="815"/>
      <c r="J74" s="818"/>
      <c r="K74" s="809"/>
      <c r="L74" s="812"/>
      <c r="M74" s="812"/>
      <c r="N74" s="877"/>
      <c r="O74" s="13"/>
      <c r="P74" s="13"/>
    </row>
    <row r="75" spans="1:16" s="26" customFormat="1" ht="12.75">
      <c r="A75" s="882" t="s">
        <v>329</v>
      </c>
      <c r="B75" s="804"/>
      <c r="C75" s="818"/>
      <c r="D75" s="814"/>
      <c r="E75" s="828">
        <v>0</v>
      </c>
      <c r="F75" s="815"/>
      <c r="G75" s="816"/>
      <c r="H75" s="817"/>
      <c r="I75" s="815"/>
      <c r="J75" s="818"/>
      <c r="K75" s="809"/>
      <c r="L75" s="812"/>
      <c r="M75" s="812"/>
      <c r="N75" s="877"/>
      <c r="O75" s="13"/>
      <c r="P75" s="13"/>
    </row>
    <row r="76" spans="1:16" s="26" customFormat="1" ht="12.75">
      <c r="A76" s="882" t="s">
        <v>319</v>
      </c>
      <c r="B76" s="804"/>
      <c r="C76" s="818"/>
      <c r="D76" s="814"/>
      <c r="E76" s="828">
        <v>0</v>
      </c>
      <c r="F76" s="815"/>
      <c r="G76" s="816"/>
      <c r="H76" s="817"/>
      <c r="I76" s="815"/>
      <c r="J76" s="818"/>
      <c r="K76" s="809"/>
      <c r="L76" s="812"/>
      <c r="M76" s="812"/>
      <c r="N76" s="877"/>
      <c r="O76" s="13"/>
      <c r="P76" s="13"/>
    </row>
    <row r="77" spans="1:16" s="26" customFormat="1" ht="12.75">
      <c r="A77" s="882" t="s">
        <v>325</v>
      </c>
      <c r="B77" s="804"/>
      <c r="C77" s="818"/>
      <c r="D77" s="814"/>
      <c r="E77" s="828">
        <v>0</v>
      </c>
      <c r="F77" s="815"/>
      <c r="G77" s="816"/>
      <c r="H77" s="817"/>
      <c r="I77" s="815"/>
      <c r="J77" s="818"/>
      <c r="K77" s="809"/>
      <c r="L77" s="812"/>
      <c r="M77" s="812"/>
      <c r="N77" s="877"/>
      <c r="O77" s="13"/>
      <c r="P77" s="13"/>
    </row>
    <row r="78" spans="1:16" s="26" customFormat="1" ht="12.75">
      <c r="A78" s="882" t="s">
        <v>376</v>
      </c>
      <c r="B78" s="804"/>
      <c r="C78" s="818"/>
      <c r="D78" s="814"/>
      <c r="E78" s="828">
        <v>0</v>
      </c>
      <c r="F78" s="815"/>
      <c r="G78" s="816"/>
      <c r="H78" s="817"/>
      <c r="I78" s="815"/>
      <c r="J78" s="818"/>
      <c r="K78" s="809"/>
      <c r="L78" s="812"/>
      <c r="M78" s="812"/>
      <c r="N78" s="877"/>
      <c r="O78" s="13"/>
      <c r="P78" s="13"/>
    </row>
    <row r="79" spans="1:16" s="26" customFormat="1" ht="12.75">
      <c r="A79" s="882" t="s">
        <v>361</v>
      </c>
      <c r="B79" s="804"/>
      <c r="C79" s="818"/>
      <c r="D79" s="814"/>
      <c r="E79" s="828">
        <v>0</v>
      </c>
      <c r="F79" s="815"/>
      <c r="G79" s="816"/>
      <c r="H79" s="817"/>
      <c r="I79" s="815"/>
      <c r="J79" s="818"/>
      <c r="K79" s="809"/>
      <c r="L79" s="812"/>
      <c r="M79" s="812"/>
      <c r="N79" s="877"/>
      <c r="O79" s="13"/>
      <c r="P79" s="13"/>
    </row>
    <row r="80" spans="1:16" s="26" customFormat="1" ht="12.75">
      <c r="A80" s="882" t="s">
        <v>379</v>
      </c>
      <c r="B80" s="804"/>
      <c r="C80" s="818"/>
      <c r="D80" s="814"/>
      <c r="E80" s="828">
        <v>0</v>
      </c>
      <c r="F80" s="815"/>
      <c r="G80" s="816"/>
      <c r="H80" s="817"/>
      <c r="I80" s="815"/>
      <c r="J80" s="818"/>
      <c r="K80" s="809"/>
      <c r="L80" s="812"/>
      <c r="M80" s="812"/>
      <c r="N80" s="877"/>
      <c r="O80" s="13"/>
      <c r="P80" s="13"/>
    </row>
    <row r="81" spans="1:16" s="26" customFormat="1" ht="12.75">
      <c r="A81" s="882" t="s">
        <v>395</v>
      </c>
      <c r="B81" s="804"/>
      <c r="C81" s="818"/>
      <c r="D81" s="814"/>
      <c r="E81" s="828">
        <v>0</v>
      </c>
      <c r="F81" s="815"/>
      <c r="G81" s="816"/>
      <c r="H81" s="817"/>
      <c r="I81" s="815"/>
      <c r="J81" s="818"/>
      <c r="K81" s="809"/>
      <c r="L81" s="812"/>
      <c r="M81" s="812"/>
      <c r="N81" s="849"/>
      <c r="O81" s="13"/>
      <c r="P81" s="13"/>
    </row>
    <row r="82" spans="1:16" s="26" customFormat="1" ht="12.75">
      <c r="A82" s="882" t="s">
        <v>396</v>
      </c>
      <c r="B82" s="804"/>
      <c r="C82" s="818"/>
      <c r="D82" s="814"/>
      <c r="E82" s="828">
        <v>0</v>
      </c>
      <c r="F82" s="815"/>
      <c r="G82" s="816"/>
      <c r="H82" s="817"/>
      <c r="I82" s="815"/>
      <c r="J82" s="818"/>
      <c r="K82" s="809"/>
      <c r="L82" s="812"/>
      <c r="M82" s="812"/>
      <c r="N82" s="849"/>
      <c r="O82" s="13"/>
      <c r="P82" s="13"/>
    </row>
    <row r="83" spans="1:16" s="26" customFormat="1" ht="12.75">
      <c r="A83" s="882" t="s">
        <v>412</v>
      </c>
      <c r="B83" s="804"/>
      <c r="C83" s="818"/>
      <c r="D83" s="814"/>
      <c r="E83" s="828">
        <v>0</v>
      </c>
      <c r="F83" s="815"/>
      <c r="G83" s="816"/>
      <c r="H83" s="817"/>
      <c r="I83" s="815"/>
      <c r="J83" s="818"/>
      <c r="K83" s="809"/>
      <c r="L83" s="812"/>
      <c r="M83" s="812"/>
      <c r="N83" s="849"/>
      <c r="O83" s="13"/>
      <c r="P83" s="13"/>
    </row>
    <row r="84" spans="1:16" s="8" customFormat="1" ht="12.75">
      <c r="A84" s="75"/>
      <c r="B84" s="75"/>
      <c r="C84" s="925"/>
      <c r="D84" s="48"/>
      <c r="E84" s="807">
        <f>SUM(E6:E83)</f>
        <v>2197461.3749500006</v>
      </c>
      <c r="F84" s="41">
        <f>SUMPRODUCT((DateAF_EDF&lt;&gt;"")*MontantAF_EDF)</f>
        <v>1305059.4414500003</v>
      </c>
      <c r="G84" s="49"/>
      <c r="H84" s="786"/>
      <c r="I84" s="631">
        <f>SUM(MtntPaye_EDF)</f>
        <v>1026280.8400000001</v>
      </c>
      <c r="J84" s="50"/>
      <c r="K84" s="49"/>
      <c r="L84" s="41">
        <f>SUM(L6:L81)</f>
        <v>294933.78645000001</v>
      </c>
      <c r="M84" s="41">
        <f>SUM(M6:M81)</f>
        <v>715764.06830000016</v>
      </c>
      <c r="N84" s="849"/>
      <c r="O84" s="13"/>
      <c r="P84" s="13"/>
    </row>
    <row r="85" spans="1:16" ht="12.75">
      <c r="A85" s="522"/>
      <c r="B85" s="522"/>
      <c r="C85" s="76"/>
      <c r="D85" s="76"/>
      <c r="E85" s="76"/>
      <c r="F85" s="473"/>
      <c r="G85" s="75"/>
      <c r="H85" s="787"/>
      <c r="I85" s="76"/>
      <c r="J85" s="76"/>
      <c r="K85" s="791"/>
      <c r="L85" s="1025">
        <f>SUM(L84:M84)</f>
        <v>1010697.8547500002</v>
      </c>
      <c r="M85" s="1026"/>
      <c r="N85" s="849"/>
      <c r="O85" s="13"/>
      <c r="P85" s="13"/>
    </row>
    <row r="86" spans="1:16">
      <c r="N86" s="849"/>
      <c r="O86" s="13"/>
      <c r="P86" s="13"/>
    </row>
    <row r="87" spans="1:16" ht="12.75">
      <c r="F87" s="780" t="s">
        <v>207</v>
      </c>
      <c r="I87" s="370" t="s">
        <v>209</v>
      </c>
      <c r="L87" s="369" t="s">
        <v>207</v>
      </c>
      <c r="M87" s="370" t="s">
        <v>209</v>
      </c>
      <c r="N87" s="877"/>
      <c r="O87" s="13"/>
      <c r="P87" s="13"/>
    </row>
    <row r="88" spans="1:16">
      <c r="E88" s="378">
        <v>42430</v>
      </c>
      <c r="F88" s="91">
        <f t="shared" ref="F88:F115" si="10">SUMPRODUCT((DateAF_EDF&lt;&gt;"")*(MONTH(DateAF_EDF)=MONTH(E88))*(YEAR(DateAF_EDF)=YEAR(E88))*MontantAF_EDF)</f>
        <v>51875.6</v>
      </c>
      <c r="H88" s="378">
        <v>42430</v>
      </c>
      <c r="I88" s="91">
        <f t="shared" ref="I88:I103" si="11">SUMPRODUCT((DatePmt_EDF&lt;&gt;"")*(DatePmt_EDF&lt;&gt;"en attente")*(MONTH(DatePmt_EDF)=MONTH(H88))*(YEAR(DatePmt_EDF)=YEAR(H88))*(ISNUMBER(MtntPaye_EDF)),MtntPaye_EDF)</f>
        <v>0</v>
      </c>
      <c r="K88" s="6">
        <v>2016</v>
      </c>
      <c r="L88" s="91">
        <f>SUMPRODUCT((YEAR($E$88:$E$103)=K88)*($F$88:$F$103))</f>
        <v>236124.36</v>
      </c>
      <c r="M88" s="91">
        <f>SUMPRODUCT((YEAR($H$88:$H$103)=K88)*($I$88:$I$103))</f>
        <v>51875.6</v>
      </c>
      <c r="O88" s="91"/>
    </row>
    <row r="89" spans="1:16">
      <c r="E89" s="378">
        <v>42491</v>
      </c>
      <c r="F89" s="91">
        <f t="shared" si="10"/>
        <v>0</v>
      </c>
      <c r="H89" s="378">
        <v>42491</v>
      </c>
      <c r="I89" s="91">
        <f t="shared" si="11"/>
        <v>51875.6</v>
      </c>
      <c r="K89" s="6">
        <v>2017</v>
      </c>
      <c r="L89" s="91">
        <f>SUMPRODUCT((YEAR($E$88:$E$103)=K89)*($F$88:$F$103))</f>
        <v>495438.09499999997</v>
      </c>
      <c r="M89" s="91">
        <f>SUMPRODUCT((YEAR($H$88:$H$103)=K89)*($I$88:$I$103))</f>
        <v>281461.53000000003</v>
      </c>
    </row>
    <row r="90" spans="1:16">
      <c r="E90" s="378">
        <v>42644</v>
      </c>
      <c r="F90" s="91">
        <f t="shared" si="10"/>
        <v>154658.38999999998</v>
      </c>
      <c r="H90" s="378">
        <v>42644</v>
      </c>
      <c r="I90" s="91">
        <f t="shared" si="11"/>
        <v>0</v>
      </c>
      <c r="K90" s="6">
        <v>2018</v>
      </c>
      <c r="L90" s="91">
        <f>SUMPRODUCT((YEAR($E$88:$E$127)=K90)*($F$88:$F$127))</f>
        <v>435832.05645000003</v>
      </c>
      <c r="M90" s="91">
        <f>SUMPRODUCT((YEAR($H$88:$H$127)=K90)*($I$88:$I$127))</f>
        <v>310341.90999999997</v>
      </c>
    </row>
    <row r="91" spans="1:16">
      <c r="E91" s="378">
        <v>42705</v>
      </c>
      <c r="F91" s="91">
        <f t="shared" si="10"/>
        <v>29590.37</v>
      </c>
      <c r="H91" s="378">
        <v>42705</v>
      </c>
      <c r="I91" s="91">
        <f>SUMPRODUCT((DatePmt_EDF&lt;&gt;"")*(DatePmt_EDF&lt;&gt;"en attente")*(MONTH(DatePmt_EDF)=MONTH(H91))*(YEAR(DatePmt_EDF)=YEAR(H91))*(ISNUMBER(MtntPaye_EDF)),MtntPaye_EDF)</f>
        <v>0</v>
      </c>
      <c r="K91" s="6">
        <v>2019</v>
      </c>
      <c r="L91" s="91">
        <f>SUMPRODUCT((YEAR($E$88:$E$127)=K91)*($F$88:$F$127))</f>
        <v>137664.93</v>
      </c>
      <c r="M91" s="91">
        <f>SUMPRODUCT((YEAR($H$88:$H$127)=K91)*($I$88:$I$127))</f>
        <v>382601.8</v>
      </c>
    </row>
    <row r="92" spans="1:16" ht="12.75">
      <c r="E92" s="378">
        <v>42736</v>
      </c>
      <c r="F92" s="91">
        <f t="shared" si="10"/>
        <v>78665.91</v>
      </c>
      <c r="H92" s="378">
        <v>42736</v>
      </c>
      <c r="I92" s="91">
        <f t="shared" si="11"/>
        <v>0</v>
      </c>
      <c r="L92" s="460">
        <f>SUM(L88:L91)</f>
        <v>1305059.44145</v>
      </c>
      <c r="M92" s="460">
        <f>SUM(M88:M91)</f>
        <v>1026280.8400000001</v>
      </c>
    </row>
    <row r="93" spans="1:16" ht="12.75">
      <c r="E93" s="378">
        <v>42767</v>
      </c>
      <c r="F93" s="91">
        <f t="shared" si="10"/>
        <v>58548.7</v>
      </c>
      <c r="H93" s="378">
        <v>42767</v>
      </c>
      <c r="I93" s="91">
        <f t="shared" si="11"/>
        <v>0</v>
      </c>
      <c r="L93" s="166">
        <f>+L92-F128</f>
        <v>0</v>
      </c>
      <c r="M93" s="166">
        <f>+M92-I128</f>
        <v>0</v>
      </c>
    </row>
    <row r="94" spans="1:16">
      <c r="E94" s="378">
        <v>42795</v>
      </c>
      <c r="F94" s="91">
        <f t="shared" si="10"/>
        <v>17009.03</v>
      </c>
      <c r="H94" s="378">
        <v>42795</v>
      </c>
      <c r="I94" s="91">
        <f t="shared" si="11"/>
        <v>28319.18</v>
      </c>
    </row>
    <row r="95" spans="1:16">
      <c r="E95" s="378">
        <v>42826</v>
      </c>
      <c r="F95" s="91">
        <f t="shared" si="10"/>
        <v>118005.2</v>
      </c>
      <c r="H95" s="378">
        <v>42826</v>
      </c>
      <c r="I95" s="91">
        <f t="shared" si="11"/>
        <v>76418.290000000008</v>
      </c>
    </row>
    <row r="96" spans="1:16">
      <c r="E96" s="378">
        <v>42856</v>
      </c>
      <c r="F96" s="91">
        <f t="shared" si="10"/>
        <v>0</v>
      </c>
      <c r="H96" s="378">
        <v>42856</v>
      </c>
      <c r="I96" s="91">
        <f t="shared" si="11"/>
        <v>17009.03</v>
      </c>
    </row>
    <row r="97" spans="5:9">
      <c r="E97" s="378">
        <v>42887</v>
      </c>
      <c r="F97" s="91">
        <f t="shared" si="10"/>
        <v>0</v>
      </c>
      <c r="H97" s="378">
        <v>42887</v>
      </c>
      <c r="I97" s="91">
        <f t="shared" si="11"/>
        <v>93111.2</v>
      </c>
    </row>
    <row r="98" spans="5:9">
      <c r="E98" s="378">
        <v>42917</v>
      </c>
      <c r="F98" s="91">
        <f t="shared" si="10"/>
        <v>0</v>
      </c>
      <c r="H98" s="378">
        <v>42917</v>
      </c>
      <c r="I98" s="91">
        <f t="shared" si="11"/>
        <v>0</v>
      </c>
    </row>
    <row r="99" spans="5:9">
      <c r="E99" s="378">
        <v>42948</v>
      </c>
      <c r="F99" s="91">
        <f t="shared" si="10"/>
        <v>37303.18</v>
      </c>
      <c r="H99" s="378">
        <v>42948</v>
      </c>
      <c r="I99" s="91">
        <f t="shared" si="11"/>
        <v>0</v>
      </c>
    </row>
    <row r="100" spans="5:9">
      <c r="E100" s="378">
        <v>42979</v>
      </c>
      <c r="F100" s="91">
        <f t="shared" si="10"/>
        <v>0</v>
      </c>
      <c r="H100" s="378">
        <v>42979</v>
      </c>
      <c r="I100" s="91">
        <f t="shared" si="11"/>
        <v>66603.83</v>
      </c>
    </row>
    <row r="101" spans="5:9">
      <c r="E101" s="378">
        <v>43009</v>
      </c>
      <c r="F101" s="91">
        <f t="shared" si="10"/>
        <v>0</v>
      </c>
      <c r="H101" s="378">
        <v>43009</v>
      </c>
      <c r="I101" s="91">
        <f t="shared" si="11"/>
        <v>0</v>
      </c>
    </row>
    <row r="102" spans="5:9">
      <c r="E102" s="378">
        <v>43040</v>
      </c>
      <c r="F102" s="91">
        <f t="shared" si="10"/>
        <v>145586.16499999998</v>
      </c>
      <c r="H102" s="378">
        <v>43040</v>
      </c>
      <c r="I102" s="91">
        <f t="shared" si="11"/>
        <v>0</v>
      </c>
    </row>
    <row r="103" spans="5:9">
      <c r="E103" s="378">
        <v>43070</v>
      </c>
      <c r="F103" s="91">
        <f t="shared" si="10"/>
        <v>40319.910000000003</v>
      </c>
      <c r="H103" s="378">
        <v>43070</v>
      </c>
      <c r="I103" s="91">
        <f t="shared" si="11"/>
        <v>0</v>
      </c>
    </row>
    <row r="104" spans="5:9">
      <c r="E104" s="378">
        <v>43101</v>
      </c>
      <c r="F104" s="91">
        <f t="shared" si="10"/>
        <v>0</v>
      </c>
      <c r="H104" s="378">
        <v>43101</v>
      </c>
      <c r="I104" s="91">
        <f t="shared" ref="I104:I115" si="12">SUMPRODUCT((DatePmt_EDF&lt;&gt;"")*(DatePmt_EDF&lt;&gt;"en attente")*(MONTH(DatePmt_EDF)=MONTH(H104))*(YEAR(DatePmt_EDF)=YEAR(H104))*(ISNUMBER(MtntPaye_EDF)),MtntPaye_EDF)</f>
        <v>0</v>
      </c>
    </row>
    <row r="105" spans="5:9">
      <c r="E105" s="378">
        <v>43132</v>
      </c>
      <c r="F105" s="91">
        <f t="shared" si="10"/>
        <v>0</v>
      </c>
      <c r="H105" s="378">
        <v>43132</v>
      </c>
      <c r="I105" s="91">
        <f t="shared" si="12"/>
        <v>0</v>
      </c>
    </row>
    <row r="106" spans="5:9">
      <c r="E106" s="378">
        <v>43160</v>
      </c>
      <c r="F106" s="91">
        <f t="shared" si="10"/>
        <v>152798.87</v>
      </c>
      <c r="H106" s="378">
        <v>43160</v>
      </c>
      <c r="I106" s="91">
        <f t="shared" si="12"/>
        <v>0</v>
      </c>
    </row>
    <row r="107" spans="5:9">
      <c r="E107" s="378">
        <v>43191</v>
      </c>
      <c r="F107" s="91">
        <f t="shared" si="10"/>
        <v>0</v>
      </c>
      <c r="H107" s="378">
        <v>43191</v>
      </c>
      <c r="I107" s="91">
        <f t="shared" si="12"/>
        <v>0</v>
      </c>
    </row>
    <row r="108" spans="5:9">
      <c r="E108" s="378">
        <v>43221</v>
      </c>
      <c r="F108" s="91">
        <f t="shared" si="10"/>
        <v>0</v>
      </c>
      <c r="H108" s="378">
        <v>43221</v>
      </c>
      <c r="I108" s="91">
        <f t="shared" si="12"/>
        <v>18573.52</v>
      </c>
    </row>
    <row r="109" spans="5:9">
      <c r="E109" s="378">
        <v>43252</v>
      </c>
      <c r="F109" s="91">
        <f t="shared" si="10"/>
        <v>29077.75</v>
      </c>
      <c r="H109" s="378">
        <v>43252</v>
      </c>
      <c r="I109" s="91">
        <f t="shared" si="12"/>
        <v>69910.28</v>
      </c>
    </row>
    <row r="110" spans="5:9">
      <c r="E110" s="378">
        <v>43282</v>
      </c>
      <c r="F110" s="91">
        <f t="shared" si="10"/>
        <v>0</v>
      </c>
      <c r="H110" s="378">
        <v>43282</v>
      </c>
      <c r="I110" s="91">
        <f t="shared" si="12"/>
        <v>0</v>
      </c>
    </row>
    <row r="111" spans="5:9">
      <c r="E111" s="378">
        <v>43313</v>
      </c>
      <c r="F111" s="91">
        <f t="shared" si="10"/>
        <v>18371</v>
      </c>
      <c r="H111" s="378">
        <v>43313</v>
      </c>
      <c r="I111" s="91">
        <f t="shared" si="12"/>
        <v>19296.939999999999</v>
      </c>
    </row>
    <row r="112" spans="5:9">
      <c r="E112" s="378">
        <v>43344</v>
      </c>
      <c r="F112" s="91">
        <f t="shared" si="10"/>
        <v>36226.06</v>
      </c>
      <c r="H112" s="378">
        <v>43344</v>
      </c>
      <c r="I112" s="91">
        <f t="shared" si="12"/>
        <v>0</v>
      </c>
    </row>
    <row r="113" spans="5:9">
      <c r="E113" s="378">
        <v>43374</v>
      </c>
      <c r="F113" s="91">
        <f t="shared" si="10"/>
        <v>15430.63</v>
      </c>
      <c r="H113" s="378">
        <v>43374</v>
      </c>
      <c r="I113" s="91">
        <f t="shared" si="12"/>
        <v>18371</v>
      </c>
    </row>
    <row r="114" spans="5:9">
      <c r="E114" s="378">
        <v>43405</v>
      </c>
      <c r="F114" s="91">
        <f t="shared" si="10"/>
        <v>162248.74645000001</v>
      </c>
      <c r="H114" s="378">
        <v>43405</v>
      </c>
      <c r="I114" s="91">
        <f t="shared" si="12"/>
        <v>157030.60999999999</v>
      </c>
    </row>
    <row r="115" spans="5:9">
      <c r="E115" s="378">
        <v>43435</v>
      </c>
      <c r="F115" s="91">
        <f t="shared" si="10"/>
        <v>21679</v>
      </c>
      <c r="H115" s="378">
        <v>43435</v>
      </c>
      <c r="I115" s="91">
        <f t="shared" si="12"/>
        <v>27159.56</v>
      </c>
    </row>
    <row r="116" spans="5:9">
      <c r="E116" s="378">
        <v>43466</v>
      </c>
      <c r="F116" s="91">
        <f t="shared" ref="F116:F127" si="13">SUMPRODUCT((DateAF_EDF&lt;&gt;"")*(MONTH(DateAF_EDF)=MONTH(E116))*(YEAR(DateAF_EDF)=YEAR(E116))*MontantAF_EDF)</f>
        <v>33809.42</v>
      </c>
      <c r="H116" s="378">
        <v>43466</v>
      </c>
      <c r="I116" s="91">
        <f t="shared" ref="I116:I127" si="14">SUMPRODUCT((DatePmt_EDF&lt;&gt;"")*(DatePmt_EDF&lt;&gt;"en attente")*(MONTH(DatePmt_EDF)=MONTH(H116))*(YEAR(DatePmt_EDF)=YEAR(H116))*(ISNUMBER(MtntPaye_EDF)),MtntPaye_EDF)</f>
        <v>134445.37</v>
      </c>
    </row>
    <row r="117" spans="5:9">
      <c r="E117" s="378">
        <v>43497</v>
      </c>
      <c r="F117" s="91">
        <f t="shared" si="13"/>
        <v>103855.51</v>
      </c>
      <c r="H117" s="378">
        <v>43497</v>
      </c>
      <c r="I117" s="91">
        <f t="shared" si="14"/>
        <v>0</v>
      </c>
    </row>
    <row r="118" spans="5:9">
      <c r="E118" s="378">
        <v>43525</v>
      </c>
      <c r="F118" s="91">
        <f t="shared" si="13"/>
        <v>0</v>
      </c>
      <c r="H118" s="378">
        <v>43525</v>
      </c>
      <c r="I118" s="91">
        <f t="shared" si="14"/>
        <v>138853.60999999999</v>
      </c>
    </row>
    <row r="119" spans="5:9">
      <c r="E119" s="378">
        <v>43556</v>
      </c>
      <c r="F119" s="91">
        <f t="shared" si="13"/>
        <v>0</v>
      </c>
      <c r="H119" s="378">
        <v>43556</v>
      </c>
      <c r="I119" s="91">
        <f t="shared" si="14"/>
        <v>109302.81999999999</v>
      </c>
    </row>
    <row r="120" spans="5:9">
      <c r="E120" s="378">
        <v>43586</v>
      </c>
      <c r="F120" s="91">
        <f t="shared" si="13"/>
        <v>0</v>
      </c>
      <c r="H120" s="378">
        <v>43586</v>
      </c>
      <c r="I120" s="91">
        <f t="shared" si="14"/>
        <v>0</v>
      </c>
    </row>
    <row r="121" spans="5:9">
      <c r="E121" s="378">
        <v>43617</v>
      </c>
      <c r="F121" s="91">
        <f t="shared" si="13"/>
        <v>0</v>
      </c>
      <c r="H121" s="378">
        <v>43617</v>
      </c>
      <c r="I121" s="91">
        <f t="shared" si="14"/>
        <v>0</v>
      </c>
    </row>
    <row r="122" spans="5:9">
      <c r="E122" s="378">
        <v>43647</v>
      </c>
      <c r="F122" s="91">
        <f t="shared" si="13"/>
        <v>0</v>
      </c>
      <c r="H122" s="378">
        <v>43647</v>
      </c>
      <c r="I122" s="91">
        <f t="shared" si="14"/>
        <v>0</v>
      </c>
    </row>
    <row r="123" spans="5:9">
      <c r="E123" s="378">
        <v>43678</v>
      </c>
      <c r="F123" s="91">
        <f t="shared" si="13"/>
        <v>0</v>
      </c>
      <c r="H123" s="378">
        <v>43678</v>
      </c>
      <c r="I123" s="91">
        <f t="shared" si="14"/>
        <v>0</v>
      </c>
    </row>
    <row r="124" spans="5:9">
      <c r="E124" s="378">
        <v>43709</v>
      </c>
      <c r="F124" s="91">
        <f t="shared" si="13"/>
        <v>0</v>
      </c>
      <c r="H124" s="378">
        <v>43709</v>
      </c>
      <c r="I124" s="91">
        <f t="shared" si="14"/>
        <v>0</v>
      </c>
    </row>
    <row r="125" spans="5:9">
      <c r="E125" s="378">
        <v>43739</v>
      </c>
      <c r="F125" s="91">
        <f t="shared" si="13"/>
        <v>0</v>
      </c>
      <c r="H125" s="378">
        <v>43739</v>
      </c>
      <c r="I125" s="91">
        <f t="shared" si="14"/>
        <v>0</v>
      </c>
    </row>
    <row r="126" spans="5:9">
      <c r="E126" s="378">
        <v>43770</v>
      </c>
      <c r="F126" s="91">
        <f t="shared" si="13"/>
        <v>0</v>
      </c>
      <c r="H126" s="378">
        <v>43770</v>
      </c>
      <c r="I126" s="91">
        <f t="shared" si="14"/>
        <v>0</v>
      </c>
    </row>
    <row r="127" spans="5:9">
      <c r="E127" s="378">
        <v>43800</v>
      </c>
      <c r="F127" s="91">
        <f t="shared" si="13"/>
        <v>0</v>
      </c>
      <c r="H127" s="378">
        <v>43800</v>
      </c>
      <c r="I127" s="91">
        <f t="shared" si="14"/>
        <v>0</v>
      </c>
    </row>
    <row r="128" spans="5:9" ht="12.75">
      <c r="F128" s="460">
        <f>SUM(F88:F127)</f>
        <v>1305059.44145</v>
      </c>
      <c r="G128" s="459"/>
      <c r="I128" s="460">
        <f>SUM(I88:I127)</f>
        <v>1026280.84</v>
      </c>
    </row>
    <row r="129" spans="6:9" ht="12.75">
      <c r="F129" s="166">
        <f>+F128-F84</f>
        <v>0</v>
      </c>
      <c r="G129" s="465"/>
      <c r="H129" s="788"/>
      <c r="I129" s="166">
        <f>+I128-I84</f>
        <v>0</v>
      </c>
    </row>
  </sheetData>
  <mergeCells count="7">
    <mergeCell ref="L85:M85"/>
    <mergeCell ref="A2:L2"/>
    <mergeCell ref="A4:A5"/>
    <mergeCell ref="C4:C5"/>
    <mergeCell ref="E4:E5"/>
    <mergeCell ref="F4:K4"/>
    <mergeCell ref="L4:M4"/>
  </mergeCells>
  <pageMargins left="0.31496062992125984" right="0.31496062992125984" top="0.35433070866141736" bottom="0.35433070866141736" header="0.31496062992125984" footer="0.31496062992125984"/>
  <pageSetup paperSize="8" scale="80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>
  <sheetPr>
    <tabColor theme="1"/>
  </sheetPr>
  <dimension ref="A1:P24"/>
  <sheetViews>
    <sheetView topLeftCell="A4" workbookViewId="0">
      <selection activeCell="F14" sqref="F14"/>
    </sheetView>
  </sheetViews>
  <sheetFormatPr defaultColWidth="11.42578125" defaultRowHeight="12" outlineLevelCol="1"/>
  <cols>
    <col min="1" max="1" width="31.7109375" style="6" bestFit="1" customWidth="1"/>
    <col min="2" max="2" width="30.5703125" style="1" hidden="1" customWidth="1" outlineLevel="1"/>
    <col min="3" max="3" width="11.28515625" style="1" bestFit="1" customWidth="1" collapsed="1"/>
    <col min="4" max="4" width="13.5703125" style="1" bestFit="1" customWidth="1"/>
    <col min="5" max="5" width="14.5703125" style="1" customWidth="1"/>
    <col min="6" max="6" width="4.140625" style="6" bestFit="1" customWidth="1"/>
    <col min="7" max="7" width="10.5703125" style="1" bestFit="1" customWidth="1"/>
    <col min="8" max="8" width="12.42578125" style="1" customWidth="1"/>
    <col min="9" max="9" width="10.5703125" style="1" bestFit="1" customWidth="1"/>
    <col min="10" max="10" width="18.7109375" style="1" bestFit="1" customWidth="1"/>
    <col min="11" max="11" width="14.5703125" style="1" customWidth="1"/>
    <col min="12" max="12" width="14.28515625" style="1" bestFit="1" customWidth="1"/>
    <col min="13" max="13" width="4.140625" style="1" customWidth="1"/>
    <col min="14" max="14" width="14.5703125" style="1" bestFit="1" customWidth="1"/>
    <col min="15" max="15" width="13.5703125" style="1" bestFit="1" customWidth="1"/>
    <col min="16" max="16384" width="11.42578125" style="1"/>
  </cols>
  <sheetData>
    <row r="1" spans="1:16" ht="12.75">
      <c r="N1" s="244"/>
      <c r="O1" s="8"/>
    </row>
    <row r="2" spans="1:16" ht="12.75">
      <c r="A2" s="1027" t="s">
        <v>134</v>
      </c>
      <c r="B2" s="1027"/>
      <c r="C2" s="1027"/>
      <c r="D2" s="1027"/>
      <c r="E2" s="1027"/>
      <c r="F2" s="1027"/>
      <c r="G2" s="1027"/>
      <c r="H2" s="1027"/>
      <c r="I2" s="1027"/>
      <c r="J2" s="1027"/>
      <c r="K2" s="1027"/>
      <c r="L2" s="9">
        <v>42785</v>
      </c>
      <c r="O2" s="61"/>
    </row>
    <row r="4" spans="1:16" s="13" customFormat="1" ht="12.2" customHeight="1">
      <c r="A4" s="1055" t="s">
        <v>2</v>
      </c>
      <c r="B4" s="1055" t="s">
        <v>0</v>
      </c>
      <c r="C4" s="1055" t="s">
        <v>21</v>
      </c>
      <c r="D4" s="1055" t="s">
        <v>12</v>
      </c>
      <c r="E4" s="1057" t="s">
        <v>4</v>
      </c>
      <c r="F4" s="1058"/>
      <c r="G4" s="1058"/>
      <c r="H4" s="1058"/>
      <c r="I4" s="1058"/>
      <c r="J4" s="1059"/>
      <c r="K4" s="1057" t="s">
        <v>13</v>
      </c>
      <c r="L4" s="1059"/>
      <c r="O4" s="245"/>
      <c r="P4" s="245"/>
    </row>
    <row r="5" spans="1:16" s="13" customFormat="1" ht="12.75">
      <c r="A5" s="1056"/>
      <c r="B5" s="1056"/>
      <c r="C5" s="1056"/>
      <c r="D5" s="1056"/>
      <c r="E5" s="246" t="s">
        <v>1</v>
      </c>
      <c r="F5" s="247" t="s">
        <v>3</v>
      </c>
      <c r="G5" s="247" t="s">
        <v>15</v>
      </c>
      <c r="H5" s="248" t="s">
        <v>14</v>
      </c>
      <c r="I5" s="246" t="s">
        <v>15</v>
      </c>
      <c r="J5" s="247" t="s">
        <v>18</v>
      </c>
      <c r="K5" s="249" t="s">
        <v>20</v>
      </c>
      <c r="L5" s="249" t="s">
        <v>19</v>
      </c>
    </row>
    <row r="6" spans="1:16" ht="12.75">
      <c r="A6" s="289" t="s">
        <v>63</v>
      </c>
      <c r="B6" s="290"/>
      <c r="C6" s="286">
        <v>40203</v>
      </c>
      <c r="D6" s="291">
        <v>161331.72</v>
      </c>
      <c r="E6" s="292"/>
      <c r="F6" s="293"/>
      <c r="G6" s="294"/>
      <c r="H6" s="295"/>
      <c r="I6" s="296"/>
      <c r="J6" s="294"/>
      <c r="K6" s="297"/>
      <c r="L6" s="297"/>
    </row>
    <row r="7" spans="1:16" s="26" customFormat="1" ht="12.75">
      <c r="A7" s="289" t="s">
        <v>135</v>
      </c>
      <c r="B7" s="298"/>
      <c r="C7" s="284"/>
      <c r="D7" s="291"/>
      <c r="E7" s="282">
        <v>32266.34</v>
      </c>
      <c r="F7" s="283">
        <v>1</v>
      </c>
      <c r="G7" s="286">
        <v>40408</v>
      </c>
      <c r="H7" s="282">
        <f>+E7</f>
        <v>32266.34</v>
      </c>
      <c r="I7" s="286">
        <v>40449</v>
      </c>
      <c r="J7" s="287">
        <f>IF(I7="",$L$2-G7,I7-G7)</f>
        <v>41</v>
      </c>
      <c r="K7" s="288" t="str">
        <f>IF(H7="en attente",E7,"")</f>
        <v/>
      </c>
      <c r="L7" s="288">
        <f>IF(G7="",E7-H7,0)</f>
        <v>0</v>
      </c>
      <c r="N7" s="27"/>
      <c r="O7" s="27"/>
    </row>
    <row r="8" spans="1:16" s="26" customFormat="1">
      <c r="A8" s="279"/>
      <c r="B8" s="298"/>
      <c r="C8" s="284"/>
      <c r="D8" s="291"/>
      <c r="E8" s="282">
        <v>129065.38</v>
      </c>
      <c r="F8" s="283">
        <v>2</v>
      </c>
      <c r="G8" s="284">
        <v>42292</v>
      </c>
      <c r="H8" s="282">
        <v>102373.48</v>
      </c>
      <c r="I8" s="286">
        <v>42341</v>
      </c>
      <c r="J8" s="287">
        <f>IF(I8="",$L$2-G8,I8-G8)</f>
        <v>49</v>
      </c>
      <c r="K8" s="288">
        <f>+E8-H8</f>
        <v>26691.900000000009</v>
      </c>
      <c r="L8" s="288">
        <f t="shared" ref="L8:L14" si="0">IF(G8="",E8-H8,0)</f>
        <v>0</v>
      </c>
      <c r="N8" s="27"/>
      <c r="O8" s="27"/>
    </row>
    <row r="9" spans="1:16" s="26" customFormat="1" ht="12.75">
      <c r="A9" s="279"/>
      <c r="B9" s="298"/>
      <c r="C9" s="284"/>
      <c r="D9" s="291"/>
      <c r="E9" s="282"/>
      <c r="F9" s="283"/>
      <c r="G9" s="284"/>
      <c r="H9" s="285"/>
      <c r="I9" s="286"/>
      <c r="J9" s="287"/>
      <c r="K9" s="288" t="str">
        <f t="shared" ref="K9:K14" si="1">IF(H9="en attente",E9,"")</f>
        <v/>
      </c>
      <c r="L9" s="288">
        <f t="shared" si="0"/>
        <v>0</v>
      </c>
      <c r="N9" s="250"/>
      <c r="O9" s="27"/>
    </row>
    <row r="10" spans="1:16" s="26" customFormat="1" ht="12.75">
      <c r="A10" s="289" t="s">
        <v>63</v>
      </c>
      <c r="B10" s="298"/>
      <c r="C10" s="284">
        <v>40329</v>
      </c>
      <c r="D10" s="291">
        <v>189240.94</v>
      </c>
      <c r="E10" s="282"/>
      <c r="F10" s="283"/>
      <c r="G10" s="284"/>
      <c r="H10" s="285"/>
      <c r="I10" s="299"/>
      <c r="J10" s="287"/>
      <c r="K10" s="288" t="str">
        <f t="shared" si="1"/>
        <v/>
      </c>
      <c r="L10" s="288">
        <f t="shared" si="0"/>
        <v>0</v>
      </c>
      <c r="N10" s="27"/>
      <c r="O10" s="27"/>
    </row>
    <row r="11" spans="1:16" s="26" customFormat="1" ht="12.75">
      <c r="A11" s="289" t="s">
        <v>136</v>
      </c>
      <c r="B11" s="300"/>
      <c r="C11" s="280"/>
      <c r="D11" s="301"/>
      <c r="E11" s="282">
        <v>37848.19</v>
      </c>
      <c r="F11" s="283">
        <v>1</v>
      </c>
      <c r="G11" s="286">
        <v>40408</v>
      </c>
      <c r="H11" s="282">
        <f>+E11</f>
        <v>37848.19</v>
      </c>
      <c r="I11" s="286">
        <v>40449</v>
      </c>
      <c r="J11" s="287">
        <f>IF(I11="",$L$2-G11,I11-G11)</f>
        <v>41</v>
      </c>
      <c r="K11" s="288" t="str">
        <f t="shared" si="1"/>
        <v/>
      </c>
      <c r="L11" s="288">
        <f t="shared" si="0"/>
        <v>0</v>
      </c>
      <c r="N11" s="27"/>
    </row>
    <row r="12" spans="1:16" s="26" customFormat="1" ht="12.75">
      <c r="A12" s="289"/>
      <c r="B12" s="300"/>
      <c r="C12" s="280"/>
      <c r="D12" s="301"/>
      <c r="E12" s="282">
        <v>151392.75</v>
      </c>
      <c r="F12" s="283">
        <v>2</v>
      </c>
      <c r="G12" s="284">
        <v>42292</v>
      </c>
      <c r="H12" s="285">
        <v>52579.55</v>
      </c>
      <c r="I12" s="286">
        <v>42353</v>
      </c>
      <c r="J12" s="287">
        <f>IF(I12="",$L$2-G12,I12-G12)</f>
        <v>61</v>
      </c>
      <c r="K12" s="288">
        <f>+E12-H12</f>
        <v>98813.2</v>
      </c>
      <c r="L12" s="288">
        <f t="shared" si="0"/>
        <v>0</v>
      </c>
      <c r="N12" s="27"/>
    </row>
    <row r="13" spans="1:16">
      <c r="A13" s="279"/>
      <c r="B13" s="302"/>
      <c r="C13" s="284"/>
      <c r="D13" s="291"/>
      <c r="E13" s="282"/>
      <c r="F13" s="283"/>
      <c r="G13" s="285"/>
      <c r="H13" s="282"/>
      <c r="I13" s="299"/>
      <c r="J13" s="287"/>
      <c r="K13" s="288" t="str">
        <f t="shared" si="1"/>
        <v/>
      </c>
      <c r="L13" s="288">
        <f t="shared" si="0"/>
        <v>0</v>
      </c>
      <c r="N13" s="26"/>
    </row>
    <row r="14" spans="1:16">
      <c r="A14" s="279"/>
      <c r="B14" s="298"/>
      <c r="C14" s="284"/>
      <c r="D14" s="291"/>
      <c r="E14" s="282"/>
      <c r="F14" s="283"/>
      <c r="G14" s="284"/>
      <c r="H14" s="285"/>
      <c r="I14" s="286"/>
      <c r="J14" s="298"/>
      <c r="K14" s="288" t="str">
        <f t="shared" si="1"/>
        <v/>
      </c>
      <c r="L14" s="288">
        <f t="shared" si="0"/>
        <v>0</v>
      </c>
      <c r="N14" s="27"/>
      <c r="O14" s="27"/>
    </row>
    <row r="15" spans="1:16" s="8" customFormat="1" ht="16.5" customHeight="1">
      <c r="A15" s="48"/>
      <c r="B15" s="48"/>
      <c r="C15" s="48"/>
      <c r="D15" s="41">
        <f>SUM(D6:D14)</f>
        <v>350572.66000000003</v>
      </c>
      <c r="E15" s="41">
        <f>SUM(E7:E14)</f>
        <v>350572.66000000003</v>
      </c>
      <c r="F15" s="49"/>
      <c r="G15" s="50"/>
      <c r="H15" s="41">
        <f>SUM(H6:H14)</f>
        <v>225067.56</v>
      </c>
      <c r="I15" s="50"/>
      <c r="J15" s="50"/>
      <c r="K15" s="41">
        <f>SUM(K6:K14)</f>
        <v>125505.1</v>
      </c>
      <c r="L15" s="41">
        <f>SUM(L6:L14)</f>
        <v>0</v>
      </c>
      <c r="N15" s="20"/>
      <c r="O15" s="20"/>
    </row>
    <row r="16" spans="1:16" ht="16.5" customHeight="1">
      <c r="A16" s="75"/>
      <c r="B16" s="76"/>
      <c r="C16" s="76"/>
      <c r="D16" s="76"/>
      <c r="E16" s="76"/>
      <c r="F16" s="75"/>
      <c r="G16" s="76"/>
      <c r="H16" s="76"/>
      <c r="I16" s="76"/>
      <c r="J16" s="52"/>
      <c r="K16" s="1052">
        <f>SUM(K15:L15)</f>
        <v>125505.1</v>
      </c>
      <c r="L16" s="1053"/>
    </row>
    <row r="18" spans="1:12" ht="12.75">
      <c r="A18" s="8"/>
      <c r="E18" s="369" t="s">
        <v>207</v>
      </c>
      <c r="H18" s="370" t="s">
        <v>209</v>
      </c>
      <c r="K18" s="369" t="s">
        <v>207</v>
      </c>
      <c r="L18" s="370" t="s">
        <v>209</v>
      </c>
    </row>
    <row r="19" spans="1:12">
      <c r="A19" s="27"/>
      <c r="D19" s="496">
        <v>40408</v>
      </c>
      <c r="E19" s="91">
        <f>SUMPRODUCT((DateAF_EAU&lt;&gt;"")*(MONTH(DateAF_EAU)=MONTH(D19))*(YEAR(DateAF_EAU)=YEAR(D19))*MontantAF_EAU)</f>
        <v>70114.53</v>
      </c>
      <c r="F19" s="1"/>
      <c r="G19" s="496">
        <v>40408</v>
      </c>
      <c r="H19" s="91">
        <f>SUMPRODUCT((DatePmt_EAU&lt;&gt;"")*(DatePmt_EAU&lt;&gt;"en attente")*(MONTH(DatePmt_EAU)=MONTH(G19))*(YEAR(DatePmt_EAU)=YEAR(G19))*(ISNUMBER(MtntPaye_EAU)),MtntPaye_EAU)</f>
        <v>0</v>
      </c>
      <c r="J19" s="1">
        <v>2010</v>
      </c>
      <c r="K19" s="91">
        <f>SUMPRODUCT((YEAR($D$19:$D$22)=J19)*($E$19:$E$22))</f>
        <v>70114.53</v>
      </c>
      <c r="L19" s="91">
        <f>SUMPRODUCT((YEAR($G$19:$G$22)=J19)*($H$19:$H$22))</f>
        <v>70114.53</v>
      </c>
    </row>
    <row r="20" spans="1:12">
      <c r="D20" s="496">
        <v>40449</v>
      </c>
      <c r="E20" s="91">
        <f>SUMPRODUCT((DateAF_EAU&lt;&gt;"")*(MONTH(DateAF_EAU)=MONTH(D20))*(YEAR(DateAF_EAU)=YEAR(D20))*MontantAF_EAU)</f>
        <v>0</v>
      </c>
      <c r="G20" s="496">
        <v>40449</v>
      </c>
      <c r="H20" s="91">
        <f>SUMPRODUCT((DatePmt_EAU&lt;&gt;"")*(DatePmt_EAU&lt;&gt;"en attente")*(MONTH(DatePmt_EAU)=MONTH(G20))*(YEAR(DatePmt_EAU)=YEAR(G20))*(ISNUMBER(MtntPaye_EAU)),MtntPaye_EAU)</f>
        <v>70114.53</v>
      </c>
      <c r="J20" s="1">
        <v>2015</v>
      </c>
      <c r="K20" s="91">
        <f>SUMPRODUCT((YEAR($D$19:$D$22)=J20)*($E$19:$E$22))</f>
        <v>280458.13</v>
      </c>
      <c r="L20" s="91">
        <f>SUMPRODUCT((YEAR($G$19:$G$22)=J20)*($H$19:$H$22))</f>
        <v>154953.03</v>
      </c>
    </row>
    <row r="21" spans="1:12" ht="12.75">
      <c r="D21" s="496">
        <v>42292</v>
      </c>
      <c r="E21" s="91">
        <f>SUMPRODUCT((DateAF_EAU&lt;&gt;"")*(MONTH(DateAF_EAU)=MONTH(D21))*(YEAR(DateAF_EAU)=YEAR(D21))*MontantAF_EAU)</f>
        <v>280458.13</v>
      </c>
      <c r="G21" s="496">
        <v>42292</v>
      </c>
      <c r="H21" s="91">
        <f>SUMPRODUCT((DatePmt_EAU&lt;&gt;"")*(DatePmt_EAU&lt;&gt;"en attente")*(MONTH(DatePmt_EAU)=MONTH(G21))*(YEAR(DatePmt_EAU)=YEAR(G21))*(ISNUMBER(MtntPaye_EAU)),MtntPaye_EAU)</f>
        <v>0</v>
      </c>
      <c r="K21" s="460">
        <f>SUM(K19:K20)</f>
        <v>350572.66000000003</v>
      </c>
      <c r="L21" s="460">
        <f>SUM(L19:L20)</f>
        <v>225067.56</v>
      </c>
    </row>
    <row r="22" spans="1:12" ht="12.75">
      <c r="D22" s="496">
        <v>42353</v>
      </c>
      <c r="E22" s="91">
        <f>SUMPRODUCT((DateAF_EAU&lt;&gt;"")*(MONTH(DateAF_EAU)=MONTH(D22))*(YEAR(DateAF_EAU)=YEAR(D22))*MontantAF_EAU)</f>
        <v>0</v>
      </c>
      <c r="G22" s="496">
        <v>42353</v>
      </c>
      <c r="H22" s="91">
        <f>SUMPRODUCT((DatePmt_EAU&lt;&gt;"")*(DatePmt_EAU&lt;&gt;"en attente")*(MONTH(DatePmt_EAU)=MONTH(G22))*(YEAR(DatePmt_EAU)=YEAR(G22))*(ISNUMBER(MtntPaye_EAU)),MtntPaye_EAU)</f>
        <v>154953.03</v>
      </c>
      <c r="K22" s="166">
        <f>+K21-E23</f>
        <v>0</v>
      </c>
      <c r="L22" s="166">
        <f>+L21-H23</f>
        <v>0</v>
      </c>
    </row>
    <row r="23" spans="1:12" ht="12.75">
      <c r="E23" s="460">
        <f>SUM(E19:E22)</f>
        <v>350572.66000000003</v>
      </c>
      <c r="F23" s="459"/>
      <c r="G23" s="8"/>
      <c r="H23" s="460">
        <f>SUM(H19:H22)</f>
        <v>225067.56</v>
      </c>
    </row>
    <row r="24" spans="1:12" s="161" customFormat="1" ht="12.75">
      <c r="A24" s="465"/>
      <c r="E24" s="166">
        <f>+E23-E15</f>
        <v>0</v>
      </c>
      <c r="F24" s="465"/>
      <c r="H24" s="166">
        <f>+H23-H15</f>
        <v>0</v>
      </c>
    </row>
  </sheetData>
  <mergeCells count="8">
    <mergeCell ref="K16:L16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>
  <sheetPr>
    <tabColor rgb="FF00B050"/>
  </sheetPr>
  <dimension ref="A1:P57"/>
  <sheetViews>
    <sheetView topLeftCell="A4" workbookViewId="0">
      <selection activeCell="J5" sqref="J5:J16"/>
    </sheetView>
  </sheetViews>
  <sheetFormatPr defaultColWidth="11.42578125" defaultRowHeight="12.75"/>
  <cols>
    <col min="10" max="10" width="16.85546875" customWidth="1"/>
  </cols>
  <sheetData>
    <row r="1" spans="1:14" ht="13.5">
      <c r="A1" s="1027" t="s">
        <v>153</v>
      </c>
      <c r="B1" s="1027"/>
      <c r="C1" s="1027"/>
      <c r="D1" s="1027"/>
      <c r="E1" s="1027"/>
      <c r="F1" s="1027"/>
      <c r="G1" s="1027"/>
      <c r="H1" s="1027"/>
      <c r="I1" s="1027"/>
      <c r="J1" s="1027"/>
      <c r="K1" s="1027"/>
      <c r="L1" s="9">
        <f ca="1">TODAY()</f>
        <v>43599</v>
      </c>
    </row>
    <row r="2" spans="1:14">
      <c r="A2" s="6"/>
      <c r="B2" s="1"/>
      <c r="C2" s="1"/>
      <c r="D2" s="1"/>
      <c r="E2" s="1"/>
      <c r="F2" s="1"/>
      <c r="G2" s="6"/>
      <c r="H2" s="1"/>
      <c r="I2" s="1"/>
      <c r="J2" s="1"/>
      <c r="K2" s="1"/>
      <c r="L2" s="1"/>
      <c r="M2" s="1"/>
    </row>
    <row r="3" spans="1:14" ht="12.75" customHeight="1">
      <c r="A3" s="1044" t="s">
        <v>2</v>
      </c>
      <c r="B3" s="1044" t="s">
        <v>0</v>
      </c>
      <c r="C3" s="1032" t="s">
        <v>21</v>
      </c>
      <c r="D3" s="1032" t="s">
        <v>12</v>
      </c>
      <c r="E3" s="919" t="s">
        <v>408</v>
      </c>
      <c r="F3" s="920" t="s">
        <v>4</v>
      </c>
      <c r="G3" s="921"/>
      <c r="H3" s="921"/>
      <c r="I3" s="921"/>
      <c r="J3" s="921"/>
      <c r="K3" s="922"/>
      <c r="L3" s="1031" t="s">
        <v>13</v>
      </c>
      <c r="M3" s="1032"/>
    </row>
    <row r="4" spans="1:14">
      <c r="A4" s="1045"/>
      <c r="B4" s="1045"/>
      <c r="C4" s="1046"/>
      <c r="D4" s="1046"/>
      <c r="E4" s="913"/>
      <c r="F4" s="10" t="s">
        <v>1</v>
      </c>
      <c r="G4" s="11" t="s">
        <v>3</v>
      </c>
      <c r="H4" s="11" t="s">
        <v>15</v>
      </c>
      <c r="I4" s="12" t="s">
        <v>14</v>
      </c>
      <c r="J4" s="10" t="s">
        <v>15</v>
      </c>
      <c r="K4" s="11" t="s">
        <v>18</v>
      </c>
      <c r="L4" s="3" t="s">
        <v>20</v>
      </c>
      <c r="M4" s="3" t="s">
        <v>19</v>
      </c>
    </row>
    <row r="5" spans="1:14" ht="13.5">
      <c r="A5" s="400" t="s">
        <v>56</v>
      </c>
      <c r="B5" s="401"/>
      <c r="C5" s="350">
        <v>42068</v>
      </c>
      <c r="D5" s="407">
        <v>162750</v>
      </c>
      <c r="E5" s="407"/>
      <c r="F5" s="402"/>
      <c r="G5" s="403"/>
      <c r="H5" s="404"/>
      <c r="I5" s="405"/>
      <c r="J5" s="406"/>
      <c r="K5" s="404"/>
      <c r="L5" s="407"/>
      <c r="M5" s="407"/>
    </row>
    <row r="6" spans="1:14">
      <c r="A6" s="332" t="s">
        <v>56</v>
      </c>
      <c r="B6" s="351" t="s">
        <v>107</v>
      </c>
      <c r="C6" s="345"/>
      <c r="D6" s="346"/>
      <c r="E6" s="346">
        <v>0.5</v>
      </c>
      <c r="F6" s="347">
        <v>81375</v>
      </c>
      <c r="G6" s="348">
        <v>1</v>
      </c>
      <c r="H6" s="693">
        <v>42401</v>
      </c>
      <c r="I6" s="347">
        <v>81375</v>
      </c>
      <c r="J6" s="350">
        <v>42415</v>
      </c>
      <c r="K6" s="351">
        <f>IF(J6="",$L$1-H6,J6-H6)</f>
        <v>14</v>
      </c>
      <c r="L6" s="352" t="str">
        <f>IF(I6="en attente",F6,"")</f>
        <v/>
      </c>
      <c r="M6" s="352">
        <f>IF(H6="",F6-I6,0)</f>
        <v>0</v>
      </c>
    </row>
    <row r="7" spans="1:14">
      <c r="A7" s="332" t="s">
        <v>56</v>
      </c>
      <c r="B7" s="351"/>
      <c r="C7" s="345"/>
      <c r="D7" s="346"/>
      <c r="E7" s="346">
        <v>0.5</v>
      </c>
      <c r="F7" s="347">
        <v>81375</v>
      </c>
      <c r="G7" s="348">
        <v>2</v>
      </c>
      <c r="H7" s="345">
        <v>43305</v>
      </c>
      <c r="I7" s="349">
        <v>81375</v>
      </c>
      <c r="J7" s="350">
        <v>43320</v>
      </c>
      <c r="K7" s="351"/>
      <c r="L7" s="352" t="str">
        <f>IF(I7="en attente",F7,"")</f>
        <v/>
      </c>
      <c r="M7" s="352">
        <f>IF(H7="",F7-I7,0)</f>
        <v>0</v>
      </c>
    </row>
    <row r="8" spans="1:14">
      <c r="A8" s="332" t="s">
        <v>56</v>
      </c>
      <c r="B8" s="351"/>
      <c r="C8" s="345"/>
      <c r="D8" s="346"/>
      <c r="E8" s="346"/>
      <c r="F8" s="347"/>
      <c r="G8" s="348"/>
      <c r="H8" s="345"/>
      <c r="I8" s="349"/>
      <c r="J8" s="350"/>
      <c r="K8" s="351"/>
      <c r="L8" s="352"/>
      <c r="M8" s="352"/>
    </row>
    <row r="9" spans="1:14" ht="13.5">
      <c r="A9" s="323" t="s">
        <v>55</v>
      </c>
      <c r="B9" s="567"/>
      <c r="C9" s="397">
        <v>41338</v>
      </c>
      <c r="D9" s="325">
        <v>55743.18</v>
      </c>
      <c r="E9" s="325"/>
      <c r="F9" s="391"/>
      <c r="G9" s="699"/>
      <c r="H9" s="397"/>
      <c r="I9" s="700"/>
      <c r="J9" s="701"/>
      <c r="K9" s="567"/>
      <c r="L9" s="702"/>
      <c r="M9" s="702"/>
    </row>
    <row r="10" spans="1:14" ht="14.25" customHeight="1">
      <c r="A10" s="332" t="s">
        <v>55</v>
      </c>
      <c r="B10" s="351" t="s">
        <v>107</v>
      </c>
      <c r="C10" s="345"/>
      <c r="D10" s="346"/>
      <c r="E10" s="346">
        <v>0.5</v>
      </c>
      <c r="F10" s="347">
        <v>27871.59</v>
      </c>
      <c r="G10" s="348">
        <v>1</v>
      </c>
      <c r="H10" s="693">
        <v>42599</v>
      </c>
      <c r="I10" s="703">
        <v>27871.59</v>
      </c>
      <c r="J10" s="350">
        <v>42615</v>
      </c>
      <c r="K10" s="351">
        <f>IF(J10="",$L$1-H10,J10-H10)</f>
        <v>16</v>
      </c>
      <c r="L10" s="352" t="str">
        <f>IF(I10="en attente",F10,"")</f>
        <v/>
      </c>
      <c r="M10" s="352">
        <f t="shared" ref="M10:M15" si="0">IF(H10="",F10-I10,0)</f>
        <v>0</v>
      </c>
      <c r="N10" s="440" t="s">
        <v>247</v>
      </c>
    </row>
    <row r="11" spans="1:14">
      <c r="A11" s="332" t="s">
        <v>55</v>
      </c>
      <c r="B11" s="351"/>
      <c r="C11" s="345"/>
      <c r="D11" s="346"/>
      <c r="E11" s="346">
        <v>0.5</v>
      </c>
      <c r="F11" s="347">
        <v>27871.59</v>
      </c>
      <c r="G11" s="348">
        <v>2</v>
      </c>
      <c r="H11" s="345">
        <v>43269</v>
      </c>
      <c r="I11" s="349">
        <v>27871.59</v>
      </c>
      <c r="J11" s="350">
        <v>43287</v>
      </c>
      <c r="K11" s="351"/>
      <c r="L11" s="352" t="str">
        <f>IF(I11="en attente",F11,"")</f>
        <v/>
      </c>
      <c r="M11" s="352">
        <f t="shared" si="0"/>
        <v>0</v>
      </c>
    </row>
    <row r="12" spans="1:14">
      <c r="A12" s="354" t="s">
        <v>55</v>
      </c>
      <c r="B12" s="361"/>
      <c r="C12" s="356"/>
      <c r="D12" s="426"/>
      <c r="E12" s="426"/>
      <c r="F12" s="357"/>
      <c r="G12" s="358"/>
      <c r="H12" s="356"/>
      <c r="I12" s="359"/>
      <c r="J12" s="360"/>
      <c r="K12" s="361"/>
      <c r="L12" s="362"/>
      <c r="M12" s="362">
        <f t="shared" si="0"/>
        <v>0</v>
      </c>
    </row>
    <row r="13" spans="1:14" ht="13.5">
      <c r="A13" s="45" t="s">
        <v>37</v>
      </c>
      <c r="B13" s="4"/>
      <c r="C13" s="15">
        <v>42068</v>
      </c>
      <c r="D13" s="270">
        <v>292222.2</v>
      </c>
      <c r="E13" s="270"/>
      <c r="F13" s="23"/>
      <c r="G13" s="42"/>
      <c r="H13" s="15"/>
      <c r="I13" s="20"/>
      <c r="J13" s="30"/>
      <c r="K13" s="4"/>
      <c r="L13" s="81"/>
      <c r="M13" s="81">
        <f t="shared" si="0"/>
        <v>0</v>
      </c>
    </row>
    <row r="14" spans="1:14">
      <c r="A14" s="46" t="s">
        <v>37</v>
      </c>
      <c r="B14" s="4" t="s">
        <v>107</v>
      </c>
      <c r="C14" s="15"/>
      <c r="D14" s="108"/>
      <c r="E14" s="108">
        <v>0.5</v>
      </c>
      <c r="F14" s="23">
        <f>D13/2</f>
        <v>146111.1</v>
      </c>
      <c r="G14" s="42">
        <v>1</v>
      </c>
      <c r="H14" s="15">
        <v>42935</v>
      </c>
      <c r="I14" s="24">
        <v>146111.1</v>
      </c>
      <c r="J14" s="30">
        <v>43178</v>
      </c>
      <c r="K14" s="4"/>
      <c r="L14" s="81" t="str">
        <f>IF(I14="en attente",F14,"")</f>
        <v/>
      </c>
      <c r="M14" s="81">
        <f t="shared" si="0"/>
        <v>0</v>
      </c>
    </row>
    <row r="15" spans="1:14">
      <c r="A15" s="46" t="s">
        <v>37</v>
      </c>
      <c r="B15" s="4"/>
      <c r="C15" s="15"/>
      <c r="D15" s="108"/>
      <c r="E15" s="108">
        <v>0.5</v>
      </c>
      <c r="F15" s="23">
        <f>D13/2</f>
        <v>146111.1</v>
      </c>
      <c r="G15" s="42">
        <v>2</v>
      </c>
      <c r="H15" s="15"/>
      <c r="I15" s="24"/>
      <c r="J15" s="30"/>
      <c r="K15" s="4"/>
      <c r="L15" s="81" t="str">
        <f>IF(I15="en attente",F15,"")</f>
        <v/>
      </c>
      <c r="M15" s="81">
        <f t="shared" si="0"/>
        <v>146111.1</v>
      </c>
    </row>
    <row r="16" spans="1:14">
      <c r="A16" s="46" t="s">
        <v>37</v>
      </c>
      <c r="B16" s="4"/>
      <c r="C16" s="15"/>
      <c r="D16" s="108"/>
      <c r="E16" s="108"/>
      <c r="F16" s="23"/>
      <c r="G16" s="42"/>
      <c r="H16" s="15"/>
      <c r="I16" s="24"/>
      <c r="J16" s="30"/>
      <c r="K16" s="4"/>
      <c r="L16" s="81"/>
      <c r="M16" s="81"/>
    </row>
    <row r="17" spans="1:16" ht="13.5">
      <c r="A17" s="48"/>
      <c r="B17" s="48"/>
      <c r="C17" s="48"/>
      <c r="D17" s="41">
        <f>D5+D9+D13</f>
        <v>510715.38</v>
      </c>
      <c r="E17" s="41"/>
      <c r="F17" s="41">
        <f>SUMPRODUCT((DateAF_ST_JOSEPH&lt;&gt;"")*MontantAF_ST_JOSEPH)</f>
        <v>364604.28</v>
      </c>
      <c r="G17" s="49"/>
      <c r="H17" s="50"/>
      <c r="I17" s="41">
        <f>SUM(I6:I16)</f>
        <v>364604.28</v>
      </c>
      <c r="J17" s="50"/>
      <c r="K17" s="50"/>
      <c r="L17" s="41">
        <f>SUM(L6:L16)</f>
        <v>0</v>
      </c>
      <c r="M17" s="41">
        <f>SUM(M5:M16)</f>
        <v>146111.1</v>
      </c>
      <c r="P17" s="231"/>
    </row>
    <row r="18" spans="1:16" ht="13.5">
      <c r="A18" s="75"/>
      <c r="B18" s="76"/>
      <c r="C18" s="76"/>
      <c r="D18" s="76"/>
      <c r="E18" s="76"/>
      <c r="F18" s="76"/>
      <c r="G18" s="75"/>
      <c r="H18" s="76"/>
      <c r="I18" s="76"/>
      <c r="J18" s="76"/>
      <c r="K18" s="52"/>
      <c r="L18" s="1025">
        <f>SUM(L17:M17)</f>
        <v>146111.1</v>
      </c>
      <c r="M18" s="1026"/>
    </row>
    <row r="20" spans="1:16" ht="13.5">
      <c r="E20" s="497"/>
      <c r="F20" s="369" t="s">
        <v>207</v>
      </c>
      <c r="G20" s="1"/>
      <c r="H20" s="370" t="s">
        <v>209</v>
      </c>
      <c r="K20" s="369" t="s">
        <v>207</v>
      </c>
      <c r="L20" s="370" t="s">
        <v>209</v>
      </c>
    </row>
    <row r="21" spans="1:16" ht="13.5">
      <c r="E21" s="498">
        <v>42401</v>
      </c>
      <c r="F21" s="91">
        <f t="shared" ref="F21:F35" si="1">SUMPRODUCT((DateAF_ST_JOSEPH&lt;&gt;"")*(MONTH(DateAF_ST_JOSEPH)=MONTH(E21))*(YEAR(DateAF_ST_JOSEPH)=YEAR(E21))*MontantAF_ST_JOSEPH)</f>
        <v>81375</v>
      </c>
      <c r="G21" s="498">
        <v>42401</v>
      </c>
      <c r="H21" s="91">
        <f>SUMPRODUCT((DatePmt_ST_JOSEPH&lt;&gt;"")*(DatePmt_ST_JOSEPH&lt;&gt;"en attente")*(MONTH(DatePmt_ST_JOSEPH)=MONTH(G21))*(YEAR(DatePmt_ST_JOSEPH)=YEAR(G21))*(ISNUMBER(MtntPaye_ST_JOSEPH)),MtntPaye_ST_JOSEPH)</f>
        <v>81375</v>
      </c>
      <c r="J21" s="501">
        <v>2016</v>
      </c>
      <c r="K21" s="502">
        <f>SUMPRODUCT((YEAR($E$21:$E$35)=J21)*($F$21:$F$35))</f>
        <v>109246.59</v>
      </c>
      <c r="L21" s="502">
        <f>SUMPRODUCT((YEAR($G$21:$G$35)=J21)*($H$21:$H$35))</f>
        <v>109246.59</v>
      </c>
    </row>
    <row r="22" spans="1:16" ht="13.5">
      <c r="E22" s="498">
        <v>42599</v>
      </c>
      <c r="F22" s="91">
        <f t="shared" si="1"/>
        <v>27871.59</v>
      </c>
      <c r="G22" s="498">
        <v>42599</v>
      </c>
      <c r="H22" s="91">
        <f t="shared" ref="H22:H35" si="2">SUMPRODUCT((DatePmt_ST_JOSEPH&lt;&gt;"")*(DatePmt_ST_JOSEPH&lt;&gt;"en attente")*(MONTH(DatePmt_ST_JOSEPH)=MONTH(G22))*(YEAR(DatePmt_ST_JOSEPH)=YEAR(G22))*(ISNUMBER(MtntPaye_ST_JOSEPH)),MtntPaye_ST_JOSEPH)</f>
        <v>0</v>
      </c>
      <c r="J22" s="501">
        <v>2017</v>
      </c>
      <c r="K22" s="502">
        <f>SUMPRODUCT((YEAR($E$21:$E$35)=J22)*($F$21:$F$35))</f>
        <v>146111.1</v>
      </c>
      <c r="L22" s="502">
        <f>SUMPRODUCT((YEAR($G$21:$G$35)=J22)*($H$21:$H$35))</f>
        <v>0</v>
      </c>
    </row>
    <row r="23" spans="1:16" ht="13.5">
      <c r="E23" s="498">
        <v>42615</v>
      </c>
      <c r="F23" s="91">
        <f t="shared" si="1"/>
        <v>0</v>
      </c>
      <c r="G23" s="498">
        <v>42615</v>
      </c>
      <c r="H23" s="91">
        <f t="shared" si="2"/>
        <v>27871.59</v>
      </c>
      <c r="J23" s="501">
        <v>2018</v>
      </c>
      <c r="K23" s="502">
        <f>SUMPRODUCT((YEAR($E$21:$E$55)=J23)*($F$21:$F$55))</f>
        <v>109246.59</v>
      </c>
      <c r="L23" s="502">
        <f>SUMPRODUCT((YEAR($G$21:$G$55)=J23)*($H$21:$H$55))</f>
        <v>255357.69</v>
      </c>
    </row>
    <row r="24" spans="1:16" ht="13.5">
      <c r="E24" s="498">
        <v>42736</v>
      </c>
      <c r="F24" s="91">
        <f t="shared" si="1"/>
        <v>0</v>
      </c>
      <c r="G24" s="498">
        <v>42736</v>
      </c>
      <c r="H24" s="91">
        <f t="shared" si="2"/>
        <v>0</v>
      </c>
      <c r="J24" s="501">
        <v>2019</v>
      </c>
      <c r="K24" s="502">
        <f>SUMPRODUCT((YEAR($E$21:$E$55)=J24)*($F$21:$F$55))</f>
        <v>0</v>
      </c>
      <c r="L24" s="502">
        <f>SUMPRODUCT((YEAR($G$21:$G$55)=J24)*($H$21:$H$55))</f>
        <v>0</v>
      </c>
    </row>
    <row r="25" spans="1:16" ht="13.5">
      <c r="E25" s="498">
        <v>42767</v>
      </c>
      <c r="F25" s="91">
        <f t="shared" si="1"/>
        <v>0</v>
      </c>
      <c r="G25" s="498">
        <v>42767</v>
      </c>
      <c r="H25" s="91">
        <f t="shared" si="2"/>
        <v>0</v>
      </c>
      <c r="J25" s="501"/>
      <c r="K25" s="503">
        <f>SUM(K21:K24)</f>
        <v>364604.28</v>
      </c>
      <c r="L25" s="503">
        <f>SUM(L21:L24)</f>
        <v>364604.28</v>
      </c>
    </row>
    <row r="26" spans="1:16" ht="13.5">
      <c r="E26" s="498">
        <v>42795</v>
      </c>
      <c r="F26" s="91">
        <f t="shared" si="1"/>
        <v>0</v>
      </c>
      <c r="G26" s="498">
        <v>42795</v>
      </c>
      <c r="H26" s="91">
        <f t="shared" si="2"/>
        <v>0</v>
      </c>
      <c r="J26" s="501"/>
      <c r="K26" s="502">
        <f>K25-F56</f>
        <v>0</v>
      </c>
      <c r="L26" s="502">
        <f>L25-H56</f>
        <v>0</v>
      </c>
    </row>
    <row r="27" spans="1:16" ht="13.5">
      <c r="E27" s="498">
        <v>42826</v>
      </c>
      <c r="F27" s="91">
        <f t="shared" si="1"/>
        <v>0</v>
      </c>
      <c r="G27" s="498">
        <v>42826</v>
      </c>
      <c r="H27" s="91">
        <f t="shared" si="2"/>
        <v>0</v>
      </c>
      <c r="J27" s="501"/>
      <c r="K27" s="501"/>
      <c r="L27" s="501"/>
    </row>
    <row r="28" spans="1:16">
      <c r="E28" s="498">
        <v>42856</v>
      </c>
      <c r="F28" s="91">
        <f t="shared" si="1"/>
        <v>0</v>
      </c>
      <c r="G28" s="498">
        <v>42856</v>
      </c>
      <c r="H28" s="91">
        <f t="shared" si="2"/>
        <v>0</v>
      </c>
    </row>
    <row r="29" spans="1:16">
      <c r="E29" s="498">
        <v>42887</v>
      </c>
      <c r="F29" s="91">
        <f t="shared" si="1"/>
        <v>0</v>
      </c>
      <c r="G29" s="498">
        <v>42887</v>
      </c>
      <c r="H29" s="91">
        <f t="shared" si="2"/>
        <v>0</v>
      </c>
    </row>
    <row r="30" spans="1:16">
      <c r="E30" s="498">
        <v>42917</v>
      </c>
      <c r="F30" s="91">
        <f t="shared" si="1"/>
        <v>146111.1</v>
      </c>
      <c r="G30" s="498">
        <v>42917</v>
      </c>
      <c r="H30" s="91">
        <f t="shared" si="2"/>
        <v>0</v>
      </c>
    </row>
    <row r="31" spans="1:16">
      <c r="E31" s="498">
        <v>42948</v>
      </c>
      <c r="F31" s="91">
        <f t="shared" si="1"/>
        <v>0</v>
      </c>
      <c r="G31" s="498">
        <v>42948</v>
      </c>
      <c r="H31" s="91">
        <f t="shared" si="2"/>
        <v>0</v>
      </c>
    </row>
    <row r="32" spans="1:16">
      <c r="E32" s="498">
        <v>42979</v>
      </c>
      <c r="F32" s="91">
        <f t="shared" si="1"/>
        <v>0</v>
      </c>
      <c r="G32" s="498">
        <v>42979</v>
      </c>
      <c r="H32" s="91">
        <f t="shared" si="2"/>
        <v>0</v>
      </c>
    </row>
    <row r="33" spans="5:12">
      <c r="E33" s="498">
        <v>43009</v>
      </c>
      <c r="F33" s="91">
        <f t="shared" si="1"/>
        <v>0</v>
      </c>
      <c r="G33" s="498">
        <v>43009</v>
      </c>
      <c r="H33" s="91">
        <f t="shared" si="2"/>
        <v>0</v>
      </c>
    </row>
    <row r="34" spans="5:12">
      <c r="E34" s="498">
        <v>43040</v>
      </c>
      <c r="F34" s="91">
        <f t="shared" si="1"/>
        <v>0</v>
      </c>
      <c r="G34" s="498">
        <v>43040</v>
      </c>
      <c r="H34" s="91">
        <f t="shared" si="2"/>
        <v>0</v>
      </c>
    </row>
    <row r="35" spans="5:12">
      <c r="E35" s="498">
        <v>43070</v>
      </c>
      <c r="F35" s="91">
        <f t="shared" si="1"/>
        <v>0</v>
      </c>
      <c r="G35" s="498">
        <v>43070</v>
      </c>
      <c r="H35" s="91">
        <f t="shared" si="2"/>
        <v>0</v>
      </c>
    </row>
    <row r="36" spans="5:12">
      <c r="E36" s="498">
        <v>43101</v>
      </c>
      <c r="F36" s="91">
        <f t="shared" ref="F36:F55" si="3">SUMPRODUCT((DateAF_ST_JOSEPH&lt;&gt;"")*(MONTH(DateAF_ST_JOSEPH)=MONTH(E36))*(YEAR(DateAF_ST_JOSEPH)=YEAR(E36))*MontantAF_ST_JOSEPH)</f>
        <v>0</v>
      </c>
      <c r="G36" s="498">
        <v>43101</v>
      </c>
      <c r="H36" s="91">
        <f t="shared" ref="H36:H55" si="4">SUMPRODUCT((DatePmt_ST_JOSEPH&lt;&gt;"")*(DatePmt_ST_JOSEPH&lt;&gt;"en attente")*(MONTH(DatePmt_ST_JOSEPH)=MONTH(G36))*(YEAR(DatePmt_ST_JOSEPH)=YEAR(G36))*(ISNUMBER(MtntPaye_ST_JOSEPH)),MtntPaye_ST_JOSEPH)</f>
        <v>0</v>
      </c>
    </row>
    <row r="37" spans="5:12">
      <c r="E37" s="498">
        <v>43132</v>
      </c>
      <c r="F37" s="91">
        <f t="shared" si="3"/>
        <v>0</v>
      </c>
      <c r="G37" s="498">
        <v>43132</v>
      </c>
      <c r="H37" s="91">
        <f t="shared" si="4"/>
        <v>0</v>
      </c>
    </row>
    <row r="38" spans="5:12">
      <c r="E38" s="498">
        <v>43160</v>
      </c>
      <c r="F38" s="91">
        <f t="shared" si="3"/>
        <v>0</v>
      </c>
      <c r="G38" s="498">
        <v>43160</v>
      </c>
      <c r="H38" s="91">
        <f t="shared" si="4"/>
        <v>146111.1</v>
      </c>
    </row>
    <row r="39" spans="5:12">
      <c r="E39" s="498">
        <v>43191</v>
      </c>
      <c r="F39" s="91">
        <f t="shared" si="3"/>
        <v>0</v>
      </c>
      <c r="G39" s="498">
        <v>43191</v>
      </c>
      <c r="H39" s="91">
        <f t="shared" si="4"/>
        <v>0</v>
      </c>
    </row>
    <row r="40" spans="5:12">
      <c r="E40" s="498">
        <v>43221</v>
      </c>
      <c r="F40" s="91">
        <f t="shared" si="3"/>
        <v>0</v>
      </c>
      <c r="G40" s="498">
        <v>43221</v>
      </c>
      <c r="H40" s="91">
        <f t="shared" si="4"/>
        <v>0</v>
      </c>
    </row>
    <row r="41" spans="5:12">
      <c r="E41" s="498">
        <v>43252</v>
      </c>
      <c r="F41" s="91">
        <f t="shared" si="3"/>
        <v>27871.59</v>
      </c>
      <c r="G41" s="498">
        <v>43252</v>
      </c>
      <c r="H41" s="91">
        <f t="shared" si="4"/>
        <v>0</v>
      </c>
    </row>
    <row r="42" spans="5:12">
      <c r="E42" s="498">
        <v>43282</v>
      </c>
      <c r="F42" s="91">
        <f t="shared" si="3"/>
        <v>81375</v>
      </c>
      <c r="G42" s="498">
        <v>43282</v>
      </c>
      <c r="H42" s="91">
        <f t="shared" si="4"/>
        <v>27871.59</v>
      </c>
    </row>
    <row r="43" spans="5:12">
      <c r="E43" s="498">
        <v>43313</v>
      </c>
      <c r="F43" s="91">
        <f t="shared" si="3"/>
        <v>0</v>
      </c>
      <c r="G43" s="498">
        <v>43313</v>
      </c>
      <c r="H43" s="91">
        <f t="shared" si="4"/>
        <v>81375</v>
      </c>
    </row>
    <row r="44" spans="5:12">
      <c r="E44" s="498">
        <v>43344</v>
      </c>
      <c r="F44" s="91">
        <f t="shared" si="3"/>
        <v>0</v>
      </c>
      <c r="G44" s="498">
        <v>43344</v>
      </c>
      <c r="H44" s="91">
        <f t="shared" si="4"/>
        <v>0</v>
      </c>
    </row>
    <row r="45" spans="5:12">
      <c r="E45" s="498">
        <v>43374</v>
      </c>
      <c r="F45" s="91">
        <f t="shared" si="3"/>
        <v>0</v>
      </c>
      <c r="G45" s="498">
        <v>43374</v>
      </c>
      <c r="H45" s="91">
        <f t="shared" si="4"/>
        <v>0</v>
      </c>
    </row>
    <row r="46" spans="5:12">
      <c r="E46" s="498">
        <v>43405</v>
      </c>
      <c r="F46" s="91">
        <f t="shared" si="3"/>
        <v>0</v>
      </c>
      <c r="G46" s="498">
        <v>43405</v>
      </c>
      <c r="H46" s="91">
        <f t="shared" si="4"/>
        <v>0</v>
      </c>
    </row>
    <row r="47" spans="5:12">
      <c r="E47" s="498">
        <v>43435</v>
      </c>
      <c r="F47" s="91">
        <f t="shared" si="3"/>
        <v>0</v>
      </c>
      <c r="G47" s="498">
        <v>43435</v>
      </c>
      <c r="H47" s="91">
        <f t="shared" si="4"/>
        <v>0</v>
      </c>
    </row>
    <row r="48" spans="5:12" s="499" customFormat="1">
      <c r="E48" s="498">
        <v>43586</v>
      </c>
      <c r="F48" s="91">
        <f t="shared" si="3"/>
        <v>0</v>
      </c>
      <c r="G48" s="498">
        <v>43586</v>
      </c>
      <c r="H48" s="91">
        <f t="shared" si="4"/>
        <v>0</v>
      </c>
      <c r="J48"/>
      <c r="K48"/>
      <c r="L48"/>
    </row>
    <row r="49" spans="5:12" s="463" customFormat="1">
      <c r="E49" s="498">
        <v>43617</v>
      </c>
      <c r="F49" s="91">
        <f t="shared" si="3"/>
        <v>0</v>
      </c>
      <c r="G49" s="498">
        <v>43617</v>
      </c>
      <c r="H49" s="91">
        <f t="shared" si="4"/>
        <v>0</v>
      </c>
      <c r="J49"/>
      <c r="K49"/>
      <c r="L49"/>
    </row>
    <row r="50" spans="5:12">
      <c r="E50" s="498">
        <v>43647</v>
      </c>
      <c r="F50" s="91">
        <f t="shared" si="3"/>
        <v>0</v>
      </c>
      <c r="G50" s="498">
        <v>43647</v>
      </c>
      <c r="H50" s="91">
        <f t="shared" si="4"/>
        <v>0</v>
      </c>
      <c r="J50" s="499"/>
      <c r="K50" s="499"/>
      <c r="L50" s="499"/>
    </row>
    <row r="51" spans="5:12">
      <c r="E51" s="498">
        <v>43678</v>
      </c>
      <c r="F51" s="91">
        <f t="shared" si="3"/>
        <v>0</v>
      </c>
      <c r="G51" s="498">
        <v>43678</v>
      </c>
      <c r="H51" s="91">
        <f t="shared" si="4"/>
        <v>0</v>
      </c>
      <c r="J51" s="463"/>
      <c r="K51" s="463"/>
      <c r="L51" s="463"/>
    </row>
    <row r="52" spans="5:12">
      <c r="E52" s="498">
        <v>43709</v>
      </c>
      <c r="F52" s="91">
        <f t="shared" si="3"/>
        <v>0</v>
      </c>
      <c r="G52" s="498">
        <v>43709</v>
      </c>
      <c r="H52" s="91">
        <f t="shared" si="4"/>
        <v>0</v>
      </c>
    </row>
    <row r="53" spans="5:12">
      <c r="E53" s="498">
        <v>43739</v>
      </c>
      <c r="F53" s="91">
        <f t="shared" si="3"/>
        <v>0</v>
      </c>
      <c r="G53" s="498">
        <v>43739</v>
      </c>
      <c r="H53" s="91">
        <f t="shared" si="4"/>
        <v>0</v>
      </c>
    </row>
    <row r="54" spans="5:12">
      <c r="E54" s="498">
        <v>43770</v>
      </c>
      <c r="F54" s="91">
        <f t="shared" si="3"/>
        <v>0</v>
      </c>
      <c r="G54" s="498">
        <v>43770</v>
      </c>
      <c r="H54" s="91">
        <f t="shared" si="4"/>
        <v>0</v>
      </c>
    </row>
    <row r="55" spans="5:12">
      <c r="E55" s="498">
        <v>43800</v>
      </c>
      <c r="F55" s="91">
        <f t="shared" si="3"/>
        <v>0</v>
      </c>
      <c r="G55" s="498">
        <v>43800</v>
      </c>
      <c r="H55" s="91">
        <f t="shared" si="4"/>
        <v>0</v>
      </c>
    </row>
    <row r="56" spans="5:12" ht="13.5">
      <c r="E56" s="500"/>
      <c r="F56" s="460">
        <f>SUM(F21:F55)</f>
        <v>364604.28</v>
      </c>
      <c r="G56" s="499"/>
      <c r="H56" s="460">
        <f>SUM(H21:H55)</f>
        <v>364604.28</v>
      </c>
    </row>
    <row r="57" spans="5:12" ht="13.5">
      <c r="E57" s="463"/>
      <c r="F57" s="166">
        <f>+F56-F17</f>
        <v>0</v>
      </c>
      <c r="G57" s="463"/>
      <c r="H57" s="166">
        <f>+H56-I17</f>
        <v>0</v>
      </c>
    </row>
  </sheetData>
  <mergeCells count="7">
    <mergeCell ref="L18:M18"/>
    <mergeCell ref="A1:K1"/>
    <mergeCell ref="A3:A4"/>
    <mergeCell ref="B3:B4"/>
    <mergeCell ref="C3:C4"/>
    <mergeCell ref="D3:D4"/>
    <mergeCell ref="L3:M3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9"/>
  <dimension ref="A1:P16"/>
  <sheetViews>
    <sheetView workbookViewId="0">
      <selection sqref="A1:XFD1048576"/>
    </sheetView>
  </sheetViews>
  <sheetFormatPr defaultColWidth="11.42578125" defaultRowHeight="12" outlineLevelCol="1"/>
  <cols>
    <col min="1" max="1" width="31.5703125" style="6" bestFit="1" customWidth="1"/>
    <col min="2" max="2" width="30.42578125" style="1" hidden="1" customWidth="1" outlineLevel="1"/>
    <col min="3" max="3" width="11.42578125" style="1" bestFit="1" customWidth="1" collapsed="1"/>
    <col min="4" max="4" width="13.42578125" style="1" bestFit="1" customWidth="1"/>
    <col min="5" max="5" width="14.42578125" style="1" customWidth="1"/>
    <col min="6" max="6" width="4.140625" style="6" bestFit="1" customWidth="1"/>
    <col min="7" max="7" width="10.42578125" style="1" bestFit="1" customWidth="1"/>
    <col min="8" max="8" width="12.42578125" style="1" customWidth="1"/>
    <col min="9" max="9" width="10.42578125" style="1" bestFit="1" customWidth="1"/>
    <col min="10" max="10" width="18.5703125" style="1" bestFit="1" customWidth="1"/>
    <col min="11" max="11" width="14.42578125" style="1" customWidth="1"/>
    <col min="12" max="12" width="14.42578125" style="1" bestFit="1" customWidth="1"/>
    <col min="13" max="13" width="4.140625" style="1" customWidth="1"/>
    <col min="14" max="14" width="14.42578125" style="1" bestFit="1" customWidth="1"/>
    <col min="15" max="15" width="13.42578125" style="1" bestFit="1" customWidth="1"/>
    <col min="16" max="16384" width="11.42578125" style="1"/>
  </cols>
  <sheetData>
    <row r="1" spans="1:16" ht="12.75">
      <c r="N1" s="90"/>
      <c r="O1" s="8"/>
    </row>
    <row r="2" spans="1:16" ht="12.75">
      <c r="A2" s="1027" t="s">
        <v>73</v>
      </c>
      <c r="B2" s="1027"/>
      <c r="C2" s="1027"/>
      <c r="D2" s="1027"/>
      <c r="E2" s="1027"/>
      <c r="F2" s="1027"/>
      <c r="G2" s="1027"/>
      <c r="H2" s="1027"/>
      <c r="I2" s="1027"/>
      <c r="J2" s="1027"/>
      <c r="K2" s="1027"/>
      <c r="L2" s="9">
        <v>42155</v>
      </c>
      <c r="O2" s="61"/>
    </row>
    <row r="4" spans="1:16" s="2" customFormat="1" ht="12.75">
      <c r="A4" s="1044" t="s">
        <v>2</v>
      </c>
      <c r="B4" s="1044" t="s">
        <v>0</v>
      </c>
      <c r="C4" s="1032" t="s">
        <v>21</v>
      </c>
      <c r="D4" s="1032" t="s">
        <v>12</v>
      </c>
      <c r="E4" s="1028" t="s">
        <v>4</v>
      </c>
      <c r="F4" s="1029"/>
      <c r="G4" s="1029"/>
      <c r="H4" s="1029"/>
      <c r="I4" s="1029"/>
      <c r="J4" s="1030"/>
      <c r="K4" s="1031" t="s">
        <v>13</v>
      </c>
      <c r="L4" s="1032"/>
      <c r="O4" s="63"/>
      <c r="P4" s="63"/>
    </row>
    <row r="5" spans="1:16" s="13" customFormat="1" ht="12.75">
      <c r="A5" s="1045"/>
      <c r="B5" s="1045"/>
      <c r="C5" s="1046"/>
      <c r="D5" s="1046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</row>
    <row r="6" spans="1:16" ht="12.75">
      <c r="A6" s="45" t="s">
        <v>43</v>
      </c>
      <c r="B6" s="14"/>
      <c r="C6" s="30">
        <v>40798</v>
      </c>
      <c r="D6" s="16">
        <v>100000</v>
      </c>
      <c r="E6" s="17"/>
      <c r="F6" s="18"/>
      <c r="G6" s="19"/>
      <c r="H6" s="20"/>
      <c r="I6" s="85"/>
      <c r="J6" s="19"/>
      <c r="K6" s="22"/>
      <c r="L6" s="22"/>
    </row>
    <row r="7" spans="1:16" s="26" customFormat="1">
      <c r="A7" s="46"/>
      <c r="B7" s="4"/>
      <c r="C7" s="15"/>
      <c r="D7" s="16"/>
      <c r="E7" s="23">
        <v>80000</v>
      </c>
      <c r="F7" s="42">
        <v>1</v>
      </c>
      <c r="G7" s="30"/>
      <c r="H7" s="23">
        <v>80000</v>
      </c>
      <c r="I7" s="30">
        <v>40925</v>
      </c>
      <c r="J7" s="4"/>
      <c r="K7" s="81">
        <f>+IF(G7="",0,E7-H7)</f>
        <v>0</v>
      </c>
      <c r="L7" s="81">
        <f>IF(G7="",E7-H7,0)</f>
        <v>0</v>
      </c>
      <c r="N7" s="27"/>
      <c r="O7" s="27"/>
    </row>
    <row r="8" spans="1:16" s="26" customFormat="1" ht="12.75">
      <c r="A8" s="45"/>
      <c r="B8" s="4"/>
      <c r="C8" s="15"/>
      <c r="D8" s="16"/>
      <c r="E8" s="23">
        <v>20000</v>
      </c>
      <c r="F8" s="42">
        <v>2</v>
      </c>
      <c r="G8" s="15"/>
      <c r="H8" s="24"/>
      <c r="I8" s="30"/>
      <c r="J8" s="4"/>
      <c r="K8" s="81">
        <f t="shared" ref="K8:K14" si="0">+IF(G8="",0,E8-H8)</f>
        <v>0</v>
      </c>
      <c r="L8" s="81">
        <f t="shared" ref="L8:L14" si="1">IF(G8="",E8-H8,0)</f>
        <v>20000</v>
      </c>
      <c r="N8" s="27"/>
      <c r="O8" s="27"/>
    </row>
    <row r="9" spans="1:16" ht="12.75">
      <c r="A9" s="45" t="s">
        <v>53</v>
      </c>
      <c r="B9" s="74"/>
      <c r="C9" s="15"/>
      <c r="D9" s="16">
        <v>100000</v>
      </c>
      <c r="E9" s="23"/>
      <c r="F9" s="42"/>
      <c r="G9" s="15"/>
      <c r="H9" s="24"/>
      <c r="I9" s="30"/>
      <c r="J9" s="4"/>
      <c r="K9" s="81">
        <f t="shared" si="0"/>
        <v>0</v>
      </c>
      <c r="L9" s="81">
        <f t="shared" si="1"/>
        <v>0</v>
      </c>
    </row>
    <row r="10" spans="1:16">
      <c r="A10" s="46"/>
      <c r="B10" s="74"/>
      <c r="C10" s="15"/>
      <c r="D10" s="16"/>
      <c r="E10" s="23">
        <v>50000</v>
      </c>
      <c r="F10" s="42">
        <v>1</v>
      </c>
      <c r="G10" s="15">
        <v>41729</v>
      </c>
      <c r="H10" s="23">
        <v>50000</v>
      </c>
      <c r="I10" s="30">
        <v>41829</v>
      </c>
      <c r="J10" s="4"/>
      <c r="K10" s="81">
        <f t="shared" si="0"/>
        <v>0</v>
      </c>
      <c r="L10" s="81">
        <f t="shared" si="1"/>
        <v>0</v>
      </c>
    </row>
    <row r="11" spans="1:16">
      <c r="A11" s="46"/>
      <c r="B11" s="74"/>
      <c r="C11" s="15"/>
      <c r="D11" s="16"/>
      <c r="E11" s="23">
        <v>50000</v>
      </c>
      <c r="F11" s="42">
        <v>2</v>
      </c>
      <c r="G11" s="15"/>
      <c r="H11" s="24"/>
      <c r="I11" s="30"/>
      <c r="J11" s="4"/>
      <c r="K11" s="81">
        <f t="shared" si="0"/>
        <v>0</v>
      </c>
      <c r="L11" s="81">
        <f t="shared" si="1"/>
        <v>50000</v>
      </c>
    </row>
    <row r="12" spans="1:16" ht="12.75">
      <c r="A12" s="45" t="s">
        <v>10</v>
      </c>
      <c r="B12" s="74"/>
      <c r="C12" s="15"/>
      <c r="D12" s="16">
        <v>100000</v>
      </c>
      <c r="E12" s="23"/>
      <c r="F12" s="42"/>
      <c r="G12" s="15"/>
      <c r="H12" s="24"/>
      <c r="I12" s="30"/>
      <c r="J12" s="4"/>
      <c r="K12" s="81">
        <f t="shared" si="0"/>
        <v>0</v>
      </c>
      <c r="L12" s="81">
        <f t="shared" si="1"/>
        <v>0</v>
      </c>
    </row>
    <row r="13" spans="1:16">
      <c r="A13" s="46"/>
      <c r="B13" s="74"/>
      <c r="C13" s="15"/>
      <c r="D13" s="16"/>
      <c r="E13" s="23">
        <v>50000</v>
      </c>
      <c r="F13" s="42">
        <v>1</v>
      </c>
      <c r="G13" s="15">
        <v>41729</v>
      </c>
      <c r="H13" s="24">
        <v>50000</v>
      </c>
      <c r="I13" s="30">
        <v>41829</v>
      </c>
      <c r="J13" s="4"/>
      <c r="K13" s="81">
        <f t="shared" si="0"/>
        <v>0</v>
      </c>
      <c r="L13" s="81">
        <f t="shared" si="1"/>
        <v>0</v>
      </c>
    </row>
    <row r="14" spans="1:16">
      <c r="A14" s="46"/>
      <c r="B14" s="74"/>
      <c r="C14" s="15"/>
      <c r="D14" s="16"/>
      <c r="E14" s="23">
        <v>50000</v>
      </c>
      <c r="F14" s="42">
        <v>2</v>
      </c>
      <c r="G14" s="15"/>
      <c r="H14" s="24"/>
      <c r="I14" s="30"/>
      <c r="J14" s="4"/>
      <c r="K14" s="81">
        <f t="shared" si="0"/>
        <v>0</v>
      </c>
      <c r="L14" s="81">
        <f t="shared" si="1"/>
        <v>50000</v>
      </c>
    </row>
    <row r="15" spans="1:16" s="8" customFormat="1" ht="12.75">
      <c r="A15" s="48"/>
      <c r="B15" s="48"/>
      <c r="C15" s="48"/>
      <c r="D15" s="41">
        <f>SUM(D6:D14)</f>
        <v>300000</v>
      </c>
      <c r="E15" s="41">
        <f>SUM(E6:E14)</f>
        <v>300000</v>
      </c>
      <c r="F15" s="49"/>
      <c r="G15" s="50"/>
      <c r="H15" s="41">
        <f>SUM(H6:H14)</f>
        <v>180000</v>
      </c>
      <c r="I15" s="50"/>
      <c r="J15" s="50"/>
      <c r="K15" s="41">
        <f>SUM(K6:K14)</f>
        <v>0</v>
      </c>
      <c r="L15" s="41">
        <f>SUM(L6:L14)</f>
        <v>120000</v>
      </c>
      <c r="N15" s="20"/>
      <c r="O15" s="20"/>
    </row>
    <row r="16" spans="1:16" ht="12.75">
      <c r="A16" s="75"/>
      <c r="B16" s="76"/>
      <c r="C16" s="76"/>
      <c r="D16" s="76"/>
      <c r="E16" s="76"/>
      <c r="F16" s="75"/>
      <c r="G16" s="76"/>
      <c r="H16" s="76"/>
      <c r="I16" s="76"/>
      <c r="J16" s="52"/>
      <c r="K16" s="1025">
        <f>SUM(K15:L15)</f>
        <v>120000</v>
      </c>
      <c r="L16" s="1026"/>
    </row>
  </sheetData>
  <mergeCells count="8">
    <mergeCell ref="K16:L16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A1:L13"/>
  <sheetViews>
    <sheetView workbookViewId="0">
      <selection activeCell="L39" sqref="L39:L40"/>
    </sheetView>
  </sheetViews>
  <sheetFormatPr defaultColWidth="11.42578125" defaultRowHeight="12.75"/>
  <sheetData>
    <row r="1" spans="1:12" ht="13.5">
      <c r="A1" s="1027" t="s">
        <v>73</v>
      </c>
      <c r="B1" s="1027"/>
      <c r="C1" s="1027"/>
      <c r="D1" s="1027"/>
      <c r="E1" s="1027"/>
      <c r="F1" s="1027"/>
      <c r="G1" s="1027"/>
      <c r="H1" s="1027"/>
      <c r="I1" s="1027"/>
      <c r="J1" s="1027"/>
      <c r="K1" s="1027"/>
      <c r="L1" s="9">
        <f ca="1">TODAY()</f>
        <v>43599</v>
      </c>
    </row>
    <row r="2" spans="1:12">
      <c r="A2" s="6"/>
      <c r="B2" s="1"/>
      <c r="C2" s="1"/>
      <c r="D2" s="1"/>
      <c r="E2" s="1"/>
      <c r="F2" s="6"/>
      <c r="G2" s="1"/>
      <c r="H2" s="1"/>
      <c r="I2" s="1"/>
      <c r="J2" s="1"/>
      <c r="K2" s="1"/>
      <c r="L2" s="1"/>
    </row>
    <row r="3" spans="1:12">
      <c r="A3" s="1044" t="s">
        <v>2</v>
      </c>
      <c r="B3" s="1044" t="s">
        <v>0</v>
      </c>
      <c r="C3" s="1032" t="s">
        <v>21</v>
      </c>
      <c r="D3" s="1032" t="s">
        <v>12</v>
      </c>
      <c r="E3" s="1028" t="s">
        <v>4</v>
      </c>
      <c r="F3" s="1029"/>
      <c r="G3" s="1029"/>
      <c r="H3" s="1029"/>
      <c r="I3" s="1029"/>
      <c r="J3" s="1030"/>
      <c r="K3" s="1031" t="s">
        <v>13</v>
      </c>
      <c r="L3" s="1032"/>
    </row>
    <row r="4" spans="1:12">
      <c r="A4" s="1045"/>
      <c r="B4" s="1045"/>
      <c r="C4" s="1046"/>
      <c r="D4" s="1046"/>
      <c r="E4" s="10" t="s">
        <v>1</v>
      </c>
      <c r="F4" s="11" t="s">
        <v>3</v>
      </c>
      <c r="G4" s="11" t="s">
        <v>15</v>
      </c>
      <c r="H4" s="12" t="s">
        <v>14</v>
      </c>
      <c r="I4" s="10" t="s">
        <v>15</v>
      </c>
      <c r="J4" s="11" t="s">
        <v>18</v>
      </c>
      <c r="K4" s="3" t="s">
        <v>20</v>
      </c>
      <c r="L4" s="3" t="s">
        <v>19</v>
      </c>
    </row>
    <row r="5" spans="1:12" ht="13.5">
      <c r="A5" s="45" t="s">
        <v>150</v>
      </c>
      <c r="B5" s="14"/>
      <c r="C5" s="30">
        <v>41631</v>
      </c>
      <c r="D5" s="16">
        <v>100000</v>
      </c>
      <c r="E5" s="17"/>
      <c r="F5" s="18"/>
      <c r="G5" s="19"/>
      <c r="H5" s="20"/>
      <c r="I5" s="21"/>
      <c r="J5" s="19"/>
      <c r="K5" s="22"/>
      <c r="L5" s="22"/>
    </row>
    <row r="6" spans="1:12">
      <c r="A6" s="46"/>
      <c r="B6" s="4"/>
      <c r="C6" s="15"/>
      <c r="D6" s="16"/>
      <c r="E6" s="23">
        <v>50000</v>
      </c>
      <c r="F6" s="42">
        <v>1</v>
      </c>
      <c r="G6" s="30">
        <v>41729</v>
      </c>
      <c r="H6" s="268" t="s">
        <v>152</v>
      </c>
      <c r="I6" s="30"/>
      <c r="J6" s="4">
        <f>I6-G6</f>
        <v>-41729</v>
      </c>
      <c r="K6" s="81">
        <v>50000</v>
      </c>
      <c r="L6" s="81">
        <f>IF(G6="",E6-H6,0)</f>
        <v>0</v>
      </c>
    </row>
    <row r="7" spans="1:12">
      <c r="A7" s="46"/>
      <c r="B7" s="4"/>
      <c r="C7" s="15"/>
      <c r="D7" s="16"/>
      <c r="E7" s="23">
        <v>50000</v>
      </c>
      <c r="F7" s="42"/>
      <c r="G7" s="15"/>
      <c r="H7" s="24"/>
      <c r="I7" s="30"/>
      <c r="J7" s="4"/>
      <c r="K7" s="81"/>
      <c r="L7" s="81">
        <v>50000</v>
      </c>
    </row>
    <row r="8" spans="1:12">
      <c r="A8" s="261" t="s">
        <v>151</v>
      </c>
      <c r="B8" s="57"/>
      <c r="C8" s="262">
        <v>41631</v>
      </c>
      <c r="D8" s="56">
        <v>100000</v>
      </c>
      <c r="E8" s="263"/>
      <c r="F8" s="264"/>
      <c r="G8" s="262"/>
      <c r="H8" s="265"/>
      <c r="I8" s="266"/>
      <c r="J8" s="57"/>
      <c r="K8" s="267"/>
      <c r="L8" s="267"/>
    </row>
    <row r="9" spans="1:12">
      <c r="A9" s="46"/>
      <c r="B9" s="4"/>
      <c r="C9" s="15"/>
      <c r="D9" s="16"/>
      <c r="E9" s="23">
        <v>50000</v>
      </c>
      <c r="F9" s="42">
        <v>1</v>
      </c>
      <c r="G9" s="15">
        <v>41729</v>
      </c>
      <c r="H9" s="269" t="s">
        <v>152</v>
      </c>
      <c r="I9" s="30"/>
      <c r="J9" s="4"/>
      <c r="K9" s="81">
        <v>50000</v>
      </c>
      <c r="L9" s="81"/>
    </row>
    <row r="10" spans="1:12">
      <c r="A10" s="46"/>
      <c r="B10" s="4"/>
      <c r="C10" s="15"/>
      <c r="D10" s="16"/>
      <c r="E10" s="23">
        <v>50000</v>
      </c>
      <c r="F10" s="42"/>
      <c r="G10" s="15"/>
      <c r="H10" s="24"/>
      <c r="I10" s="30"/>
      <c r="J10" s="4"/>
      <c r="K10" s="81">
        <f>+IF(G10="",0,E10-H10)</f>
        <v>0</v>
      </c>
      <c r="L10" s="81">
        <f>IF(G10="",E10-H10,0)</f>
        <v>50000</v>
      </c>
    </row>
    <row r="11" spans="1:12" ht="13.5">
      <c r="A11" s="48"/>
      <c r="B11" s="48"/>
      <c r="C11" s="48"/>
      <c r="D11" s="41">
        <f>SUM(D5:D10)</f>
        <v>200000</v>
      </c>
      <c r="E11" s="41"/>
      <c r="F11" s="49"/>
      <c r="G11" s="50"/>
      <c r="H11" s="41">
        <f>SUM(H5:H10)</f>
        <v>0</v>
      </c>
      <c r="I11" s="50"/>
      <c r="J11" s="50"/>
      <c r="K11" s="41">
        <f>K6+K9</f>
        <v>100000</v>
      </c>
      <c r="L11" s="41">
        <f>SUM(L5:L10)</f>
        <v>100000</v>
      </c>
    </row>
    <row r="12" spans="1:12" ht="13.5">
      <c r="A12" s="75"/>
      <c r="B12" s="76"/>
      <c r="C12" s="76"/>
      <c r="D12" s="76"/>
      <c r="E12" s="76"/>
      <c r="F12" s="75"/>
      <c r="G12" s="76"/>
      <c r="H12" s="76"/>
      <c r="I12" s="76"/>
      <c r="J12" s="52"/>
      <c r="K12" s="1025">
        <f>SUM(K11:L11)</f>
        <v>200000</v>
      </c>
      <c r="L12" s="1026"/>
    </row>
    <row r="13" spans="1:12">
      <c r="A13" s="6"/>
      <c r="B13" s="1"/>
      <c r="C13" s="1"/>
      <c r="D13" s="1"/>
      <c r="E13" s="1"/>
      <c r="F13" s="6"/>
      <c r="G13" s="1"/>
      <c r="H13" s="1"/>
      <c r="I13" s="1"/>
      <c r="J13" s="1"/>
      <c r="K13" s="1"/>
      <c r="L13" s="1"/>
    </row>
  </sheetData>
  <mergeCells count="8">
    <mergeCell ref="K12:L12"/>
    <mergeCell ref="A1:K1"/>
    <mergeCell ref="A3:A4"/>
    <mergeCell ref="B3:B4"/>
    <mergeCell ref="C3:C4"/>
    <mergeCell ref="D3:D4"/>
    <mergeCell ref="E3:J3"/>
    <mergeCell ref="K3:L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21</vt:i4>
      </vt:variant>
      <vt:variant>
        <vt:lpstr>Named Ranges</vt:lpstr>
      </vt:variant>
      <vt:variant>
        <vt:i4>89</vt:i4>
      </vt:variant>
    </vt:vector>
  </HeadingPairs>
  <TitlesOfParts>
    <vt:vector size="110" baseType="lpstr">
      <vt:lpstr>SYNTHESE</vt:lpstr>
      <vt:lpstr>GLOBAL OPERATION</vt:lpstr>
      <vt:lpstr>CONVENTIONS SIGNEES 2018</vt:lpstr>
      <vt:lpstr>FRAFU DEAL</vt:lpstr>
      <vt:lpstr>LBU DEAL</vt:lpstr>
      <vt:lpstr>LBU REHAB</vt:lpstr>
      <vt:lpstr>ST LEU</vt:lpstr>
      <vt:lpstr>CAF</vt:lpstr>
      <vt:lpstr>REGION</vt:lpstr>
      <vt:lpstr>ETANG-SALE</vt:lpstr>
      <vt:lpstr>RECTORAT</vt:lpstr>
      <vt:lpstr>DIECCTE</vt:lpstr>
      <vt:lpstr>TCO</vt:lpstr>
      <vt:lpstr>FEDER</vt:lpstr>
      <vt:lpstr>ADEME</vt:lpstr>
      <vt:lpstr>PETITE ILE</vt:lpstr>
      <vt:lpstr>EDF</vt:lpstr>
      <vt:lpstr>OFFICE DE L'EAU</vt:lpstr>
      <vt:lpstr>ST JOSEPH</vt:lpstr>
      <vt:lpstr>CILGERE</vt:lpstr>
      <vt:lpstr>cilgère</vt:lpstr>
      <vt:lpstr>Bdgt_ADEME</vt:lpstr>
      <vt:lpstr>Bdgt_CAF</vt:lpstr>
      <vt:lpstr>Bdgt_EDF</vt:lpstr>
      <vt:lpstr>Bdgt_ETG_SALE</vt:lpstr>
      <vt:lpstr>Bdgt_FRAFU</vt:lpstr>
      <vt:lpstr>Bdgt_LBU</vt:lpstr>
      <vt:lpstr>Bdgt_P_Ile</vt:lpstr>
      <vt:lpstr>Bdgt_Rectorat</vt:lpstr>
      <vt:lpstr>Bdgt_Region</vt:lpstr>
      <vt:lpstr>Bdgt_Rehab</vt:lpstr>
      <vt:lpstr>Bdgt_ST_JO</vt:lpstr>
      <vt:lpstr>Date_AF_ETG_SALE</vt:lpstr>
      <vt:lpstr>Date_AF_FRAFU</vt:lpstr>
      <vt:lpstr>DateAF</vt:lpstr>
      <vt:lpstr>DateAF_ADEME</vt:lpstr>
      <vt:lpstr>DateAF_CAF</vt:lpstr>
      <vt:lpstr>DateAF_EAU</vt:lpstr>
      <vt:lpstr>DateAF_EDF</vt:lpstr>
      <vt:lpstr>DateAF_FEDER</vt:lpstr>
      <vt:lpstr>DateAF_LBU</vt:lpstr>
      <vt:lpstr>DateAF_LBU_rehab</vt:lpstr>
      <vt:lpstr>DateAF_P_ILE</vt:lpstr>
      <vt:lpstr>DateAF_Rectorat</vt:lpstr>
      <vt:lpstr>DateAF_Region</vt:lpstr>
      <vt:lpstr>DateAF_ST_JOSEPH</vt:lpstr>
      <vt:lpstr>DateAF_ST_LEU</vt:lpstr>
      <vt:lpstr>DateAF_TCO</vt:lpstr>
      <vt:lpstr>DatePmt</vt:lpstr>
      <vt:lpstr>DatePmt_ADEME</vt:lpstr>
      <vt:lpstr>DatePmt_caf</vt:lpstr>
      <vt:lpstr>DatePmt_EAU</vt:lpstr>
      <vt:lpstr>DatePmt_EDF</vt:lpstr>
      <vt:lpstr>DatePmt_ETG_SALE</vt:lpstr>
      <vt:lpstr>DatePmt_FEDER</vt:lpstr>
      <vt:lpstr>DatePmt_LBU</vt:lpstr>
      <vt:lpstr>DatePmt_P_ILE</vt:lpstr>
      <vt:lpstr>DatePmt_Rectorat</vt:lpstr>
      <vt:lpstr>DatePmt_Region</vt:lpstr>
      <vt:lpstr>DatePmt_ST_JOSEPH</vt:lpstr>
      <vt:lpstr>DatePmt_ST_LEU</vt:lpstr>
      <vt:lpstr>DatePmt_TCO</vt:lpstr>
      <vt:lpstr>DatePmtRehab</vt:lpstr>
      <vt:lpstr>MontantAF</vt:lpstr>
      <vt:lpstr>MontantAF_ADEME</vt:lpstr>
      <vt:lpstr>MontantAF_CAF</vt:lpstr>
      <vt:lpstr>MontantAF_EAU</vt:lpstr>
      <vt:lpstr>MontantAF_EDF</vt:lpstr>
      <vt:lpstr>MontantAF_ETG_SALE</vt:lpstr>
      <vt:lpstr>MontantAF_FEDER</vt:lpstr>
      <vt:lpstr>MontantAF_FRAFU</vt:lpstr>
      <vt:lpstr>MontantAF_LBU</vt:lpstr>
      <vt:lpstr>MontantAF_LBU_rehab</vt:lpstr>
      <vt:lpstr>MontantAF_P_ILE</vt:lpstr>
      <vt:lpstr>MontantAF_Rectorat</vt:lpstr>
      <vt:lpstr>MontantAF_Region</vt:lpstr>
      <vt:lpstr>MontantAF_ST_JOSEPH</vt:lpstr>
      <vt:lpstr>MontantAF_ST_LEU</vt:lpstr>
      <vt:lpstr>MontantAF_TCO</vt:lpstr>
      <vt:lpstr>MontantPaye</vt:lpstr>
      <vt:lpstr>MontantPayeRehab</vt:lpstr>
      <vt:lpstr>MtntPaye_ADEME</vt:lpstr>
      <vt:lpstr>MtntPaye_CAF</vt:lpstr>
      <vt:lpstr>MtntPaye_EAU</vt:lpstr>
      <vt:lpstr>MtntPaye_EDF</vt:lpstr>
      <vt:lpstr>MtntPaye_ETG_SALE</vt:lpstr>
      <vt:lpstr>MtntPaye_FEDER</vt:lpstr>
      <vt:lpstr>MtntPaye_LBU</vt:lpstr>
      <vt:lpstr>MtntPaye_P_ILE</vt:lpstr>
      <vt:lpstr>MtntPaye_Rectorat</vt:lpstr>
      <vt:lpstr>MtntPaye_Region</vt:lpstr>
      <vt:lpstr>MtntPaye_ST_JOSEPH</vt:lpstr>
      <vt:lpstr>MtntPaye_ST_LEU</vt:lpstr>
      <vt:lpstr>MtntPaye_TCO</vt:lpstr>
      <vt:lpstr>OP_ADEME</vt:lpstr>
      <vt:lpstr>OP_CAF</vt:lpstr>
      <vt:lpstr>OP_EDF</vt:lpstr>
      <vt:lpstr>OP_ETG_SALE</vt:lpstr>
      <vt:lpstr>OP_FRAFU</vt:lpstr>
      <vt:lpstr>OP_LBU</vt:lpstr>
      <vt:lpstr>OP_P_Ile</vt:lpstr>
      <vt:lpstr>OP_Rectorat</vt:lpstr>
      <vt:lpstr>OP_Region</vt:lpstr>
      <vt:lpstr>OP_Rehab</vt:lpstr>
      <vt:lpstr>OP_ST_JO</vt:lpstr>
      <vt:lpstr>CAF!Print_Area</vt:lpstr>
      <vt:lpstr>'FRAFU DEAL'!Print_Area</vt:lpstr>
      <vt:lpstr>'LBU DEAL'!Print_Area</vt:lpstr>
      <vt:lpstr>'ST LEU'!Print_Area</vt:lpstr>
      <vt:lpstr>'ST LEU'!Print_Titles</vt:lpstr>
    </vt:vector>
  </TitlesOfParts>
  <Company>SODEGIS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</dc:creator>
  <cp:lastModifiedBy>Carim</cp:lastModifiedBy>
  <cp:lastPrinted>2019-01-17T10:29:54Z</cp:lastPrinted>
  <dcterms:created xsi:type="dcterms:W3CDTF">2011-03-18T06:22:23Z</dcterms:created>
  <dcterms:modified xsi:type="dcterms:W3CDTF">2019-05-14T08:54:49Z</dcterms:modified>
</cp:coreProperties>
</file>