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75" yWindow="75" windowWidth="21720" windowHeight="13095" firstSheet="4" activeTab="5"/>
  </bookViews>
  <sheets>
    <sheet name="2e trim 2016" sheetId="1" r:id="rId1"/>
    <sheet name="3ème trim 2016" sheetId="4" r:id="rId2"/>
    <sheet name="4ème trim 2016" sheetId="6" r:id="rId3"/>
    <sheet name="1er trim 2017" sheetId="7" r:id="rId4"/>
    <sheet name="2eme trim 2017 " sheetId="8" r:id="rId5"/>
    <sheet name="3eme trim 2017  " sheetId="9" r:id="rId6"/>
    <sheet name="Référence" sheetId="12" r:id="rId7"/>
    <sheet name="4eme trim 2017  " sheetId="10" r:id="rId8"/>
    <sheet name="méth.Calcul" sheetId="3" r:id="rId9"/>
    <sheet name="bareme com" sheetId="5" r:id="rId10"/>
  </sheets>
  <definedNames>
    <definedName name="_xlnm.Print_Area" localSheetId="3">'1er trim 2017'!$A$1:$K$81</definedName>
    <definedName name="_xlnm.Print_Area" localSheetId="0">'2e trim 2016'!$A$1:$J$75</definedName>
    <definedName name="_xlnm.Print_Area" localSheetId="4">'2eme trim 2017 '!$A$1:$L$83</definedName>
    <definedName name="_xlnm.Print_Area" localSheetId="1">'3ème trim 2016'!$A$1:$H$60</definedName>
    <definedName name="_xlnm.Print_Area" localSheetId="5">'3eme trim 2017  '!$A$1:$L$133</definedName>
    <definedName name="_xlnm.Print_Area" localSheetId="2">'4ème trim 2016'!$A$1:$H$97</definedName>
    <definedName name="_xlnm.Print_Area" localSheetId="7">'4eme trim 2017  '!$A$1:$J$111</definedName>
    <definedName name="_xlnm.Print_Titles" localSheetId="3">'1er trim 2017'!$12:$12</definedName>
    <definedName name="_xlnm.Print_Titles" localSheetId="0">'2e trim 2016'!$1:$1</definedName>
    <definedName name="_xlnm.Print_Titles" localSheetId="4">'2eme trim 2017 '!$9:$9</definedName>
    <definedName name="_xlnm.Print_Titles" localSheetId="1">'3ème trim 2016'!$12:$12</definedName>
    <definedName name="_xlnm.Print_Titles" localSheetId="5">'3eme trim 2017  '!$9:$9</definedName>
    <definedName name="_xlnm.Print_Titles" localSheetId="2">'4ème trim 2016'!$12:$12</definedName>
    <definedName name="_xlnm.Print_Titles" localSheetId="7">'4eme trim 2017  '!$9:$9</definedName>
  </definedNames>
  <calcPr calcId="125725" concurrentCalc="0"/>
</workbook>
</file>

<file path=xl/calcChain.xml><?xml version="1.0" encoding="utf-8"?>
<calcChain xmlns="http://schemas.openxmlformats.org/spreadsheetml/2006/main">
  <c r="N15" i="9"/>
  <c r="N14"/>
  <c r="N13"/>
  <c r="N12"/>
  <c r="M9"/>
  <c r="K11"/>
  <c r="L11"/>
  <c r="K12"/>
  <c r="L12"/>
  <c r="K13"/>
  <c r="L13"/>
  <c r="K14"/>
  <c r="L14"/>
  <c r="K15"/>
  <c r="L15"/>
  <c r="K16"/>
  <c r="L16"/>
  <c r="K17"/>
  <c r="L17"/>
  <c r="K18"/>
  <c r="L18"/>
  <c r="K19"/>
  <c r="L19"/>
  <c r="H20"/>
  <c r="K20"/>
  <c r="L20"/>
  <c r="H21"/>
  <c r="K21"/>
  <c r="L21"/>
  <c r="H22"/>
  <c r="K22"/>
  <c r="L22"/>
  <c r="H23"/>
  <c r="K23"/>
  <c r="L23"/>
  <c r="H24"/>
  <c r="K24"/>
  <c r="L24"/>
  <c r="H25"/>
  <c r="K25"/>
  <c r="L25"/>
  <c r="H26"/>
  <c r="K26"/>
  <c r="L26"/>
  <c r="K27"/>
  <c r="L27"/>
  <c r="H28"/>
  <c r="K28"/>
  <c r="L28"/>
  <c r="K29"/>
  <c r="L29"/>
  <c r="K10"/>
  <c r="L10"/>
  <c r="J10" i="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4"/>
  <c r="J35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5"/>
  <c r="J107"/>
  <c r="J109"/>
  <c r="J110"/>
  <c r="J111"/>
  <c r="J102"/>
  <c r="J50" i="9"/>
  <c r="L50"/>
  <c r="L51"/>
  <c r="L52"/>
  <c r="L53"/>
  <c r="L54"/>
  <c r="J33"/>
  <c r="L33"/>
  <c r="J34"/>
  <c r="L34"/>
  <c r="J35"/>
  <c r="L35"/>
  <c r="J36"/>
  <c r="L36"/>
  <c r="J37"/>
  <c r="L37"/>
  <c r="J38"/>
  <c r="L38"/>
  <c r="J39"/>
  <c r="L39"/>
  <c r="L40"/>
  <c r="J41"/>
  <c r="L41"/>
  <c r="J42"/>
  <c r="L42"/>
  <c r="J43"/>
  <c r="L43"/>
  <c r="J44"/>
  <c r="L44"/>
  <c r="J45"/>
  <c r="L45"/>
  <c r="J46"/>
  <c r="L46"/>
  <c r="J47"/>
  <c r="L47"/>
  <c r="J48"/>
  <c r="L48"/>
  <c r="J49"/>
  <c r="L49"/>
  <c r="J32"/>
  <c r="J7" i="8"/>
  <c r="J1"/>
  <c r="J81"/>
  <c r="J82"/>
  <c r="J78"/>
  <c r="I65"/>
  <c r="I58"/>
  <c r="I72"/>
  <c r="I70"/>
  <c r="J69"/>
  <c r="J70"/>
  <c r="J71"/>
  <c r="J72"/>
  <c r="J73"/>
  <c r="I74"/>
  <c r="I73"/>
  <c r="I71"/>
  <c r="I69"/>
  <c r="I67"/>
  <c r="I63"/>
  <c r="I61"/>
  <c r="I68"/>
  <c r="I66"/>
  <c r="I64"/>
  <c r="I62"/>
  <c r="I60"/>
  <c r="I59"/>
  <c r="I56"/>
  <c r="I57"/>
  <c r="I55"/>
  <c r="I54"/>
  <c r="I25"/>
  <c r="J25"/>
  <c r="I26"/>
  <c r="J26"/>
  <c r="I27"/>
  <c r="J27"/>
  <c r="I28"/>
  <c r="J28"/>
  <c r="I29"/>
  <c r="J29"/>
  <c r="I30"/>
  <c r="J30"/>
  <c r="I31"/>
  <c r="J31"/>
  <c r="I32"/>
  <c r="J32"/>
  <c r="I33"/>
  <c r="J33"/>
  <c r="I34"/>
  <c r="J34"/>
  <c r="I35"/>
  <c r="J35"/>
  <c r="I36"/>
  <c r="J36"/>
  <c r="I37"/>
  <c r="J37"/>
  <c r="I38"/>
  <c r="J38"/>
  <c r="I39"/>
  <c r="J39"/>
  <c r="I40"/>
  <c r="J40"/>
  <c r="I41"/>
  <c r="J41"/>
  <c r="I42"/>
  <c r="J42"/>
  <c r="I43"/>
  <c r="J43"/>
  <c r="I44"/>
  <c r="J44"/>
  <c r="I45"/>
  <c r="J45"/>
  <c r="J46"/>
  <c r="I47"/>
  <c r="J47"/>
  <c r="I48"/>
  <c r="J48"/>
  <c r="I49"/>
  <c r="J49"/>
  <c r="J50"/>
  <c r="J51"/>
  <c r="J52"/>
  <c r="J53"/>
  <c r="I10"/>
  <c r="J10"/>
  <c r="I11"/>
  <c r="J11"/>
  <c r="I12"/>
  <c r="J12"/>
  <c r="I13"/>
  <c r="J13"/>
  <c r="I14"/>
  <c r="J14"/>
  <c r="I15"/>
  <c r="J15"/>
  <c r="I16"/>
  <c r="J16"/>
  <c r="I17"/>
  <c r="J17"/>
  <c r="I18"/>
  <c r="J18"/>
  <c r="I19"/>
  <c r="J19"/>
  <c r="I20"/>
  <c r="J20"/>
  <c r="J24"/>
  <c r="J54"/>
  <c r="J55"/>
  <c r="J56"/>
  <c r="J57"/>
  <c r="J58"/>
  <c r="J59"/>
  <c r="J60"/>
  <c r="J61"/>
  <c r="J62"/>
  <c r="J63"/>
  <c r="J64"/>
  <c r="J65"/>
  <c r="J66"/>
  <c r="J67"/>
  <c r="J68"/>
  <c r="J74"/>
  <c r="J79"/>
  <c r="H70" i="7"/>
  <c r="I70"/>
  <c r="H28"/>
  <c r="I28"/>
  <c r="H24"/>
  <c r="I24"/>
  <c r="H25"/>
  <c r="I25"/>
  <c r="H43"/>
  <c r="I43"/>
  <c r="H42"/>
  <c r="I42"/>
  <c r="H35"/>
  <c r="I35"/>
  <c r="H59"/>
  <c r="I59"/>
  <c r="H61"/>
  <c r="H55"/>
  <c r="H29"/>
  <c r="H66"/>
  <c r="I66"/>
  <c r="I2"/>
  <c r="H21"/>
  <c r="H20"/>
  <c r="H44"/>
  <c r="I44"/>
  <c r="H62"/>
  <c r="H63"/>
  <c r="H58"/>
  <c r="H73"/>
  <c r="H69"/>
  <c r="H65"/>
  <c r="H64"/>
  <c r="H57"/>
  <c r="H72"/>
  <c r="H71"/>
  <c r="H68"/>
  <c r="H67"/>
  <c r="H60"/>
  <c r="H56"/>
  <c r="L32" i="9"/>
  <c r="L56"/>
  <c r="L57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7"/>
  <c r="L129"/>
  <c r="L131"/>
  <c r="L132"/>
  <c r="L133"/>
  <c r="L124"/>
  <c r="H50" i="7"/>
  <c r="H49"/>
  <c r="H33"/>
  <c r="I33"/>
  <c r="H48"/>
  <c r="H46"/>
  <c r="H45"/>
  <c r="H41"/>
  <c r="H39"/>
  <c r="H37"/>
  <c r="H51"/>
  <c r="H34"/>
  <c r="H47"/>
  <c r="H40"/>
  <c r="H38"/>
  <c r="H36"/>
  <c r="H32"/>
  <c r="H17"/>
  <c r="H22"/>
  <c r="H27"/>
  <c r="H26"/>
  <c r="H23"/>
  <c r="H19"/>
  <c r="H18"/>
  <c r="I17"/>
  <c r="I18"/>
  <c r="I19"/>
  <c r="I20"/>
  <c r="I21"/>
  <c r="I22"/>
  <c r="I23"/>
  <c r="I26"/>
  <c r="I27"/>
  <c r="I29"/>
  <c r="H16"/>
  <c r="I16"/>
  <c r="H15"/>
  <c r="H14"/>
  <c r="H13"/>
  <c r="J83" i="8"/>
  <c r="J75"/>
  <c r="I13" i="7"/>
  <c r="I14"/>
  <c r="I15"/>
  <c r="I31"/>
  <c r="I32"/>
  <c r="I34"/>
  <c r="I36"/>
  <c r="I37"/>
  <c r="I39"/>
  <c r="I40"/>
  <c r="I41"/>
  <c r="I45"/>
  <c r="I46"/>
  <c r="I47"/>
  <c r="I48"/>
  <c r="I49"/>
  <c r="I50"/>
  <c r="I51"/>
  <c r="I52"/>
  <c r="I54"/>
  <c r="I55"/>
  <c r="I56"/>
  <c r="I57"/>
  <c r="I58"/>
  <c r="I60"/>
  <c r="I61"/>
  <c r="I62"/>
  <c r="I63"/>
  <c r="I64"/>
  <c r="I65"/>
  <c r="I67"/>
  <c r="I68"/>
  <c r="I69"/>
  <c r="I71"/>
  <c r="I72"/>
  <c r="I73"/>
  <c r="I75"/>
  <c r="I76"/>
  <c r="I10"/>
  <c r="I78"/>
  <c r="I79"/>
  <c r="I80"/>
  <c r="G88" i="6"/>
  <c r="H88"/>
  <c r="H7"/>
  <c r="H6"/>
  <c r="G84"/>
  <c r="G45"/>
  <c r="G31"/>
  <c r="G14"/>
  <c r="G78"/>
  <c r="G74"/>
  <c r="G72"/>
  <c r="G61"/>
  <c r="G85"/>
  <c r="G76"/>
  <c r="G49"/>
  <c r="G62"/>
  <c r="H62"/>
  <c r="H61"/>
  <c r="H74"/>
  <c r="H76"/>
  <c r="H78"/>
  <c r="H85"/>
  <c r="H72"/>
  <c r="H84"/>
  <c r="G54"/>
  <c r="H54"/>
  <c r="G55"/>
  <c r="H55"/>
  <c r="G56"/>
  <c r="H56"/>
  <c r="G57"/>
  <c r="H57"/>
  <c r="G58"/>
  <c r="H58"/>
  <c r="G59"/>
  <c r="H59"/>
  <c r="G60"/>
  <c r="H60"/>
  <c r="G63"/>
  <c r="H63"/>
  <c r="G64"/>
  <c r="H64"/>
  <c r="G65"/>
  <c r="H65"/>
  <c r="G66"/>
  <c r="H66"/>
  <c r="G67"/>
  <c r="H67"/>
  <c r="G68"/>
  <c r="H68"/>
  <c r="G69"/>
  <c r="H69"/>
  <c r="G70"/>
  <c r="H70"/>
  <c r="G71"/>
  <c r="H71"/>
  <c r="G73"/>
  <c r="H73"/>
  <c r="G75"/>
  <c r="H75"/>
  <c r="G77"/>
  <c r="H77"/>
  <c r="G79"/>
  <c r="H79"/>
  <c r="G80"/>
  <c r="H80"/>
  <c r="G81"/>
  <c r="H81"/>
  <c r="G82"/>
  <c r="H82"/>
  <c r="G83"/>
  <c r="H83"/>
  <c r="G86"/>
  <c r="H86"/>
  <c r="G87"/>
  <c r="H87"/>
  <c r="H91"/>
  <c r="H49"/>
  <c r="G21"/>
  <c r="H21"/>
  <c r="G23"/>
  <c r="H23"/>
  <c r="G24"/>
  <c r="H24"/>
  <c r="G25"/>
  <c r="H25"/>
  <c r="G26"/>
  <c r="H26"/>
  <c r="G27"/>
  <c r="H27"/>
  <c r="G28"/>
  <c r="H28"/>
  <c r="G29"/>
  <c r="H29"/>
  <c r="G30"/>
  <c r="H30"/>
  <c r="H31"/>
  <c r="G32"/>
  <c r="H32"/>
  <c r="G33"/>
  <c r="H33"/>
  <c r="G34"/>
  <c r="H34"/>
  <c r="G35"/>
  <c r="H35"/>
  <c r="G36"/>
  <c r="H36"/>
  <c r="G37"/>
  <c r="H37"/>
  <c r="G38"/>
  <c r="H38"/>
  <c r="G39"/>
  <c r="H39"/>
  <c r="G40"/>
  <c r="H40"/>
  <c r="G41"/>
  <c r="H41"/>
  <c r="G42"/>
  <c r="H42"/>
  <c r="G43"/>
  <c r="H43"/>
  <c r="G44"/>
  <c r="H44"/>
  <c r="H45"/>
  <c r="G46"/>
  <c r="H46"/>
  <c r="G47"/>
  <c r="H47"/>
  <c r="G48"/>
  <c r="H48"/>
  <c r="H53"/>
  <c r="G13"/>
  <c r="H13"/>
  <c r="H14"/>
  <c r="G15"/>
  <c r="H15"/>
  <c r="G16"/>
  <c r="H16"/>
  <c r="G17"/>
  <c r="H17"/>
  <c r="H20"/>
  <c r="H93"/>
  <c r="H10"/>
  <c r="H95"/>
  <c r="G39" i="4"/>
  <c r="G40"/>
  <c r="G53"/>
  <c r="G46"/>
  <c r="H2"/>
  <c r="H4"/>
  <c r="H6"/>
  <c r="H7"/>
  <c r="H8"/>
  <c r="H10"/>
  <c r="H32"/>
  <c r="H45"/>
  <c r="H56"/>
  <c r="H58"/>
  <c r="H59"/>
  <c r="H60"/>
  <c r="G45"/>
  <c r="G41"/>
  <c r="G38"/>
  <c r="G27"/>
  <c r="G52"/>
  <c r="G55"/>
  <c r="G54"/>
  <c r="G51"/>
  <c r="G50"/>
  <c r="G49"/>
  <c r="G48"/>
  <c r="G42"/>
  <c r="G47"/>
  <c r="G36"/>
  <c r="G35"/>
  <c r="G43"/>
  <c r="G44"/>
  <c r="G37"/>
  <c r="G47" i="1"/>
  <c r="G28" i="4"/>
  <c r="G31"/>
  <c r="G34"/>
  <c r="G33"/>
  <c r="G30"/>
  <c r="G29"/>
  <c r="G26"/>
  <c r="G24"/>
  <c r="G25"/>
  <c r="G23"/>
  <c r="G22"/>
  <c r="G21"/>
  <c r="G19"/>
  <c r="G16"/>
  <c r="G18"/>
  <c r="G32"/>
  <c r="G17"/>
  <c r="G20"/>
  <c r="G15"/>
  <c r="G14"/>
  <c r="G13"/>
  <c r="H6" i="1"/>
  <c r="H3"/>
  <c r="H4"/>
  <c r="H7"/>
  <c r="H8"/>
  <c r="H69"/>
  <c r="H70"/>
  <c r="G67"/>
  <c r="G43"/>
  <c r="G17"/>
  <c r="G29"/>
  <c r="G14"/>
  <c r="G13"/>
  <c r="G12"/>
  <c r="G66"/>
  <c r="G56"/>
  <c r="F57"/>
  <c r="G54"/>
  <c r="G51"/>
  <c r="G50"/>
  <c r="G49"/>
  <c r="G48"/>
  <c r="G42"/>
  <c r="G38"/>
  <c r="G26"/>
  <c r="G20"/>
  <c r="G25"/>
  <c r="G44"/>
  <c r="G59"/>
  <c r="G60"/>
  <c r="G53"/>
  <c r="G22"/>
  <c r="G46"/>
  <c r="G45"/>
  <c r="G41"/>
  <c r="G40"/>
  <c r="G39"/>
  <c r="G37"/>
  <c r="G36"/>
  <c r="G35"/>
  <c r="G68"/>
  <c r="G55"/>
  <c r="G27"/>
  <c r="G63"/>
  <c r="G65"/>
  <c r="G62"/>
  <c r="G57"/>
  <c r="G30"/>
  <c r="G31"/>
  <c r="G34"/>
  <c r="G33"/>
  <c r="G32"/>
  <c r="G24"/>
  <c r="G23"/>
  <c r="G21"/>
  <c r="G19"/>
  <c r="G18"/>
  <c r="G16"/>
  <c r="H96" i="6"/>
  <c r="H97"/>
</calcChain>
</file>

<file path=xl/comments1.xml><?xml version="1.0" encoding="utf-8"?>
<comments xmlns="http://schemas.openxmlformats.org/spreadsheetml/2006/main">
  <authors>
    <author>Administrateur</author>
  </authors>
  <commentList>
    <comment ref="H79" authorId="0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<sst xmlns="http://schemas.openxmlformats.org/spreadsheetml/2006/main" count="1157" uniqueCount="479">
  <si>
    <t>NOM CLIENT</t>
  </si>
  <si>
    <t>COMMISSION</t>
  </si>
  <si>
    <t>BUONSANTE</t>
  </si>
  <si>
    <t>MOBILE</t>
  </si>
  <si>
    <t>(800*6/100)+(40*7/100)</t>
  </si>
  <si>
    <t>REEBOU FAMILY</t>
  </si>
  <si>
    <t>200*12/100</t>
  </si>
  <si>
    <t>THEISEN Isabelle</t>
  </si>
  <si>
    <t>BSH</t>
  </si>
  <si>
    <t>(42000*,7/100)*,6</t>
  </si>
  <si>
    <t>24147161L01</t>
  </si>
  <si>
    <t>N°</t>
  </si>
  <si>
    <t>FASBINDER Cheryl</t>
  </si>
  <si>
    <t>(20000*,7/100)*,6</t>
  </si>
  <si>
    <t>DUMEL Nicolas</t>
  </si>
  <si>
    <t>((720*31)*27/1000)*60/100</t>
  </si>
  <si>
    <t>SPIELMANN Ken</t>
  </si>
  <si>
    <t>GOETZ Martine</t>
  </si>
  <si>
    <t>(726*6/100)</t>
  </si>
  <si>
    <t>(551*6/100)</t>
  </si>
  <si>
    <t>HEISBOURG Jos</t>
  </si>
  <si>
    <t>BLOCKLAND Raymond</t>
  </si>
  <si>
    <t>(185*,12)*,5</t>
  </si>
  <si>
    <t xml:space="preserve">OSZYCZYCK   </t>
  </si>
  <si>
    <t>SANTE</t>
  </si>
  <si>
    <t>LUXORY LOVE</t>
  </si>
  <si>
    <t>GRAAS Stephanie</t>
  </si>
  <si>
    <t>JUNG Patrick</t>
  </si>
  <si>
    <t>BLOKLAND Raymond</t>
  </si>
  <si>
    <t>MANOR Investissement</t>
  </si>
  <si>
    <t>FOSTY Xavier</t>
  </si>
  <si>
    <t>COURTEILLE Laura</t>
  </si>
  <si>
    <t>SCHNEIDER Nathalie</t>
  </si>
  <si>
    <t>FASSONE Marc</t>
  </si>
  <si>
    <t>CARTUYVELS John</t>
  </si>
  <si>
    <t>PROHASKA Kevin</t>
  </si>
  <si>
    <t>SHREYAS Pramsagar</t>
  </si>
  <si>
    <t>JOST Kelly</t>
  </si>
  <si>
    <t>BRICUSSE Benjamin</t>
  </si>
  <si>
    <t>LICKES Mandy</t>
  </si>
  <si>
    <t>SCHMIDT Sonja</t>
  </si>
  <si>
    <t>FISCHBACH Christophe</t>
  </si>
  <si>
    <t>IVT</t>
  </si>
  <si>
    <t>(800*6/100)+(404*7)</t>
  </si>
  <si>
    <t>(800*6/100)+(45*7/100)</t>
  </si>
  <si>
    <t>(800*6/100)+(800*7/100)+(129*8/100)</t>
  </si>
  <si>
    <t>(800*6/100)+(784*7/100)</t>
  </si>
  <si>
    <t>(800*6/100)+(800*7/100)+(278*8/100)</t>
  </si>
  <si>
    <t>((565,56/12)*3,5)*,6</t>
  </si>
  <si>
    <t>(666/12)*3,5)*,6</t>
  </si>
  <si>
    <t>((3032/12)*3,5)*,6</t>
  </si>
  <si>
    <t>((747,66/12)*3,5)*,6</t>
  </si>
  <si>
    <t>42000*,7/100)*,6</t>
  </si>
  <si>
    <t>(285*6/100)</t>
  </si>
  <si>
    <t>(800*6/100)+(255*7/100)</t>
  </si>
  <si>
    <t>(719,83*6/100)</t>
  </si>
  <si>
    <t>PRODUIT</t>
  </si>
  <si>
    <t>REEBOU PRO</t>
  </si>
  <si>
    <t>HORIZON 60 Invest</t>
  </si>
  <si>
    <t>TERME</t>
  </si>
  <si>
    <t>(1500*29**,02)*,6</t>
  </si>
  <si>
    <t>1795*12/100</t>
  </si>
  <si>
    <t>HORIZON 60 CAPI</t>
  </si>
  <si>
    <t>(2600*10*,02)*,6</t>
  </si>
  <si>
    <t>(7200*15*,027)*,6</t>
  </si>
  <si>
    <t>PACK REEBOU FAMILY</t>
  </si>
  <si>
    <t>GAMBUTO Deborah</t>
  </si>
  <si>
    <t>(720*23*,02)*,6</t>
  </si>
  <si>
    <t>REEBOU PACK</t>
  </si>
  <si>
    <t>((145,08/12)*3,5)*,6</t>
  </si>
  <si>
    <t>SAEUL Luc</t>
  </si>
  <si>
    <t>24147290Y01</t>
  </si>
  <si>
    <t>(25000*7,5/100)*60/100</t>
  </si>
  <si>
    <t>PJ</t>
  </si>
  <si>
    <t>(416,35,22*,12)*,5</t>
  </si>
  <si>
    <t>FOCUS INVEST</t>
  </si>
  <si>
    <t>INTERRESSEMENT</t>
  </si>
  <si>
    <t>AVRIL</t>
  </si>
  <si>
    <t>JUIN</t>
  </si>
  <si>
    <t>MAI</t>
  </si>
  <si>
    <t>MONTANT DE REF.</t>
  </si>
  <si>
    <t>FROST Nathalie</t>
  </si>
  <si>
    <t>110,88*15/100</t>
  </si>
  <si>
    <t>276*12/100</t>
  </si>
  <si>
    <t>24147145K01</t>
  </si>
  <si>
    <t>24147149L01</t>
  </si>
  <si>
    <t>24147153T01</t>
  </si>
  <si>
    <t>FERRINI Daniel</t>
  </si>
  <si>
    <t>172,34*15/100</t>
  </si>
  <si>
    <t>(800*6/100)+(139,84*7/100)</t>
  </si>
  <si>
    <t>845,59*12/100</t>
  </si>
  <si>
    <t>((2264,28/12)*3,5)*,6</t>
  </si>
  <si>
    <t>HELIOS PROTECT 100</t>
  </si>
  <si>
    <t>620,18*12/100</t>
  </si>
  <si>
    <t>483*6*,5</t>
  </si>
  <si>
    <t>MOBILE Tr.</t>
  </si>
  <si>
    <t>REEBOU start</t>
  </si>
  <si>
    <t>(151,3*,08)</t>
  </si>
  <si>
    <t>COMM.</t>
  </si>
  <si>
    <t>24147157U01</t>
  </si>
  <si>
    <t>JANVIER à MARS</t>
  </si>
  <si>
    <t>24628596R01</t>
  </si>
  <si>
    <t>24628589D01</t>
  </si>
  <si>
    <t>23646201M01</t>
  </si>
  <si>
    <t>(44000*,7/100)*,6</t>
  </si>
  <si>
    <t>(60000*,7/100)*,6</t>
  </si>
  <si>
    <t>THOMAS Nadine</t>
  </si>
  <si>
    <t>CESARETTI Fiorina</t>
  </si>
  <si>
    <t>MICHEL SOREAU C&amp;V</t>
  </si>
  <si>
    <t>3x120</t>
  </si>
  <si>
    <t>Rempl. standard</t>
  </si>
  <si>
    <t>5x80</t>
  </si>
  <si>
    <t>REEBOOU FAMILY</t>
  </si>
  <si>
    <t>GREEN CRUZ Francisco</t>
  </si>
  <si>
    <t>PELLICIA Raffaele</t>
  </si>
  <si>
    <t>ROSSETTI Sandra</t>
  </si>
  <si>
    <t>(800*6/100)+(670,9*7/100)</t>
  </si>
  <si>
    <t>Mensuel</t>
  </si>
  <si>
    <t>2ème acom. 2015 BSH</t>
  </si>
  <si>
    <t>JUILLET</t>
  </si>
  <si>
    <t>HOUSE OF YOGA</t>
  </si>
  <si>
    <t>PROHASKA NICOLAS</t>
  </si>
  <si>
    <t>VANONI MARTINE</t>
  </si>
  <si>
    <t>WIRTZ Juta</t>
  </si>
  <si>
    <t>IVAN MIRELLA</t>
  </si>
  <si>
    <t>NIEDERLANDER François</t>
  </si>
  <si>
    <t>JO Ast</t>
  </si>
  <si>
    <t>GRABOWSKI Bernard</t>
  </si>
  <si>
    <t>RC VIE PRIVE</t>
  </si>
  <si>
    <t>MIANGOUILA Camille</t>
  </si>
  <si>
    <t>GILSON Sandy</t>
  </si>
  <si>
    <t>MUSSEL Evelyne</t>
  </si>
  <si>
    <t>DI PINTO Rosalba</t>
  </si>
  <si>
    <t>P.J.</t>
  </si>
  <si>
    <t>DE FAUW Tina (MANOR)</t>
  </si>
  <si>
    <t>ZENITH 60              Op 100</t>
  </si>
  <si>
    <t>(253,63,*,12)*,5</t>
  </si>
  <si>
    <t>METHODE CALCUL</t>
  </si>
  <si>
    <t xml:space="preserve">SANTE </t>
  </si>
  <si>
    <r>
      <t>(Montant / 12 * 3,5) *</t>
    </r>
    <r>
      <rPr>
        <sz val="11"/>
        <color indexed="10"/>
        <rFont val="Calibri"/>
        <family val="2"/>
      </rPr>
      <t>60</t>
    </r>
    <r>
      <rPr>
        <sz val="11"/>
        <color theme="1"/>
        <rFont val="Calibri"/>
        <family val="2"/>
        <scheme val="minor"/>
      </rPr>
      <t xml:space="preserve"> %</t>
    </r>
  </si>
  <si>
    <t>Inférieur à 800€</t>
  </si>
  <si>
    <t>entre 800€ et 1600€</t>
  </si>
  <si>
    <t>Supér. 1600€</t>
  </si>
  <si>
    <t>MOBILé START</t>
  </si>
  <si>
    <t>Autres MOBILé</t>
  </si>
  <si>
    <t xml:space="preserve">IARD </t>
  </si>
  <si>
    <t>Transferts</t>
  </si>
  <si>
    <t>VIE</t>
  </si>
  <si>
    <t>ZENITH 60</t>
  </si>
  <si>
    <t>HORIZON 60</t>
  </si>
  <si>
    <t>HELIOS PROTECT</t>
  </si>
  <si>
    <t>MOBILé</t>
  </si>
  <si>
    <t>MOBILE REGIO</t>
  </si>
  <si>
    <t>RESIDENCE 172     (722631)     route de Mondercange</t>
  </si>
  <si>
    <t>1004,23*12/100</t>
  </si>
  <si>
    <t>(800*,06)+(67,13*,07)</t>
  </si>
  <si>
    <t>(800*,06)+(132,5*,07)</t>
  </si>
  <si>
    <t>(800*,06)+(235,5*,07)</t>
  </si>
  <si>
    <t>(258,83*,06)</t>
  </si>
  <si>
    <t>(800*,06)+(800*,07)+(196,88*,8)</t>
  </si>
  <si>
    <t>(800*,06)+(174,43*,07)</t>
  </si>
  <si>
    <t>((800*,06)+(228,94*,07))*,5</t>
  </si>
  <si>
    <t>((800*,06)+(207,32*,07))*,5</t>
  </si>
  <si>
    <t>110*,15</t>
  </si>
  <si>
    <t>110*,12</t>
  </si>
  <si>
    <t>91,7*,12</t>
  </si>
  <si>
    <t>166,92*,12</t>
  </si>
  <si>
    <t>(800*,06)+(800*,07)+(850,92*,08)</t>
  </si>
  <si>
    <t>566,24*,12</t>
  </si>
  <si>
    <t>473,33*,12</t>
  </si>
  <si>
    <t>817,13*,12</t>
  </si>
  <si>
    <t>(294,23/12*3,5)*0,6</t>
  </si>
  <si>
    <t>AOUT</t>
  </si>
  <si>
    <t>(800*6/100)+(800*7/100)+(606,29*8/100)</t>
  </si>
  <si>
    <t>SEPTEMBRE</t>
  </si>
  <si>
    <t>COMMISSION JEFF DERAPPE   2ème TRIMESTRE 2016</t>
  </si>
  <si>
    <r>
      <t xml:space="preserve">(Montant * 0,7 %) </t>
    </r>
    <r>
      <rPr>
        <sz val="11"/>
        <color indexed="10"/>
        <rFont val="Calibri"/>
        <family val="2"/>
      </rPr>
      <t>60</t>
    </r>
    <r>
      <rPr>
        <sz val="11"/>
        <color theme="1"/>
        <rFont val="Calibri"/>
        <family val="2"/>
        <scheme val="minor"/>
      </rPr>
      <t xml:space="preserve"> %</t>
    </r>
  </si>
  <si>
    <r>
      <t>(Somme*Nbre années* 27/1000) *</t>
    </r>
    <r>
      <rPr>
        <sz val="11"/>
        <color indexed="10"/>
        <rFont val="Calibri"/>
        <family val="2"/>
      </rPr>
      <t xml:space="preserve"> 60</t>
    </r>
    <r>
      <rPr>
        <sz val="11"/>
        <color theme="1"/>
        <rFont val="Calibri"/>
        <family val="2"/>
        <scheme val="minor"/>
      </rPr>
      <t xml:space="preserve"> %</t>
    </r>
  </si>
  <si>
    <r>
      <t xml:space="preserve">(Somme*Nbre années* 2/100) * </t>
    </r>
    <r>
      <rPr>
        <sz val="11"/>
        <color indexed="10"/>
        <rFont val="Calibri"/>
        <family val="2"/>
      </rPr>
      <t>60</t>
    </r>
    <r>
      <rPr>
        <sz val="11"/>
        <color theme="1"/>
        <rFont val="Calibri"/>
        <family val="2"/>
        <scheme val="minor"/>
      </rPr>
      <t xml:space="preserve"> %</t>
    </r>
  </si>
  <si>
    <r>
      <t xml:space="preserve">(Somme*Nbre années* 27/1000) * </t>
    </r>
    <r>
      <rPr>
        <sz val="11"/>
        <color indexed="10"/>
        <rFont val="Calibri"/>
        <family val="2"/>
      </rPr>
      <t>60</t>
    </r>
    <r>
      <rPr>
        <sz val="11"/>
        <color theme="1"/>
        <rFont val="Calibri"/>
        <family val="2"/>
        <scheme val="minor"/>
      </rPr>
      <t xml:space="preserve"> %</t>
    </r>
  </si>
  <si>
    <r>
      <rPr>
        <sz val="11"/>
        <color indexed="10"/>
        <rFont val="Calibri"/>
        <family val="2"/>
      </rPr>
      <t xml:space="preserve">70 </t>
    </r>
    <r>
      <rPr>
        <sz val="11"/>
        <color theme="1"/>
        <rFont val="Calibri"/>
        <family val="2"/>
        <scheme val="minor"/>
      </rPr>
      <t>% si + 36 pers.</t>
    </r>
  </si>
  <si>
    <t>Mini 15000 € capital</t>
  </si>
  <si>
    <t>Pack IARD</t>
  </si>
  <si>
    <t>"+ bareme de  commissionnement vie agent principal (autre )</t>
  </si>
  <si>
    <r>
      <t>((531,92*0,060)+(</t>
    </r>
    <r>
      <rPr>
        <sz val="11"/>
        <color indexed="10"/>
        <rFont val="Calibri"/>
        <family val="2"/>
      </rPr>
      <t>531,92*0,015</t>
    </r>
    <r>
      <rPr>
        <sz val="11"/>
        <color theme="1"/>
        <rFont val="Calibri"/>
        <family val="2"/>
        <scheme val="minor"/>
      </rPr>
      <t xml:space="preserve">))*0,6 </t>
    </r>
    <r>
      <rPr>
        <sz val="11"/>
        <color indexed="10"/>
        <rFont val="Calibri"/>
        <family val="2"/>
      </rPr>
      <t>1ère année</t>
    </r>
  </si>
  <si>
    <t>110,88*,15</t>
  </si>
  <si>
    <t>HOBSCHEIT Pierre</t>
  </si>
  <si>
    <t>KLEIN Corinne</t>
  </si>
  <si>
    <t>WEBER Thomas</t>
  </si>
  <si>
    <t>SCALON Anne Sophie</t>
  </si>
  <si>
    <t>VERSANNE Denis</t>
  </si>
  <si>
    <t>LOGGIA</t>
  </si>
  <si>
    <t>POLI THILMANN Raymond</t>
  </si>
  <si>
    <t>VANDERTHOMMEN Colette</t>
  </si>
  <si>
    <t>SCHELLER Gaby</t>
  </si>
  <si>
    <t>TR MOBILE</t>
  </si>
  <si>
    <t>MEYER Christian</t>
  </si>
  <si>
    <t>REMPLACEMENT STANDARD</t>
  </si>
  <si>
    <t>7 jours</t>
  </si>
  <si>
    <t>639,51*,06</t>
  </si>
  <si>
    <t>182,24*,12</t>
  </si>
  <si>
    <t>CORDOVADO Tiziana</t>
  </si>
  <si>
    <t>(3192*16*,02)*,6</t>
  </si>
  <si>
    <t>(1336,44/12*3,5)*,6</t>
  </si>
  <si>
    <t>(800*,06)+(729,32*,07)</t>
  </si>
  <si>
    <t>477,64*,12</t>
  </si>
  <si>
    <t>SCHROEDER Joseph</t>
  </si>
  <si>
    <t>(66000*,007)*,6</t>
  </si>
  <si>
    <t>124,94*,15</t>
  </si>
  <si>
    <t>204,71*,06</t>
  </si>
  <si>
    <t>((800*,06)+(324,55*,7))*,5</t>
  </si>
  <si>
    <t>175,56*,12</t>
  </si>
  <si>
    <t>319,55*,12</t>
  </si>
  <si>
    <t>(1500*23*,02)*,6</t>
  </si>
  <si>
    <t>(800*,06)+(800*,07)+(48,62*,08)</t>
  </si>
  <si>
    <t>42000*,007*,6</t>
  </si>
  <si>
    <t>80/j</t>
  </si>
  <si>
    <t xml:space="preserve">24628603R01 </t>
  </si>
  <si>
    <t>24614967Z01</t>
  </si>
  <si>
    <t>(f53*0,007)*0,6</t>
  </si>
  <si>
    <t>24147314Q01</t>
  </si>
  <si>
    <t>(81000*0,007)*0,6</t>
  </si>
  <si>
    <t>(100000*0,007)*0,6</t>
  </si>
  <si>
    <t>24614973Z01</t>
  </si>
  <si>
    <t xml:space="preserve">24614975J01   </t>
  </si>
  <si>
    <t>CORDOVADO Flamino</t>
  </si>
  <si>
    <t>REEBOU FAMILY Tr</t>
  </si>
  <si>
    <t>NUELLAS Solène</t>
  </si>
  <si>
    <t>HELIOS</t>
  </si>
  <si>
    <t>RODRIGUEZ  Arthur</t>
  </si>
  <si>
    <t>IVERSEN Emily</t>
  </si>
  <si>
    <t>TOTAL COMM.</t>
  </si>
  <si>
    <t>TOTAL</t>
  </si>
  <si>
    <t>JUILLET (SUITE)</t>
  </si>
  <si>
    <t>TOTAL INTER. +</t>
  </si>
  <si>
    <t>REPORT  INTER. +</t>
  </si>
  <si>
    <t>MENSUEL</t>
  </si>
  <si>
    <t>AXI Tr</t>
  </si>
  <si>
    <t>4 ème Acomp. 2015 BSH</t>
  </si>
  <si>
    <t>OCTOBRE</t>
  </si>
  <si>
    <t>NOVEMBRE</t>
  </si>
  <si>
    <t>DECEMBRE</t>
  </si>
  <si>
    <t>MOBILE 2007</t>
  </si>
  <si>
    <t>MAO LIANG</t>
  </si>
  <si>
    <t>DE PRADA</t>
  </si>
  <si>
    <t>FOCUS INVEST.</t>
  </si>
  <si>
    <t xml:space="preserve">SCHARTZ Alain </t>
  </si>
  <si>
    <t>FLEXIVIE</t>
  </si>
  <si>
    <t>CORREIA GALISSA Samuel</t>
  </si>
  <si>
    <t>CARISSIMO Cosimo</t>
  </si>
  <si>
    <t>MONTOYA Norly</t>
  </si>
  <si>
    <t xml:space="preserve">BECK Sylvain </t>
  </si>
  <si>
    <t>PACK REEBOU</t>
  </si>
  <si>
    <t>ASSEBANE Laila</t>
  </si>
  <si>
    <t>MASAUD Dalil</t>
  </si>
  <si>
    <t>LOGUERCIO Sabrina</t>
  </si>
  <si>
    <t>ALVES VARELA Rageize</t>
  </si>
  <si>
    <t>MEDERNACH HEISBOURG</t>
  </si>
  <si>
    <t>TOUS RISQUE CHANTIER</t>
  </si>
  <si>
    <t>REEBOU INVEST</t>
  </si>
  <si>
    <t>KIOSK</t>
  </si>
  <si>
    <t>SOARES DE OLIVEIRA José</t>
  </si>
  <si>
    <t>HORIZONT 60 CAPI</t>
  </si>
  <si>
    <t>CROITORU Théodora</t>
  </si>
  <si>
    <t>CHOMICZ Michal</t>
  </si>
  <si>
    <t>HERTZ Christian</t>
  </si>
  <si>
    <t>MEDICIS GROUP</t>
  </si>
  <si>
    <t>HENGEN Celine</t>
  </si>
  <si>
    <t>KUCHARSKI Stéphanie</t>
  </si>
  <si>
    <t>SOARES FREIRE José Manuel</t>
  </si>
  <si>
    <t>SOARES FREIRE Gil</t>
  </si>
  <si>
    <t>SOARES fREIRE Gil</t>
  </si>
  <si>
    <t>BEJENARU Anna</t>
  </si>
  <si>
    <t>DA SILVA ALMADA Benvindo</t>
  </si>
  <si>
    <t>NEVES PEREIRA Tania</t>
  </si>
  <si>
    <t>EVERAD Thierry</t>
  </si>
  <si>
    <t>LISARELLI Raphaël</t>
  </si>
  <si>
    <t>NURAL Irem</t>
  </si>
  <si>
    <t>REPPLINGER Antoine</t>
  </si>
  <si>
    <t>DOS SANTOS Maria Alcinda</t>
  </si>
  <si>
    <t>SINDT Guillaume</t>
  </si>
  <si>
    <t>SOARES FREIRE Diana</t>
  </si>
  <si>
    <t>TOULEMONDE Raphaël</t>
  </si>
  <si>
    <t>SCHNEIDERS Cindy</t>
  </si>
  <si>
    <t>ENGEL Leslie</t>
  </si>
  <si>
    <t>MOBILE 2007 TR</t>
  </si>
  <si>
    <t>MULLER Fabrice</t>
  </si>
  <si>
    <t>LOURENCO HENRIQUES Gabriel</t>
  </si>
  <si>
    <t>PAAJ Sarl</t>
  </si>
  <si>
    <t>WEIS Eloi</t>
  </si>
  <si>
    <t>JAIN Sushil Kumar</t>
  </si>
  <si>
    <t>TOTAL MOIS</t>
  </si>
  <si>
    <t>TOTAL TRIMESTRE</t>
  </si>
  <si>
    <t>NOVA PROTECT</t>
  </si>
  <si>
    <t>DE BONDT Karine</t>
  </si>
  <si>
    <t>THIVET SARDELLI Evan</t>
  </si>
  <si>
    <t>HORIZONT CAPI</t>
  </si>
  <si>
    <t>DECEMBRE (SUITE)</t>
  </si>
  <si>
    <t>NOVEMBRE (suite)</t>
  </si>
  <si>
    <t>Ts risque chantier</t>
  </si>
  <si>
    <t>P.j.</t>
  </si>
  <si>
    <t>Échéance voir dans onglet garanties</t>
  </si>
  <si>
    <t>8  jours</t>
  </si>
  <si>
    <t xml:space="preserve">INTERRESSEMENT </t>
  </si>
  <si>
    <t>AGNELLO Vincenzo</t>
  </si>
  <si>
    <t>JANVIER</t>
  </si>
  <si>
    <t>FEVRIER</t>
  </si>
  <si>
    <t>MARS</t>
  </si>
  <si>
    <t xml:space="preserve">TOTAL MOIS </t>
  </si>
  <si>
    <t>DEVAUX Sylvie</t>
  </si>
  <si>
    <t>HORIZONT 60 INVEST</t>
  </si>
  <si>
    <t>PROHASKA KEVIN</t>
  </si>
  <si>
    <t>DELHASSE Michel</t>
  </si>
  <si>
    <t>DE JESUS SARAIVA Sara</t>
  </si>
  <si>
    <t>MOBILE 2016</t>
  </si>
  <si>
    <t>REBOU FAMILY</t>
  </si>
  <si>
    <t>TOULOUSE Constance</t>
  </si>
  <si>
    <t>MEDICIS</t>
  </si>
  <si>
    <t>DOROTEA JEMMING Carole</t>
  </si>
  <si>
    <t>DABROWSKI Marjorie</t>
  </si>
  <si>
    <t>DI DONATO Rita</t>
  </si>
  <si>
    <t>SALOMON Francis</t>
  </si>
  <si>
    <t>SALOMON Agnes</t>
  </si>
  <si>
    <t>DE PRADA Geraldine</t>
  </si>
  <si>
    <t>DRUM NTWIRL FANAT</t>
  </si>
  <si>
    <t xml:space="preserve">RC GENERAL </t>
  </si>
  <si>
    <t>VIDOTTO Bianca</t>
  </si>
  <si>
    <t>VIDOTTO BERNARD Jos</t>
  </si>
  <si>
    <t>AGOVIC Ismet</t>
  </si>
  <si>
    <t>STEPHANO Myriam</t>
  </si>
  <si>
    <t>TOTAL MOIS JANVIER 2017</t>
  </si>
  <si>
    <t>RHADG</t>
  </si>
  <si>
    <t>MANOR INVESTISSEMENT</t>
  </si>
  <si>
    <t xml:space="preserve">BOUCHOUKA TOFIC </t>
  </si>
  <si>
    <t>HORIZONT 60</t>
  </si>
  <si>
    <t>NCLL</t>
  </si>
  <si>
    <t>VIDOTTO BERNARD Joseph</t>
  </si>
  <si>
    <t>LUNELLI Andrea</t>
  </si>
  <si>
    <t>CHARLE Claude</t>
  </si>
  <si>
    <t>SOUBIELLE Jean Jacques</t>
  </si>
  <si>
    <t>MOBILE Tr</t>
  </si>
  <si>
    <t>BECRET Isamira</t>
  </si>
  <si>
    <t>ANDINE DEGROOTE Johanna</t>
  </si>
  <si>
    <t>DOS SANTO Maria Alcinda</t>
  </si>
  <si>
    <t>ROSSETTI Tamara</t>
  </si>
  <si>
    <t>TRINGALI Gabrielle</t>
  </si>
  <si>
    <t>DERAPPE SCHUMANN</t>
  </si>
  <si>
    <t>LEGRUM Sandra</t>
  </si>
  <si>
    <t>TREINEN Georges Philippe</t>
  </si>
  <si>
    <t xml:space="preserve">MOBILE </t>
  </si>
  <si>
    <t>BORGES CARVALHO Ricardo</t>
  </si>
  <si>
    <t>DA COSTA FERREIRA Orlando</t>
  </si>
  <si>
    <t>BERNARDO SILVESTRE Carlos</t>
  </si>
  <si>
    <t>BEUMER Stéphan</t>
  </si>
  <si>
    <t>CARDELUS Arturo</t>
  </si>
  <si>
    <t>FICHANT Jean Michel</t>
  </si>
  <si>
    <t>HEYKES Ming Lai</t>
  </si>
  <si>
    <t>DOS SANTOS GOMES Denise</t>
  </si>
  <si>
    <t>BARBOSA LIMA Angelo Gabriel</t>
  </si>
  <si>
    <t>LORA GALAN Marina</t>
  </si>
  <si>
    <t>DE ALMEIDA Vitoria</t>
  </si>
  <si>
    <t>FELIX GONCALVES Simone</t>
  </si>
  <si>
    <t>TRINGALI Gabriele</t>
  </si>
  <si>
    <t>WELTER Gwendy</t>
  </si>
  <si>
    <t>PHILLIPS Ashley</t>
  </si>
  <si>
    <t>DE MAS David</t>
  </si>
  <si>
    <t>6  jours</t>
  </si>
  <si>
    <t>PFEIFFER Alain</t>
  </si>
  <si>
    <t>TOTAL MOIS FEVRIER 2017</t>
  </si>
  <si>
    <t>TOTAL MOIS MARS 2017</t>
  </si>
  <si>
    <t>MOTIF</t>
  </si>
  <si>
    <t>Signature</t>
  </si>
  <si>
    <t>Pci</t>
  </si>
  <si>
    <t>Effet Reporté au 01/18</t>
  </si>
  <si>
    <t>Transfert</t>
  </si>
  <si>
    <t>ZENITH 60 Opt. 25</t>
  </si>
  <si>
    <t>TRANSFERT</t>
  </si>
  <si>
    <t>BLOKLAND R</t>
  </si>
  <si>
    <t>VIGLIONE Luc</t>
  </si>
  <si>
    <t>NOVA</t>
  </si>
  <si>
    <t>QUIST Lydia</t>
  </si>
  <si>
    <t>RIBEIRO Anthony John</t>
  </si>
  <si>
    <t>MENDES GOMIS Ndeye Rama</t>
  </si>
  <si>
    <t>SEVERINO Morales José Carlos</t>
  </si>
  <si>
    <t>PEREIRA MARQUES Elio</t>
  </si>
  <si>
    <t>WAGNER Christiane</t>
  </si>
  <si>
    <t>x</t>
  </si>
  <si>
    <t>FACCIOLINI David</t>
  </si>
  <si>
    <t>FACCIOLINI GRANDEL Laetitia</t>
  </si>
  <si>
    <t>HADANGUE Richard</t>
  </si>
  <si>
    <t>TOTAL MOIS MAI</t>
  </si>
  <si>
    <t>TOTAL MOIS JUIN</t>
  </si>
  <si>
    <t>TOTAL MOIS AVRIL</t>
  </si>
  <si>
    <t>X</t>
  </si>
  <si>
    <t>OPREA Claudia</t>
  </si>
  <si>
    <t>FOCUS INVESTISSEMENT</t>
  </si>
  <si>
    <t>MANOR</t>
  </si>
  <si>
    <t>MULLER Yves</t>
  </si>
  <si>
    <t>GERARD Melanie</t>
  </si>
  <si>
    <t>ASSEBANE Latifa</t>
  </si>
  <si>
    <t xml:space="preserve">FRANCISCO Orlando </t>
  </si>
  <si>
    <t>EUROPE ASSIST.</t>
  </si>
  <si>
    <t>CAULLET Marie Thérèse</t>
  </si>
  <si>
    <t>FICHANT J.M.</t>
  </si>
  <si>
    <t>D-MESURES</t>
  </si>
  <si>
    <t>YUMMI YUMMI</t>
  </si>
  <si>
    <t>STELMES Samantha</t>
  </si>
  <si>
    <t>BRELL Paul</t>
  </si>
  <si>
    <t>PETERSSON Sandra</t>
  </si>
  <si>
    <t>HORIZONT 60  INVEST</t>
  </si>
  <si>
    <t>CARVALO Susanna</t>
  </si>
  <si>
    <t>NOWOBILSKI Lucile</t>
  </si>
  <si>
    <t>CARLIER Patrick</t>
  </si>
  <si>
    <t>25240858C01</t>
  </si>
  <si>
    <t>25240822P01</t>
  </si>
  <si>
    <t>KERROUMI Soumya</t>
  </si>
  <si>
    <t>DECKER Carry</t>
  </si>
  <si>
    <t>PAQUETEAU Laurent</t>
  </si>
  <si>
    <t>STEFCHEF Rosen</t>
  </si>
  <si>
    <t>CALVETTI Christianne</t>
  </si>
  <si>
    <t>KIRSCH Joelle</t>
  </si>
  <si>
    <t>JENIN Fabrice</t>
  </si>
  <si>
    <t>HEISBOURG Joseph</t>
  </si>
  <si>
    <t>ADVISSE Alexandra</t>
  </si>
  <si>
    <t>5  jours</t>
  </si>
  <si>
    <t>N° CONTRAT</t>
  </si>
  <si>
    <t>MOIS</t>
  </si>
  <si>
    <t>N° CLIENT</t>
  </si>
  <si>
    <t>RC ENSEIGNANT</t>
  </si>
  <si>
    <t>TSRD</t>
  </si>
  <si>
    <t>12j</t>
  </si>
  <si>
    <t>TR</t>
  </si>
  <si>
    <t>FORMULE COMM.</t>
  </si>
  <si>
    <t>Nbre années</t>
  </si>
  <si>
    <t>xx</t>
  </si>
  <si>
    <t>xxx</t>
  </si>
  <si>
    <t>HORIZONT60Invest</t>
  </si>
  <si>
    <t>ZENITH60 Op100</t>
  </si>
  <si>
    <t>HORIZONT60Capi</t>
  </si>
  <si>
    <t>HORIZONT60Protect</t>
  </si>
  <si>
    <t>HELIOS100Protect</t>
  </si>
  <si>
    <t>HELIOS100Invest</t>
  </si>
  <si>
    <t>FOCUS</t>
  </si>
  <si>
    <t>MOBILE2016</t>
  </si>
  <si>
    <t>REEBOU Family</t>
  </si>
  <si>
    <t>REEBOU Pack</t>
  </si>
  <si>
    <t>REEBOU Pro</t>
  </si>
  <si>
    <t>REEBOU Invest</t>
  </si>
  <si>
    <t>RC</t>
  </si>
  <si>
    <t>MOBILE2016;MOBILE Regio;REEBOU Family;REEBOU Pack;REEBOU Pro;REEBOU Invest;LOGGIA;MEDICIS;RC;RC ENSEIGNANT;ZENITH60 Op100;ZENITH60 Op25;HORIZONT60Invest;HORIZONT60Protect;HORIZONT60Capi;HELIOS100Protect;HELIOS100Invest;FOCUS;NOVA;SCHWABISCHHALL</t>
  </si>
  <si>
    <t>MOBILE Regio</t>
  </si>
  <si>
    <t>ZENITH60 Op25</t>
  </si>
  <si>
    <t>SCHWABISCHHALL</t>
  </si>
  <si>
    <t>BANQUE DE DONNEES PRODUITS</t>
  </si>
  <si>
    <t>PRODUIT Liste de choix</t>
  </si>
  <si>
    <t>formules COMMISSIONS</t>
  </si>
  <si>
    <t>(800*0,06)+(800*0,07)+(750*0,08)*0,6</t>
  </si>
  <si>
    <t>I12*0,12</t>
  </si>
  <si>
    <t>I13*0,15</t>
  </si>
  <si>
    <t>I14*0,12</t>
  </si>
  <si>
    <t>I15*0,12</t>
  </si>
  <si>
    <t>I16*0,12</t>
  </si>
  <si>
    <t>((I17/12)*3,5)*0,6</t>
  </si>
  <si>
    <t>I18*0,12</t>
  </si>
  <si>
    <t>I19*0,12</t>
  </si>
  <si>
    <t>(I20*H20*0,027)*0,6</t>
  </si>
  <si>
    <t>(I21*H21*0,018)*0,6</t>
  </si>
  <si>
    <t>(I22*H22*0,02)*0,6</t>
  </si>
  <si>
    <t>(I23*H23*0,02)*0,6</t>
  </si>
  <si>
    <t>(I24*H24*0,02)*0,6</t>
  </si>
  <si>
    <t>(I25*H25*0,027)*0,6</t>
  </si>
  <si>
    <t>(I26*H26*0,026)*0,6</t>
  </si>
  <si>
    <t>I27*0,075*0,6</t>
  </si>
  <si>
    <t>(I28*H28*0,025)*0,6</t>
  </si>
  <si>
    <t>(I29*0,007)*0,6</t>
  </si>
  <si>
    <t>(800*0,06)+(700*0,07)*0,6</t>
  </si>
  <si>
    <t>Résultat</t>
  </si>
  <si>
    <t>PRODUITS</t>
  </si>
  <si>
    <t>COEF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</si>
</sst>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_-* #,##0.00\ _€_-;\-* #,##0.00\ _€_-;_-* &quot;-&quot;??\ _€_-;_-@_-"/>
    <numFmt numFmtId="165" formatCode="_ * #,##0.00_)\ _€_ ;_ * \(#,##0.00\)\ _€_ ;_ * &quot;-&quot;??_)\ _€_ ;_ @_ "/>
  </numFmts>
  <fonts count="22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indexed="1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rgb="FFFF0000"/>
      <name val="Calibri"/>
      <family val="2"/>
      <scheme val="minor"/>
    </font>
    <font>
      <u/>
      <sz val="14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7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medium">
        <color indexed="64"/>
      </left>
      <right style="thin">
        <color rgb="FFFF0000"/>
      </right>
      <top style="thin">
        <color rgb="FFFF0000"/>
      </top>
      <bottom/>
      <diagonal/>
    </border>
    <border>
      <left style="medium">
        <color indexed="64"/>
      </left>
      <right style="thin">
        <color rgb="FFFF0000"/>
      </right>
      <top/>
      <bottom/>
      <diagonal/>
    </border>
    <border>
      <left style="medium">
        <color indexed="64"/>
      </left>
      <right style="thin">
        <color rgb="FFFF0000"/>
      </right>
      <top/>
      <bottom style="thick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9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5" fillId="0" borderId="0" xfId="0" applyFont="1"/>
    <xf numFmtId="0" fontId="7" fillId="0" borderId="0" xfId="0" applyFont="1"/>
    <xf numFmtId="0" fontId="8" fillId="0" borderId="0" xfId="0" applyFont="1"/>
    <xf numFmtId="0" fontId="0" fillId="0" borderId="0" xfId="0" applyFont="1"/>
    <xf numFmtId="0" fontId="0" fillId="0" borderId="0" xfId="0" applyAlignment="1">
      <alignment horizontal="left" vertical="center"/>
    </xf>
    <xf numFmtId="4" fontId="0" fillId="0" borderId="0" xfId="0" applyNumberFormat="1" applyAlignment="1">
      <alignment horizontal="center" vertical="center"/>
    </xf>
    <xf numFmtId="0" fontId="0" fillId="0" borderId="0" xfId="0" applyAlignment="1"/>
    <xf numFmtId="164" fontId="0" fillId="0" borderId="0" xfId="0" applyNumberFormat="1" applyAlignment="1"/>
    <xf numFmtId="0" fontId="0" fillId="0" borderId="0" xfId="0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/>
    <xf numFmtId="0" fontId="0" fillId="0" borderId="1" xfId="0" applyBorder="1"/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horizontal="center"/>
    </xf>
    <xf numFmtId="0" fontId="0" fillId="0" borderId="4" xfId="0" applyFont="1" applyBorder="1" applyAlignment="1">
      <alignment horizontal="center" vertical="center"/>
    </xf>
    <xf numFmtId="4" fontId="0" fillId="0" borderId="4" xfId="0" applyNumberFormat="1" applyFont="1" applyBorder="1" applyAlignment="1">
      <alignment horizontal="center" vertical="center"/>
    </xf>
    <xf numFmtId="164" fontId="0" fillId="0" borderId="5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wrapText="1"/>
    </xf>
    <xf numFmtId="0" fontId="0" fillId="0" borderId="4" xfId="0" applyBorder="1" applyAlignment="1">
      <alignment horizontal="center" vertical="center" wrapText="1"/>
    </xf>
    <xf numFmtId="0" fontId="7" fillId="0" borderId="4" xfId="0" applyFont="1" applyBorder="1" applyAlignment="1">
      <alignment horizontal="center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4" fontId="7" fillId="0" borderId="4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0" fillId="0" borderId="6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4" fontId="0" fillId="0" borderId="6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9" xfId="0" applyFont="1" applyBorder="1"/>
    <xf numFmtId="0" fontId="5" fillId="0" borderId="9" xfId="0" applyFont="1" applyBorder="1"/>
    <xf numFmtId="0" fontId="7" fillId="0" borderId="8" xfId="0" applyFont="1" applyBorder="1"/>
    <xf numFmtId="0" fontId="7" fillId="0" borderId="9" xfId="0" applyFont="1" applyBorder="1"/>
    <xf numFmtId="0" fontId="5" fillId="0" borderId="11" xfId="0" applyFont="1" applyBorder="1"/>
    <xf numFmtId="0" fontId="7" fillId="0" borderId="11" xfId="0" applyFont="1" applyBorder="1"/>
    <xf numFmtId="0" fontId="0" fillId="0" borderId="12" xfId="0" applyBorder="1" applyAlignment="1">
      <alignment horizontal="left" vertical="center"/>
    </xf>
    <xf numFmtId="0" fontId="0" fillId="0" borderId="12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4" fontId="0" fillId="0" borderId="12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0" fontId="9" fillId="0" borderId="0" xfId="0" applyFont="1" applyAlignment="1">
      <alignment horizontal="center" vertical="center"/>
    </xf>
    <xf numFmtId="0" fontId="9" fillId="0" borderId="0" xfId="0" applyFont="1" applyAlignment="1"/>
    <xf numFmtId="164" fontId="9" fillId="0" borderId="0" xfId="0" applyNumberFormat="1" applyFont="1" applyAlignment="1"/>
    <xf numFmtId="164" fontId="7" fillId="0" borderId="4" xfId="0" applyNumberFormat="1" applyFont="1" applyBorder="1" applyAlignment="1">
      <alignment horizontal="center" vertical="center"/>
    </xf>
    <xf numFmtId="9" fontId="0" fillId="0" borderId="0" xfId="0" applyNumberFormat="1"/>
    <xf numFmtId="0" fontId="10" fillId="0" borderId="0" xfId="0" applyFont="1"/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16" xfId="0" applyBorder="1"/>
    <xf numFmtId="164" fontId="0" fillId="0" borderId="16" xfId="0" applyNumberFormat="1" applyBorder="1" applyAlignment="1">
      <alignment horizontal="center" vertical="center"/>
    </xf>
    <xf numFmtId="0" fontId="11" fillId="0" borderId="0" xfId="0" applyFont="1"/>
    <xf numFmtId="0" fontId="0" fillId="0" borderId="1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5" xfId="0" applyBorder="1" applyAlignment="1">
      <alignment horizontal="left" vertical="center" wrapText="1"/>
    </xf>
    <xf numFmtId="0" fontId="0" fillId="0" borderId="8" xfId="0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8" fillId="0" borderId="0" xfId="0" applyFont="1" applyFill="1" applyBorder="1"/>
    <xf numFmtId="164" fontId="0" fillId="0" borderId="0" xfId="0" applyNumberFormat="1" applyAlignment="1">
      <alignment horizontal="center"/>
    </xf>
    <xf numFmtId="0" fontId="7" fillId="0" borderId="15" xfId="0" applyFont="1" applyBorder="1"/>
    <xf numFmtId="0" fontId="7" fillId="0" borderId="0" xfId="0" applyNumberFormat="1" applyFont="1" applyAlignment="1">
      <alignment horizontal="center"/>
    </xf>
    <xf numFmtId="0" fontId="7" fillId="0" borderId="17" xfId="0" applyNumberFormat="1" applyFont="1" applyBorder="1" applyAlignment="1">
      <alignment horizontal="center"/>
    </xf>
    <xf numFmtId="0" fontId="7" fillId="0" borderId="18" xfId="0" applyNumberFormat="1" applyFont="1" applyBorder="1" applyAlignment="1">
      <alignment horizontal="center"/>
    </xf>
    <xf numFmtId="0" fontId="7" fillId="0" borderId="18" xfId="0" applyNumberFormat="1" applyFont="1" applyBorder="1" applyAlignment="1">
      <alignment horizontal="center" vertical="center"/>
    </xf>
    <xf numFmtId="0" fontId="7" fillId="0" borderId="19" xfId="0" applyNumberFormat="1" applyFont="1" applyBorder="1" applyAlignment="1">
      <alignment horizontal="center"/>
    </xf>
    <xf numFmtId="0" fontId="7" fillId="0" borderId="0" xfId="0" applyNumberFormat="1" applyFont="1" applyBorder="1" applyAlignment="1">
      <alignment horizontal="center"/>
    </xf>
    <xf numFmtId="16" fontId="7" fillId="0" borderId="18" xfId="0" applyNumberFormat="1" applyFont="1" applyBorder="1" applyAlignment="1">
      <alignment horizontal="center"/>
    </xf>
    <xf numFmtId="14" fontId="7" fillId="0" borderId="18" xfId="0" applyNumberFormat="1" applyFont="1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164" fontId="0" fillId="0" borderId="13" xfId="0" applyNumberFormat="1" applyFont="1" applyBorder="1" applyAlignment="1">
      <alignment horizontal="center" vertical="center"/>
    </xf>
    <xf numFmtId="0" fontId="7" fillId="0" borderId="20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21" xfId="0" applyNumberFormat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 vertical="center"/>
    </xf>
    <xf numFmtId="164" fontId="0" fillId="0" borderId="22" xfId="0" applyNumberFormat="1" applyFon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3" xfId="0" applyNumberFormat="1" applyFont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64" fontId="7" fillId="0" borderId="22" xfId="0" applyNumberFormat="1" applyFont="1" applyBorder="1" applyAlignment="1">
      <alignment horizontal="center"/>
    </xf>
    <xf numFmtId="164" fontId="0" fillId="0" borderId="3" xfId="0" applyNumberFormat="1" applyBorder="1" applyAlignment="1">
      <alignment horizontal="center" vertical="center" wrapText="1"/>
    </xf>
    <xf numFmtId="164" fontId="0" fillId="0" borderId="24" xfId="0" applyNumberFormat="1" applyBorder="1" applyAlignment="1">
      <alignment horizontal="center" vertical="center"/>
    </xf>
    <xf numFmtId="0" fontId="7" fillId="0" borderId="25" xfId="0" applyNumberFormat="1" applyFont="1" applyBorder="1" applyAlignment="1">
      <alignment horizontal="center"/>
    </xf>
    <xf numFmtId="164" fontId="0" fillId="0" borderId="5" xfId="0" applyNumberForma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/>
    </xf>
    <xf numFmtId="0" fontId="7" fillId="0" borderId="26" xfId="0" applyNumberFormat="1" applyFont="1" applyBorder="1" applyAlignment="1">
      <alignment horizontal="center"/>
    </xf>
    <xf numFmtId="0" fontId="0" fillId="0" borderId="14" xfId="0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12" xfId="0" applyFont="1" applyBorder="1" applyAlignment="1">
      <alignment horizontal="center" vertical="center"/>
    </xf>
    <xf numFmtId="164" fontId="7" fillId="0" borderId="13" xfId="0" applyNumberFormat="1" applyFont="1" applyBorder="1" applyAlignment="1">
      <alignment horizontal="center" vertical="center"/>
    </xf>
    <xf numFmtId="164" fontId="7" fillId="0" borderId="23" xfId="0" applyNumberFormat="1" applyFont="1" applyBorder="1" applyAlignment="1">
      <alignment horizontal="center"/>
    </xf>
    <xf numFmtId="0" fontId="0" fillId="0" borderId="9" xfId="0" applyBorder="1" applyAlignment="1">
      <alignment horizontal="left" vertical="center"/>
    </xf>
    <xf numFmtId="0" fontId="0" fillId="0" borderId="27" xfId="0" applyBorder="1" applyAlignment="1">
      <alignment horizontal="center" vertical="center"/>
    </xf>
    <xf numFmtId="164" fontId="0" fillId="0" borderId="28" xfId="0" applyNumberForma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29" xfId="0" applyBorder="1" applyAlignment="1">
      <alignment horizontal="center"/>
    </xf>
    <xf numFmtId="0" fontId="0" fillId="0" borderId="29" xfId="0" applyBorder="1" applyAlignment="1">
      <alignment horizontal="center" vertical="center"/>
    </xf>
    <xf numFmtId="164" fontId="0" fillId="0" borderId="30" xfId="0" applyNumberFormat="1" applyBorder="1" applyAlignment="1">
      <alignment horizontal="center" vertical="center"/>
    </xf>
    <xf numFmtId="164" fontId="0" fillId="0" borderId="31" xfId="0" applyNumberFormat="1" applyBorder="1" applyAlignment="1">
      <alignment horizontal="center"/>
    </xf>
    <xf numFmtId="164" fontId="0" fillId="0" borderId="4" xfId="0" applyNumberFormat="1" applyBorder="1" applyAlignment="1"/>
    <xf numFmtId="0" fontId="0" fillId="0" borderId="32" xfId="0" applyBorder="1" applyAlignment="1">
      <alignment horizontal="left" vertical="center"/>
    </xf>
    <xf numFmtId="0" fontId="0" fillId="0" borderId="33" xfId="0" applyBorder="1" applyAlignment="1">
      <alignment horizontal="center" vertical="center"/>
    </xf>
    <xf numFmtId="164" fontId="0" fillId="0" borderId="34" xfId="0" applyNumberFormat="1" applyBorder="1" applyAlignment="1">
      <alignment horizontal="center" vertical="center"/>
    </xf>
    <xf numFmtId="164" fontId="0" fillId="0" borderId="35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/>
    <xf numFmtId="165" fontId="9" fillId="0" borderId="0" xfId="0" applyNumberFormat="1" applyFont="1" applyAlignment="1"/>
    <xf numFmtId="165" fontId="0" fillId="0" borderId="0" xfId="0" applyNumberFormat="1" applyAlignment="1"/>
    <xf numFmtId="165" fontId="0" fillId="0" borderId="0" xfId="0" applyNumberFormat="1" applyAlignment="1">
      <alignment horizontal="center" vertical="center"/>
    </xf>
    <xf numFmtId="165" fontId="0" fillId="0" borderId="3" xfId="0" applyNumberFormat="1" applyBorder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/>
    </xf>
    <xf numFmtId="165" fontId="0" fillId="0" borderId="0" xfId="0" applyNumberFormat="1" applyAlignment="1">
      <alignment vertical="center"/>
    </xf>
    <xf numFmtId="165" fontId="0" fillId="0" borderId="34" xfId="0" applyNumberFormat="1" applyBorder="1" applyAlignment="1">
      <alignment vertical="center"/>
    </xf>
    <xf numFmtId="165" fontId="0" fillId="0" borderId="28" xfId="0" applyNumberFormat="1" applyBorder="1" applyAlignment="1">
      <alignment vertical="center"/>
    </xf>
    <xf numFmtId="165" fontId="0" fillId="0" borderId="7" xfId="0" applyNumberFormat="1" applyBorder="1" applyAlignment="1">
      <alignment vertical="center"/>
    </xf>
    <xf numFmtId="165" fontId="0" fillId="0" borderId="0" xfId="0" applyNumberFormat="1" applyBorder="1" applyAlignment="1">
      <alignment vertical="center"/>
    </xf>
    <xf numFmtId="165" fontId="0" fillId="0" borderId="21" xfId="0" applyNumberFormat="1" applyBorder="1" applyAlignment="1">
      <alignment horizontal="center" vertical="center"/>
    </xf>
    <xf numFmtId="165" fontId="0" fillId="0" borderId="22" xfId="0" applyNumberFormat="1" applyBorder="1" applyAlignment="1">
      <alignment horizontal="center"/>
    </xf>
    <xf numFmtId="165" fontId="0" fillId="0" borderId="31" xfId="0" applyNumberFormat="1" applyBorder="1" applyAlignment="1">
      <alignment horizontal="center"/>
    </xf>
    <xf numFmtId="165" fontId="0" fillId="0" borderId="35" xfId="0" applyNumberFormat="1" applyBorder="1" applyAlignment="1">
      <alignment horizontal="center"/>
    </xf>
    <xf numFmtId="165" fontId="0" fillId="0" borderId="16" xfId="0" applyNumberFormat="1" applyBorder="1" applyAlignment="1">
      <alignment horizontal="center" vertical="center"/>
    </xf>
    <xf numFmtId="165" fontId="0" fillId="0" borderId="4" xfId="0" applyNumberFormat="1" applyBorder="1" applyAlignment="1">
      <alignment vertical="center"/>
    </xf>
    <xf numFmtId="165" fontId="0" fillId="0" borderId="4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5" fontId="0" fillId="0" borderId="4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6" fillId="0" borderId="14" xfId="0" applyFont="1" applyBorder="1" applyAlignment="1">
      <alignment horizontal="left" vertical="center"/>
    </xf>
    <xf numFmtId="0" fontId="0" fillId="0" borderId="6" xfId="0" applyBorder="1" applyAlignment="1">
      <alignment horizontal="center"/>
    </xf>
    <xf numFmtId="0" fontId="0" fillId="0" borderId="6" xfId="0" applyFont="1" applyBorder="1" applyAlignment="1">
      <alignment horizontal="center" vertical="center"/>
    </xf>
    <xf numFmtId="165" fontId="0" fillId="0" borderId="6" xfId="0" applyNumberFormat="1" applyFont="1" applyBorder="1" applyAlignment="1">
      <alignment vertical="center"/>
    </xf>
    <xf numFmtId="165" fontId="0" fillId="0" borderId="36" xfId="0" applyNumberFormat="1" applyFont="1" applyBorder="1" applyAlignment="1">
      <alignment horizontal="center"/>
    </xf>
    <xf numFmtId="164" fontId="0" fillId="0" borderId="12" xfId="0" applyNumberFormat="1" applyBorder="1" applyAlignment="1">
      <alignment horizontal="center" vertical="center"/>
    </xf>
    <xf numFmtId="164" fontId="6" fillId="0" borderId="37" xfId="0" applyNumberFormat="1" applyFont="1" applyBorder="1" applyAlignment="1">
      <alignment horizontal="center" vertical="center"/>
    </xf>
    <xf numFmtId="165" fontId="0" fillId="0" borderId="2" xfId="0" applyNumberFormat="1" applyBorder="1" applyAlignment="1">
      <alignment vertical="center"/>
    </xf>
    <xf numFmtId="165" fontId="0" fillId="0" borderId="2" xfId="0" applyNumberFormat="1" applyBorder="1" applyAlignment="1">
      <alignment horizontal="center"/>
    </xf>
    <xf numFmtId="165" fontId="0" fillId="0" borderId="4" xfId="0" applyNumberFormat="1" applyBorder="1" applyAlignment="1">
      <alignment vertical="center" wrapText="1"/>
    </xf>
    <xf numFmtId="165" fontId="7" fillId="0" borderId="4" xfId="0" applyNumberFormat="1" applyFont="1" applyBorder="1" applyAlignment="1">
      <alignment vertical="center"/>
    </xf>
    <xf numFmtId="165" fontId="7" fillId="0" borderId="4" xfId="0" applyNumberFormat="1" applyFont="1" applyBorder="1" applyAlignment="1">
      <alignment horizontal="center"/>
    </xf>
    <xf numFmtId="165" fontId="0" fillId="0" borderId="6" xfId="0" applyNumberFormat="1" applyBorder="1" applyAlignment="1">
      <alignment vertical="center"/>
    </xf>
    <xf numFmtId="165" fontId="0" fillId="0" borderId="6" xfId="0" applyNumberForma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/>
    <xf numFmtId="165" fontId="0" fillId="0" borderId="4" xfId="0" applyNumberFormat="1" applyFont="1" applyBorder="1" applyAlignment="1">
      <alignment vertical="center"/>
    </xf>
    <xf numFmtId="165" fontId="0" fillId="0" borderId="4" xfId="0" applyNumberFormat="1" applyFont="1" applyBorder="1" applyAlignment="1">
      <alignment horizontal="center"/>
    </xf>
    <xf numFmtId="165" fontId="7" fillId="0" borderId="4" xfId="0" applyNumberFormat="1" applyFont="1" applyBorder="1" applyAlignment="1"/>
    <xf numFmtId="165" fontId="7" fillId="0" borderId="4" xfId="0" applyNumberFormat="1" applyFont="1" applyBorder="1"/>
    <xf numFmtId="165" fontId="7" fillId="0" borderId="5" xfId="0" applyNumberFormat="1" applyFont="1" applyBorder="1"/>
    <xf numFmtId="0" fontId="7" fillId="0" borderId="6" xfId="0" applyFont="1" applyBorder="1" applyAlignment="1">
      <alignment horizontal="center" vertical="center"/>
    </xf>
    <xf numFmtId="165" fontId="7" fillId="0" borderId="6" xfId="0" applyNumberFormat="1" applyFont="1" applyBorder="1" applyAlignment="1">
      <alignment vertical="center"/>
    </xf>
    <xf numFmtId="165" fontId="7" fillId="0" borderId="6" xfId="0" applyNumberFormat="1" applyFont="1" applyBorder="1" applyAlignment="1">
      <alignment horizontal="center"/>
    </xf>
    <xf numFmtId="164" fontId="7" fillId="0" borderId="7" xfId="0" applyNumberFormat="1" applyFont="1" applyBorder="1" applyAlignment="1">
      <alignment horizontal="center" vertical="center"/>
    </xf>
    <xf numFmtId="165" fontId="7" fillId="0" borderId="12" xfId="0" applyNumberFormat="1" applyFont="1" applyBorder="1" applyAlignment="1">
      <alignment vertical="center"/>
    </xf>
    <xf numFmtId="165" fontId="7" fillId="0" borderId="12" xfId="0" applyNumberFormat="1" applyFont="1" applyBorder="1" applyAlignment="1">
      <alignment horizontal="center"/>
    </xf>
    <xf numFmtId="0" fontId="12" fillId="0" borderId="14" xfId="0" applyFont="1" applyBorder="1"/>
    <xf numFmtId="0" fontId="6" fillId="0" borderId="32" xfId="0" applyFont="1" applyBorder="1" applyAlignment="1">
      <alignment horizontal="left" vertical="center"/>
    </xf>
    <xf numFmtId="0" fontId="9" fillId="0" borderId="0" xfId="0" applyFont="1" applyAlignment="1">
      <alignment horizontal="center"/>
    </xf>
    <xf numFmtId="0" fontId="13" fillId="0" borderId="0" xfId="0" applyFont="1"/>
    <xf numFmtId="0" fontId="12" fillId="0" borderId="38" xfId="0" applyFont="1" applyBorder="1"/>
    <xf numFmtId="0" fontId="0" fillId="0" borderId="39" xfId="0" applyBorder="1" applyAlignment="1">
      <alignment horizontal="center"/>
    </xf>
    <xf numFmtId="0" fontId="7" fillId="0" borderId="39" xfId="0" applyFont="1" applyBorder="1" applyAlignment="1">
      <alignment horizontal="center" vertical="center"/>
    </xf>
    <xf numFmtId="165" fontId="7" fillId="0" borderId="40" xfId="0" applyNumberFormat="1" applyFont="1" applyBorder="1" applyAlignment="1">
      <alignment vertical="center"/>
    </xf>
    <xf numFmtId="165" fontId="7" fillId="0" borderId="41" xfId="0" applyNumberFormat="1" applyFont="1" applyBorder="1" applyAlignment="1">
      <alignment horizontal="center"/>
    </xf>
    <xf numFmtId="164" fontId="7" fillId="0" borderId="42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/>
    <xf numFmtId="165" fontId="0" fillId="0" borderId="2" xfId="0" applyNumberFormat="1" applyBorder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/>
    </xf>
    <xf numFmtId="165" fontId="0" fillId="0" borderId="43" xfId="0" applyNumberForma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165" fontId="0" fillId="0" borderId="6" xfId="0" applyNumberFormat="1" applyBorder="1" applyAlignment="1">
      <alignment horizontal="center"/>
    </xf>
    <xf numFmtId="0" fontId="7" fillId="0" borderId="44" xfId="0" applyNumberFormat="1" applyFont="1" applyBorder="1" applyAlignment="1">
      <alignment horizontal="center"/>
    </xf>
    <xf numFmtId="0" fontId="7" fillId="0" borderId="24" xfId="0" applyNumberFormat="1" applyFont="1" applyBorder="1" applyAlignment="1">
      <alignment horizontal="center"/>
    </xf>
    <xf numFmtId="0" fontId="7" fillId="0" borderId="1" xfId="0" applyNumberFormat="1" applyFont="1" applyBorder="1" applyAlignment="1">
      <alignment horizontal="center"/>
    </xf>
    <xf numFmtId="165" fontId="7" fillId="0" borderId="2" xfId="0" applyNumberFormat="1" applyFont="1" applyBorder="1" applyAlignment="1">
      <alignment horizontal="center"/>
    </xf>
    <xf numFmtId="0" fontId="7" fillId="0" borderId="15" xfId="0" applyNumberFormat="1" applyFont="1" applyBorder="1" applyAlignment="1">
      <alignment horizontal="center"/>
    </xf>
    <xf numFmtId="16" fontId="7" fillId="0" borderId="15" xfId="0" applyNumberFormat="1" applyFont="1" applyBorder="1" applyAlignment="1">
      <alignment horizontal="center"/>
    </xf>
    <xf numFmtId="14" fontId="7" fillId="0" borderId="15" xfId="0" applyNumberFormat="1" applyFont="1" applyBorder="1" applyAlignment="1">
      <alignment horizontal="center"/>
    </xf>
    <xf numFmtId="0" fontId="7" fillId="0" borderId="4" xfId="0" applyFont="1" applyBorder="1"/>
    <xf numFmtId="0" fontId="7" fillId="0" borderId="14" xfId="0" applyNumberFormat="1" applyFont="1" applyBorder="1" applyAlignment="1">
      <alignment horizontal="center"/>
    </xf>
    <xf numFmtId="0" fontId="12" fillId="0" borderId="6" xfId="0" applyFont="1" applyBorder="1"/>
    <xf numFmtId="0" fontId="0" fillId="0" borderId="4" xfId="0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/>
    </xf>
    <xf numFmtId="0" fontId="7" fillId="0" borderId="22" xfId="0" applyFont="1" applyBorder="1"/>
    <xf numFmtId="165" fontId="0" fillId="0" borderId="29" xfId="0" applyNumberFormat="1" applyBorder="1" applyAlignment="1">
      <alignment horizontal="center" vertical="center"/>
    </xf>
    <xf numFmtId="0" fontId="0" fillId="0" borderId="3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7" fillId="0" borderId="9" xfId="0" applyNumberFormat="1" applyFont="1" applyBorder="1" applyAlignment="1">
      <alignment horizontal="center" vertical="center"/>
    </xf>
    <xf numFmtId="165" fontId="0" fillId="0" borderId="36" xfId="0" applyNumberFormat="1" applyBorder="1" applyAlignment="1">
      <alignment horizontal="center" vertical="center"/>
    </xf>
    <xf numFmtId="164" fontId="0" fillId="0" borderId="37" xfId="0" applyNumberFormat="1" applyBorder="1" applyAlignment="1">
      <alignment horizontal="center" vertical="center"/>
    </xf>
    <xf numFmtId="165" fontId="7" fillId="0" borderId="36" xfId="0" applyNumberFormat="1" applyFont="1" applyBorder="1" applyAlignment="1">
      <alignment horizontal="center"/>
    </xf>
    <xf numFmtId="164" fontId="7" fillId="0" borderId="37" xfId="0" applyNumberFormat="1" applyFont="1" applyBorder="1" applyAlignment="1">
      <alignment horizontal="center" vertical="center"/>
    </xf>
    <xf numFmtId="165" fontId="5" fillId="0" borderId="4" xfId="0" applyNumberFormat="1" applyFont="1" applyBorder="1" applyAlignment="1">
      <alignment vertical="center"/>
    </xf>
    <xf numFmtId="165" fontId="5" fillId="0" borderId="4" xfId="0" applyNumberFormat="1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/>
    <xf numFmtId="165" fontId="5" fillId="0" borderId="4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26" xfId="0" applyNumberFormat="1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0" fillId="0" borderId="3" xfId="0" applyBorder="1"/>
    <xf numFmtId="0" fontId="0" fillId="0" borderId="5" xfId="0" applyBorder="1"/>
    <xf numFmtId="0" fontId="0" fillId="0" borderId="5" xfId="0" applyFont="1" applyBorder="1"/>
    <xf numFmtId="0" fontId="7" fillId="0" borderId="5" xfId="0" applyFont="1" applyBorder="1"/>
    <xf numFmtId="0" fontId="5" fillId="0" borderId="5" xfId="0" applyFont="1" applyBorder="1"/>
    <xf numFmtId="0" fontId="0" fillId="0" borderId="7" xfId="0" applyBorder="1"/>
    <xf numFmtId="164" fontId="0" fillId="0" borderId="2" xfId="0" applyNumberFormat="1" applyBorder="1" applyAlignment="1">
      <alignment horizontal="center" vertical="center"/>
    </xf>
    <xf numFmtId="0" fontId="0" fillId="0" borderId="27" xfId="0" applyBorder="1"/>
    <xf numFmtId="0" fontId="8" fillId="0" borderId="27" xfId="0" applyFont="1" applyBorder="1"/>
    <xf numFmtId="164" fontId="0" fillId="0" borderId="29" xfId="0" applyNumberFormat="1" applyBorder="1" applyAlignment="1">
      <alignment horizontal="center" vertical="center"/>
    </xf>
    <xf numFmtId="0" fontId="8" fillId="0" borderId="27" xfId="0" applyFont="1" applyFill="1" applyBorder="1"/>
    <xf numFmtId="0" fontId="7" fillId="0" borderId="27" xfId="0" applyFont="1" applyBorder="1"/>
    <xf numFmtId="165" fontId="0" fillId="0" borderId="46" xfId="0" applyNumberFormat="1" applyBorder="1" applyAlignment="1">
      <alignment vertical="center"/>
    </xf>
    <xf numFmtId="165" fontId="0" fillId="0" borderId="12" xfId="0" applyNumberFormat="1" applyBorder="1" applyAlignment="1">
      <alignment vertical="center"/>
    </xf>
    <xf numFmtId="0" fontId="0" fillId="0" borderId="30" xfId="0" applyBorder="1"/>
    <xf numFmtId="164" fontId="7" fillId="0" borderId="6" xfId="0" applyNumberFormat="1" applyFont="1" applyBorder="1" applyAlignment="1">
      <alignment horizontal="center" vertical="center"/>
    </xf>
    <xf numFmtId="0" fontId="8" fillId="0" borderId="39" xfId="0" applyFont="1" applyBorder="1"/>
    <xf numFmtId="0" fontId="15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165" fontId="0" fillId="0" borderId="12" xfId="0" applyNumberFormat="1" applyBorder="1" applyAlignment="1">
      <alignment horizontal="center"/>
    </xf>
    <xf numFmtId="0" fontId="7" fillId="0" borderId="13" xfId="0" applyFont="1" applyBorder="1"/>
    <xf numFmtId="165" fontId="0" fillId="0" borderId="29" xfId="0" applyNumberFormat="1" applyBorder="1" applyAlignment="1">
      <alignment horizontal="center"/>
    </xf>
    <xf numFmtId="165" fontId="0" fillId="0" borderId="47" xfId="0" applyNumberForma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165" fontId="0" fillId="0" borderId="48" xfId="0" applyNumberFormat="1" applyBorder="1" applyAlignment="1">
      <alignment vertical="center"/>
    </xf>
    <xf numFmtId="165" fontId="0" fillId="0" borderId="49" xfId="0" applyNumberFormat="1" applyBorder="1" applyAlignment="1">
      <alignment horizontal="center"/>
    </xf>
    <xf numFmtId="0" fontId="0" fillId="0" borderId="50" xfId="0" applyBorder="1" applyAlignment="1">
      <alignment horizontal="center" vertical="center"/>
    </xf>
    <xf numFmtId="0" fontId="13" fillId="0" borderId="50" xfId="0" applyFont="1" applyBorder="1" applyAlignment="1">
      <alignment horizontal="center" vertical="center"/>
    </xf>
    <xf numFmtId="165" fontId="0" fillId="0" borderId="50" xfId="0" applyNumberFormat="1" applyBorder="1" applyAlignment="1">
      <alignment vertical="center"/>
    </xf>
    <xf numFmtId="165" fontId="0" fillId="0" borderId="51" xfId="0" applyNumberFormat="1" applyBorder="1" applyAlignment="1">
      <alignment horizontal="center"/>
    </xf>
    <xf numFmtId="0" fontId="0" fillId="0" borderId="52" xfId="0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165" fontId="0" fillId="0" borderId="52" xfId="0" applyNumberFormat="1" applyBorder="1" applyAlignment="1">
      <alignment vertical="center"/>
    </xf>
    <xf numFmtId="165" fontId="0" fillId="0" borderId="53" xfId="0" applyNumberFormat="1" applyBorder="1" applyAlignment="1">
      <alignment horizontal="center"/>
    </xf>
    <xf numFmtId="164" fontId="0" fillId="0" borderId="44" xfId="0" applyNumberFormat="1" applyBorder="1" applyAlignment="1">
      <alignment horizontal="center" vertical="center"/>
    </xf>
    <xf numFmtId="164" fontId="0" fillId="0" borderId="54" xfId="0" applyNumberFormat="1" applyBorder="1" applyAlignment="1">
      <alignment horizontal="center" vertical="center"/>
    </xf>
    <xf numFmtId="164" fontId="0" fillId="0" borderId="55" xfId="0" applyNumberFormat="1" applyBorder="1" applyAlignment="1">
      <alignment horizontal="center" vertical="center"/>
    </xf>
    <xf numFmtId="164" fontId="0" fillId="0" borderId="56" xfId="0" applyNumberFormat="1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165" fontId="0" fillId="0" borderId="58" xfId="0" applyNumberFormat="1" applyBorder="1" applyAlignment="1">
      <alignment vertical="center"/>
    </xf>
    <xf numFmtId="165" fontId="0" fillId="0" borderId="58" xfId="0" applyNumberFormat="1" applyBorder="1" applyAlignment="1">
      <alignment horizontal="center"/>
    </xf>
    <xf numFmtId="0" fontId="0" fillId="0" borderId="57" xfId="0" applyBorder="1" applyAlignment="1">
      <alignment horizontal="center" vertical="center"/>
    </xf>
    <xf numFmtId="165" fontId="0" fillId="0" borderId="29" xfId="0" applyNumberForma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165" fontId="7" fillId="0" borderId="2" xfId="0" applyNumberFormat="1" applyFont="1" applyBorder="1" applyAlignment="1">
      <alignment vertical="center"/>
    </xf>
    <xf numFmtId="165" fontId="7" fillId="0" borderId="2" xfId="0" applyNumberFormat="1" applyFont="1" applyBorder="1"/>
    <xf numFmtId="164" fontId="7" fillId="0" borderId="2" xfId="0" applyNumberFormat="1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0" fontId="8" fillId="0" borderId="45" xfId="0" applyFont="1" applyFill="1" applyBorder="1"/>
    <xf numFmtId="0" fontId="7" fillId="0" borderId="33" xfId="0" applyFont="1" applyBorder="1" applyAlignment="1">
      <alignment horizontal="center" vertical="center"/>
    </xf>
    <xf numFmtId="165" fontId="7" fillId="0" borderId="33" xfId="0" applyNumberFormat="1" applyFont="1" applyBorder="1" applyAlignment="1">
      <alignment vertical="center"/>
    </xf>
    <xf numFmtId="165" fontId="7" fillId="0" borderId="33" xfId="0" applyNumberFormat="1" applyFont="1" applyBorder="1" applyAlignment="1">
      <alignment horizontal="center"/>
    </xf>
    <xf numFmtId="164" fontId="7" fillId="0" borderId="34" xfId="0" applyNumberFormat="1" applyFont="1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34" xfId="0" applyBorder="1"/>
    <xf numFmtId="0" fontId="7" fillId="0" borderId="6" xfId="0" applyFont="1" applyBorder="1"/>
    <xf numFmtId="0" fontId="0" fillId="0" borderId="0" xfId="0" applyBorder="1" applyAlignment="1">
      <alignment horizontal="center" vertical="center"/>
    </xf>
    <xf numFmtId="0" fontId="6" fillId="0" borderId="45" xfId="0" applyNumberFormat="1" applyFont="1" applyBorder="1" applyAlignment="1">
      <alignment horizontal="left" vertical="center"/>
    </xf>
    <xf numFmtId="0" fontId="7" fillId="0" borderId="0" xfId="0" applyNumberFormat="1" applyFont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/>
    </xf>
    <xf numFmtId="0" fontId="7" fillId="0" borderId="59" xfId="0" applyNumberFormat="1" applyFont="1" applyBorder="1" applyAlignment="1">
      <alignment horizontal="center" vertical="center"/>
    </xf>
    <xf numFmtId="0" fontId="7" fillId="0" borderId="38" xfId="0" applyNumberFormat="1" applyFont="1" applyBorder="1" applyAlignment="1">
      <alignment horizontal="center" vertical="center"/>
    </xf>
    <xf numFmtId="0" fontId="7" fillId="0" borderId="32" xfId="0" applyNumberFormat="1" applyFont="1" applyBorder="1" applyAlignment="1">
      <alignment horizontal="center" vertical="center"/>
    </xf>
    <xf numFmtId="0" fontId="7" fillId="0" borderId="11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7" fillId="0" borderId="22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7" fillId="0" borderId="2" xfId="0" applyFont="1" applyBorder="1" applyAlignment="1">
      <alignment horizontal="left"/>
    </xf>
    <xf numFmtId="0" fontId="12" fillId="0" borderId="35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21" xfId="0" applyBorder="1" applyAlignment="1">
      <alignment horizontal="left"/>
    </xf>
    <xf numFmtId="0" fontId="0" fillId="0" borderId="31" xfId="0" applyBorder="1" applyAlignment="1">
      <alignment horizontal="left"/>
    </xf>
    <xf numFmtId="0" fontId="6" fillId="0" borderId="45" xfId="0" applyFont="1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2" xfId="0" applyBorder="1" applyAlignment="1">
      <alignment horizontal="left" wrapText="1"/>
    </xf>
    <xf numFmtId="0" fontId="0" fillId="0" borderId="23" xfId="0" applyBorder="1" applyAlignment="1">
      <alignment horizontal="left" wrapText="1"/>
    </xf>
    <xf numFmtId="0" fontId="6" fillId="0" borderId="35" xfId="0" applyFont="1" applyBorder="1" applyAlignment="1">
      <alignment horizontal="left"/>
    </xf>
    <xf numFmtId="0" fontId="0" fillId="0" borderId="57" xfId="0" applyBorder="1" applyAlignment="1">
      <alignment horizontal="left"/>
    </xf>
    <xf numFmtId="0" fontId="6" fillId="0" borderId="17" xfId="0" applyFont="1" applyBorder="1" applyAlignment="1">
      <alignment horizontal="left"/>
    </xf>
    <xf numFmtId="0" fontId="6" fillId="0" borderId="61" xfId="0" applyFont="1" applyBorder="1" applyAlignment="1">
      <alignment horizontal="left"/>
    </xf>
    <xf numFmtId="0" fontId="6" fillId="0" borderId="62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7" fillId="0" borderId="23" xfId="0" applyFont="1" applyBorder="1" applyAlignment="1">
      <alignment horizontal="left" vertical="center"/>
    </xf>
    <xf numFmtId="0" fontId="7" fillId="0" borderId="20" xfId="0" applyNumberFormat="1" applyFont="1" applyBorder="1" applyAlignment="1">
      <alignment horizontal="center" vertical="center"/>
    </xf>
    <xf numFmtId="0" fontId="7" fillId="0" borderId="4" xfId="0" applyNumberFormat="1" applyFont="1" applyBorder="1" applyAlignment="1">
      <alignment horizontal="left" vertical="center"/>
    </xf>
    <xf numFmtId="0" fontId="7" fillId="0" borderId="17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/>
    </xf>
    <xf numFmtId="0" fontId="15" fillId="0" borderId="6" xfId="0" applyFont="1" applyBorder="1" applyAlignment="1">
      <alignment horizontal="center" vertical="center"/>
    </xf>
    <xf numFmtId="3" fontId="15" fillId="0" borderId="4" xfId="0" applyNumberFormat="1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165" fontId="0" fillId="0" borderId="2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5" xfId="0" applyBorder="1" applyAlignment="1">
      <alignment vertical="center" wrapText="1"/>
    </xf>
    <xf numFmtId="0" fontId="6" fillId="0" borderId="14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7" fillId="0" borderId="15" xfId="0" applyFont="1" applyBorder="1" applyAlignment="1"/>
    <xf numFmtId="0" fontId="7" fillId="0" borderId="8" xfId="0" applyFont="1" applyBorder="1" applyAlignment="1"/>
    <xf numFmtId="0" fontId="12" fillId="0" borderId="14" xfId="0" applyFont="1" applyBorder="1" applyAlignment="1"/>
    <xf numFmtId="0" fontId="12" fillId="0" borderId="38" xfId="0" applyFont="1" applyBorder="1" applyAlignment="1"/>
    <xf numFmtId="0" fontId="6" fillId="0" borderId="32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39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47" xfId="0" applyBorder="1" applyAlignment="1">
      <alignment horizontal="left" vertical="center"/>
    </xf>
    <xf numFmtId="0" fontId="7" fillId="0" borderId="4" xfId="0" applyNumberFormat="1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8" fillId="2" borderId="0" xfId="0" applyFont="1" applyFill="1"/>
    <xf numFmtId="0" fontId="0" fillId="0" borderId="66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15" fillId="0" borderId="66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 wrapText="1"/>
    </xf>
    <xf numFmtId="165" fontId="0" fillId="0" borderId="66" xfId="0" applyNumberFormat="1" applyBorder="1" applyAlignment="1">
      <alignment horizontal="center" vertical="center" wrapText="1"/>
    </xf>
    <xf numFmtId="164" fontId="0" fillId="0" borderId="68" xfId="0" applyNumberFormat="1" applyBorder="1" applyAlignment="1">
      <alignment horizontal="center" vertical="center"/>
    </xf>
    <xf numFmtId="164" fontId="0" fillId="0" borderId="29" xfId="0" applyNumberFormat="1" applyBorder="1" applyAlignment="1">
      <alignment horizontal="center"/>
    </xf>
    <xf numFmtId="0" fontId="7" fillId="0" borderId="69" xfId="0" applyNumberFormat="1" applyFont="1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18" fillId="2" borderId="69" xfId="0" applyFont="1" applyFill="1" applyBorder="1"/>
    <xf numFmtId="0" fontId="15" fillId="0" borderId="69" xfId="0" applyFont="1" applyBorder="1" applyAlignment="1">
      <alignment horizontal="center" vertical="center"/>
    </xf>
    <xf numFmtId="165" fontId="0" fillId="0" borderId="69" xfId="0" applyNumberFormat="1" applyBorder="1" applyAlignment="1">
      <alignment vertical="center"/>
    </xf>
    <xf numFmtId="165" fontId="0" fillId="0" borderId="69" xfId="0" applyNumberFormat="1" applyBorder="1" applyAlignment="1">
      <alignment horizontal="center" vertical="center"/>
    </xf>
    <xf numFmtId="164" fontId="0" fillId="0" borderId="70" xfId="0" applyNumberFormat="1" applyBorder="1" applyAlignment="1">
      <alignment horizontal="center" vertical="center"/>
    </xf>
    <xf numFmtId="165" fontId="0" fillId="0" borderId="69" xfId="0" applyNumberFormat="1" applyBorder="1" applyAlignment="1">
      <alignment horizontal="center" vertical="center" wrapText="1"/>
    </xf>
    <xf numFmtId="0" fontId="7" fillId="0" borderId="71" xfId="0" applyNumberFormat="1" applyFont="1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18" fillId="2" borderId="71" xfId="0" applyFont="1" applyFill="1" applyBorder="1"/>
    <xf numFmtId="0" fontId="15" fillId="0" borderId="71" xfId="0" applyFont="1" applyBorder="1" applyAlignment="1">
      <alignment horizontal="center" vertical="center"/>
    </xf>
    <xf numFmtId="165" fontId="0" fillId="0" borderId="71" xfId="0" applyNumberFormat="1" applyBorder="1" applyAlignment="1">
      <alignment horizontal="center" vertical="center" wrapText="1"/>
    </xf>
    <xf numFmtId="165" fontId="0" fillId="0" borderId="71" xfId="0" applyNumberFormat="1" applyBorder="1" applyAlignment="1">
      <alignment horizontal="center" vertical="center"/>
    </xf>
    <xf numFmtId="0" fontId="13" fillId="0" borderId="66" xfId="0" applyFont="1" applyBorder="1" applyAlignment="1">
      <alignment horizontal="center" vertical="center"/>
    </xf>
    <xf numFmtId="165" fontId="13" fillId="0" borderId="67" xfId="0" applyNumberFormat="1" applyFont="1" applyBorder="1" applyAlignment="1">
      <alignment horizontal="center" vertical="center" wrapText="1"/>
    </xf>
    <xf numFmtId="165" fontId="13" fillId="0" borderId="44" xfId="0" applyNumberFormat="1" applyFont="1" applyBorder="1" applyAlignment="1">
      <alignment horizontal="center" vertical="center" wrapText="1"/>
    </xf>
    <xf numFmtId="165" fontId="0" fillId="0" borderId="75" xfId="0" applyNumberFormat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165" fontId="0" fillId="0" borderId="64" xfId="0" applyNumberFormat="1" applyFont="1" applyBorder="1" applyAlignment="1">
      <alignment horizontal="center"/>
    </xf>
    <xf numFmtId="165" fontId="0" fillId="0" borderId="43" xfId="0" applyNumberFormat="1" applyBorder="1" applyAlignment="1">
      <alignment horizontal="center"/>
    </xf>
    <xf numFmtId="165" fontId="0" fillId="0" borderId="47" xfId="0" applyNumberFormat="1" applyBorder="1" applyAlignment="1">
      <alignment horizontal="center"/>
    </xf>
    <xf numFmtId="165" fontId="7" fillId="0" borderId="47" xfId="0" applyNumberFormat="1" applyFont="1" applyBorder="1" applyAlignment="1">
      <alignment horizontal="center"/>
    </xf>
    <xf numFmtId="165" fontId="0" fillId="0" borderId="47" xfId="0" applyNumberFormat="1" applyFont="1" applyBorder="1" applyAlignment="1">
      <alignment horizontal="center"/>
    </xf>
    <xf numFmtId="165" fontId="7" fillId="0" borderId="47" xfId="0" applyNumberFormat="1" applyFont="1" applyBorder="1"/>
    <xf numFmtId="165" fontId="7" fillId="0" borderId="76" xfId="0" applyNumberFormat="1" applyFont="1" applyBorder="1" applyAlignment="1">
      <alignment horizontal="center"/>
    </xf>
    <xf numFmtId="165" fontId="7" fillId="0" borderId="64" xfId="0" applyNumberFormat="1" applyFont="1" applyBorder="1" applyAlignment="1">
      <alignment horizontal="center"/>
    </xf>
    <xf numFmtId="165" fontId="0" fillId="0" borderId="77" xfId="0" applyNumberFormat="1" applyBorder="1" applyAlignment="1">
      <alignment horizontal="center"/>
    </xf>
    <xf numFmtId="165" fontId="0" fillId="0" borderId="52" xfId="0" applyNumberFormat="1" applyBorder="1" applyAlignment="1">
      <alignment horizontal="center"/>
    </xf>
    <xf numFmtId="0" fontId="18" fillId="2" borderId="0" xfId="0" applyFont="1" applyFill="1" applyBorder="1"/>
    <xf numFmtId="0" fontId="15" fillId="2" borderId="18" xfId="0" applyFont="1" applyFill="1" applyBorder="1" applyAlignment="1">
      <alignment horizontal="center" vertical="center" textRotation="180"/>
    </xf>
    <xf numFmtId="0" fontId="7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165" fontId="0" fillId="2" borderId="0" xfId="0" applyNumberFormat="1" applyFill="1" applyBorder="1" applyAlignment="1">
      <alignment horizontal="center" vertical="center" wrapText="1"/>
    </xf>
    <xf numFmtId="165" fontId="0" fillId="2" borderId="0" xfId="0" applyNumberFormat="1" applyFill="1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  <xf numFmtId="0" fontId="0" fillId="0" borderId="32" xfId="0" applyNumberFormat="1" applyFont="1" applyBorder="1" applyAlignment="1">
      <alignment horizontal="center" vertical="center"/>
    </xf>
    <xf numFmtId="0" fontId="0" fillId="0" borderId="33" xfId="0" applyNumberFormat="1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6" fillId="3" borderId="33" xfId="0" applyFont="1" applyFill="1" applyBorder="1"/>
    <xf numFmtId="0" fontId="9" fillId="0" borderId="33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 wrapText="1"/>
    </xf>
    <xf numFmtId="165" fontId="0" fillId="0" borderId="33" xfId="0" applyNumberFormat="1" applyFont="1" applyBorder="1" applyAlignment="1">
      <alignment horizontal="center" vertical="center" wrapText="1"/>
    </xf>
    <xf numFmtId="165" fontId="13" fillId="0" borderId="33" xfId="0" applyNumberFormat="1" applyFont="1" applyBorder="1" applyAlignment="1">
      <alignment horizontal="center" vertical="center" wrapText="1"/>
    </xf>
    <xf numFmtId="164" fontId="0" fillId="0" borderId="34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/>
    <xf numFmtId="0" fontId="12" fillId="0" borderId="25" xfId="0" applyNumberFormat="1" applyFont="1" applyBorder="1" applyAlignment="1">
      <alignment horizontal="center" vertical="center" textRotation="90"/>
    </xf>
    <xf numFmtId="0" fontId="6" fillId="0" borderId="19" xfId="0" applyFont="1" applyBorder="1" applyAlignment="1">
      <alignment horizontal="center" vertical="center"/>
    </xf>
    <xf numFmtId="0" fontId="6" fillId="0" borderId="63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textRotation="90"/>
    </xf>
    <xf numFmtId="0" fontId="0" fillId="0" borderId="19" xfId="0" applyBorder="1" applyAlignment="1">
      <alignment horizontal="center" vertical="center" textRotation="90"/>
    </xf>
    <xf numFmtId="0" fontId="0" fillId="0" borderId="63" xfId="0" applyBorder="1" applyAlignment="1">
      <alignment horizontal="center" vertical="center" textRotation="90"/>
    </xf>
    <xf numFmtId="0" fontId="17" fillId="0" borderId="44" xfId="0" applyNumberFormat="1" applyFont="1" applyBorder="1" applyAlignment="1">
      <alignment horizontal="center" vertical="center" textRotation="90"/>
    </xf>
    <xf numFmtId="0" fontId="0" fillId="0" borderId="0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15" fillId="0" borderId="72" xfId="0" applyNumberFormat="1" applyFont="1" applyBorder="1" applyAlignment="1">
      <alignment horizontal="center" vertical="center" textRotation="180"/>
    </xf>
    <xf numFmtId="0" fontId="15" fillId="0" borderId="73" xfId="0" applyFont="1" applyBorder="1" applyAlignment="1">
      <alignment horizontal="center" vertical="center" textRotation="180"/>
    </xf>
    <xf numFmtId="0" fontId="15" fillId="0" borderId="74" xfId="0" applyFont="1" applyBorder="1" applyAlignment="1">
      <alignment horizontal="center" vertical="center" textRotation="180"/>
    </xf>
    <xf numFmtId="0" fontId="19" fillId="0" borderId="0" xfId="0" applyFont="1" applyAlignment="1">
      <alignment horizontal="center"/>
    </xf>
    <xf numFmtId="0" fontId="20" fillId="2" borderId="69" xfId="0" applyFont="1" applyFill="1" applyBorder="1"/>
    <xf numFmtId="0" fontId="21" fillId="0" borderId="0" xfId="0" applyFont="1" applyAlignment="1">
      <alignment horizontal="center"/>
    </xf>
    <xf numFmtId="0" fontId="20" fillId="2" borderId="71" xfId="0" applyFont="1" applyFill="1" applyBorder="1"/>
    <xf numFmtId="165" fontId="13" fillId="0" borderId="37" xfId="0" applyNumberFormat="1" applyFont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/>
    </xf>
    <xf numFmtId="43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371475</xdr:colOff>
      <xdr:row>81</xdr:row>
      <xdr:rowOff>57150</xdr:rowOff>
    </xdr:to>
    <xdr:pic>
      <xdr:nvPicPr>
        <xdr:cNvPr id="12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801475" cy="1548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70"/>
  <sheetViews>
    <sheetView topLeftCell="A52" zoomScale="150" zoomScaleNormal="150" workbookViewId="0">
      <selection activeCell="G60" sqref="G60"/>
    </sheetView>
  </sheetViews>
  <sheetFormatPr defaultColWidth="11.42578125" defaultRowHeight="15"/>
  <cols>
    <col min="1" max="1" width="16" customWidth="1"/>
    <col min="2" max="2" width="20.85546875" style="7" customWidth="1"/>
    <col min="3" max="3" width="17.7109375" style="1" customWidth="1"/>
    <col min="4" max="4" width="24.7109375" style="1" customWidth="1"/>
    <col min="5" max="5" width="10.5703125" style="1" customWidth="1"/>
    <col min="6" max="6" width="12.42578125" style="1" customWidth="1"/>
    <col min="7" max="7" width="12.42578125" style="8" customWidth="1"/>
    <col min="8" max="8" width="13.7109375" style="2" customWidth="1"/>
    <col min="9" max="9" width="34.28515625" hidden="1" customWidth="1"/>
    <col min="10" max="10" width="11.5703125" customWidth="1"/>
  </cols>
  <sheetData>
    <row r="1" spans="1:9" ht="30" customHeight="1">
      <c r="B1" s="428" t="s">
        <v>175</v>
      </c>
      <c r="C1" s="429"/>
      <c r="D1" s="429"/>
      <c r="E1" s="429"/>
      <c r="F1" s="429"/>
      <c r="G1" s="429"/>
      <c r="H1" s="429"/>
      <c r="I1" s="429"/>
    </row>
    <row r="2" spans="1:9" ht="30" customHeight="1">
      <c r="B2" s="12"/>
      <c r="C2" s="13"/>
      <c r="D2" s="13"/>
      <c r="E2" s="13"/>
      <c r="F2" s="13"/>
      <c r="G2" s="13"/>
      <c r="H2" s="66"/>
      <c r="I2" s="13"/>
    </row>
    <row r="3" spans="1:9" s="10" customFormat="1" ht="18.75" customHeight="1">
      <c r="B3" s="10" t="s">
        <v>118</v>
      </c>
      <c r="D3" s="10" t="s">
        <v>109</v>
      </c>
      <c r="H3" s="10">
        <f>3*120</f>
        <v>360</v>
      </c>
    </row>
    <row r="4" spans="1:9" s="10" customFormat="1" ht="18.75" customHeight="1">
      <c r="B4" s="10" t="s">
        <v>110</v>
      </c>
      <c r="D4" s="10" t="s">
        <v>111</v>
      </c>
      <c r="H4" s="10">
        <f>5*80</f>
        <v>400</v>
      </c>
    </row>
    <row r="5" spans="1:9">
      <c r="C5" s="9"/>
      <c r="D5" s="9"/>
      <c r="E5" s="9"/>
      <c r="F5" s="9"/>
      <c r="G5" s="9"/>
      <c r="H5" s="10"/>
      <c r="I5" s="9"/>
    </row>
    <row r="6" spans="1:9">
      <c r="B6" s="7" t="s">
        <v>76</v>
      </c>
      <c r="C6" s="9" t="s">
        <v>77</v>
      </c>
      <c r="D6" s="9"/>
      <c r="E6" s="9"/>
      <c r="F6" s="9">
        <v>4547</v>
      </c>
      <c r="G6" s="9"/>
      <c r="H6" s="10">
        <f>F6*0.35</f>
        <v>1591.4499999999998</v>
      </c>
      <c r="I6" s="9"/>
    </row>
    <row r="7" spans="1:9">
      <c r="B7" s="7" t="s">
        <v>76</v>
      </c>
      <c r="C7" s="9" t="s">
        <v>79</v>
      </c>
      <c r="D7" s="9"/>
      <c r="E7" s="9"/>
      <c r="F7" s="9">
        <v>4440</v>
      </c>
      <c r="G7" s="9"/>
      <c r="H7" s="10">
        <f>F7*0.35</f>
        <v>1554</v>
      </c>
      <c r="I7" s="9"/>
    </row>
    <row r="8" spans="1:9">
      <c r="B8" s="7" t="s">
        <v>76</v>
      </c>
      <c r="C8" s="9" t="s">
        <v>78</v>
      </c>
      <c r="D8" s="9"/>
      <c r="E8" s="9"/>
      <c r="F8" s="9">
        <v>4440</v>
      </c>
      <c r="G8" s="9"/>
      <c r="H8" s="10">
        <f>F8*0.35</f>
        <v>1554</v>
      </c>
      <c r="I8" s="9"/>
    </row>
    <row r="9" spans="1:9">
      <c r="C9" s="9"/>
      <c r="D9" s="9"/>
      <c r="E9" s="9"/>
      <c r="F9" s="9"/>
      <c r="G9" s="9"/>
      <c r="H9" s="10"/>
      <c r="I9" s="9"/>
    </row>
    <row r="10" spans="1:9" ht="15.75" thickBot="1">
      <c r="I10" s="11"/>
    </row>
    <row r="11" spans="1:9" ht="30">
      <c r="A11" s="14"/>
      <c r="B11" s="15" t="s">
        <v>0</v>
      </c>
      <c r="C11" s="16" t="s">
        <v>56</v>
      </c>
      <c r="D11" s="16" t="s">
        <v>11</v>
      </c>
      <c r="E11" s="16" t="s">
        <v>59</v>
      </c>
      <c r="F11" s="17" t="s">
        <v>80</v>
      </c>
      <c r="G11" s="18" t="s">
        <v>1</v>
      </c>
      <c r="H11" s="19" t="s">
        <v>98</v>
      </c>
    </row>
    <row r="12" spans="1:9">
      <c r="A12" s="49" t="s">
        <v>100</v>
      </c>
      <c r="B12" s="20" t="s">
        <v>106</v>
      </c>
      <c r="C12" s="21" t="s">
        <v>8</v>
      </c>
      <c r="D12" s="22" t="s">
        <v>101</v>
      </c>
      <c r="E12" s="22"/>
      <c r="F12" s="22">
        <v>20000</v>
      </c>
      <c r="G12" s="23">
        <f>(F12*0.7/100)*0.6</f>
        <v>84</v>
      </c>
      <c r="H12" s="24">
        <v>84</v>
      </c>
    </row>
    <row r="13" spans="1:9">
      <c r="B13" s="20" t="s">
        <v>107</v>
      </c>
      <c r="C13" s="21" t="s">
        <v>8</v>
      </c>
      <c r="D13" s="22" t="s">
        <v>102</v>
      </c>
      <c r="E13" s="22"/>
      <c r="F13" s="22">
        <v>44000</v>
      </c>
      <c r="G13" s="23">
        <f>(F13*0.7/100)*0.6</f>
        <v>184.79999999999995</v>
      </c>
      <c r="H13" s="24">
        <v>184.79999999999995</v>
      </c>
      <c r="I13" t="s">
        <v>13</v>
      </c>
    </row>
    <row r="14" spans="1:9">
      <c r="A14" s="49"/>
      <c r="B14" s="20" t="s">
        <v>108</v>
      </c>
      <c r="C14" s="21" t="s">
        <v>8</v>
      </c>
      <c r="D14" s="22" t="s">
        <v>103</v>
      </c>
      <c r="E14" s="22"/>
      <c r="F14" s="22">
        <v>60000</v>
      </c>
      <c r="G14" s="23">
        <f>(F14*0.7/100)*0.6</f>
        <v>252</v>
      </c>
      <c r="H14" s="24">
        <v>252</v>
      </c>
      <c r="I14" t="s">
        <v>104</v>
      </c>
    </row>
    <row r="15" spans="1:9">
      <c r="A15" s="49"/>
      <c r="B15" s="20"/>
      <c r="C15" s="21"/>
      <c r="D15" s="22"/>
      <c r="E15" s="22"/>
      <c r="F15" s="22"/>
      <c r="G15" s="23"/>
      <c r="H15" s="24"/>
      <c r="I15" t="s">
        <v>105</v>
      </c>
    </row>
    <row r="16" spans="1:9">
      <c r="A16" s="48" t="s">
        <v>77</v>
      </c>
      <c r="B16" s="20" t="s">
        <v>2</v>
      </c>
      <c r="C16" s="22" t="s">
        <v>3</v>
      </c>
      <c r="D16" s="22">
        <v>20324778</v>
      </c>
      <c r="E16" s="22"/>
      <c r="F16" s="22">
        <v>840</v>
      </c>
      <c r="G16" s="23">
        <f>(800*6/100)+(40*7/100)</f>
        <v>50.8</v>
      </c>
      <c r="H16" s="24">
        <v>50.8</v>
      </c>
    </row>
    <row r="17" spans="1:9">
      <c r="B17" s="20" t="s">
        <v>87</v>
      </c>
      <c r="C17" s="21" t="s">
        <v>5</v>
      </c>
      <c r="D17" s="22">
        <v>20324923</v>
      </c>
      <c r="E17" s="22"/>
      <c r="F17" s="22">
        <v>198.4</v>
      </c>
      <c r="G17" s="23">
        <f>F17*12/100</f>
        <v>23.808000000000003</v>
      </c>
      <c r="H17" s="24">
        <v>24</v>
      </c>
      <c r="I17" t="s">
        <v>4</v>
      </c>
    </row>
    <row r="18" spans="1:9">
      <c r="A18" s="49"/>
      <c r="B18" s="20" t="s">
        <v>7</v>
      </c>
      <c r="C18" s="21" t="s">
        <v>8</v>
      </c>
      <c r="D18" s="22" t="s">
        <v>10</v>
      </c>
      <c r="E18" s="22"/>
      <c r="F18" s="22">
        <v>42000</v>
      </c>
      <c r="G18" s="23">
        <f>(F18*0.7/100)*0.6</f>
        <v>176.39999999999995</v>
      </c>
      <c r="H18" s="24">
        <v>176.39999999999995</v>
      </c>
      <c r="I18" t="s">
        <v>6</v>
      </c>
    </row>
    <row r="19" spans="1:9">
      <c r="A19" s="49"/>
      <c r="B19" s="20" t="s">
        <v>12</v>
      </c>
      <c r="C19" s="21" t="s">
        <v>8</v>
      </c>
      <c r="D19" s="25" t="s">
        <v>99</v>
      </c>
      <c r="E19" s="22"/>
      <c r="F19" s="22">
        <v>20000</v>
      </c>
      <c r="G19" s="23">
        <f>(F19*0.7/100)*0.6</f>
        <v>84</v>
      </c>
      <c r="H19" s="24">
        <v>84</v>
      </c>
      <c r="I19" t="s">
        <v>9</v>
      </c>
    </row>
    <row r="20" spans="1:9">
      <c r="A20" s="49"/>
      <c r="B20" s="26" t="s">
        <v>81</v>
      </c>
      <c r="C20" s="27" t="s">
        <v>68</v>
      </c>
      <c r="D20" s="28">
        <v>20258278</v>
      </c>
      <c r="E20" s="28"/>
      <c r="F20" s="28">
        <v>110.88</v>
      </c>
      <c r="G20" s="29">
        <f>F20*15/100</f>
        <v>16.631999999999998</v>
      </c>
      <c r="H20" s="30">
        <v>16.631999999999998</v>
      </c>
      <c r="I20" t="s">
        <v>13</v>
      </c>
    </row>
    <row r="21" spans="1:9" s="6" customFormat="1" ht="30">
      <c r="A21" s="51"/>
      <c r="B21" s="20" t="s">
        <v>14</v>
      </c>
      <c r="C21" s="31" t="s">
        <v>135</v>
      </c>
      <c r="D21" s="22">
        <v>422686</v>
      </c>
      <c r="E21" s="22"/>
      <c r="F21" s="22">
        <v>720</v>
      </c>
      <c r="G21" s="23">
        <f>((720*31)*27/1000)*0.6</f>
        <v>361.584</v>
      </c>
      <c r="H21" s="24">
        <v>361.584</v>
      </c>
      <c r="I21"/>
    </row>
    <row r="22" spans="1:9">
      <c r="A22" s="49"/>
      <c r="B22" s="26" t="s">
        <v>16</v>
      </c>
      <c r="C22" s="27" t="s">
        <v>58</v>
      </c>
      <c r="D22" s="28">
        <v>609388</v>
      </c>
      <c r="E22" s="28">
        <v>2045</v>
      </c>
      <c r="F22" s="28">
        <v>1500</v>
      </c>
      <c r="G22" s="29">
        <f>(1500*29*0.02)*0.6</f>
        <v>522</v>
      </c>
      <c r="H22" s="30">
        <v>522</v>
      </c>
      <c r="I22" t="s">
        <v>15</v>
      </c>
    </row>
    <row r="23" spans="1:9" s="6" customFormat="1">
      <c r="A23" s="51"/>
      <c r="B23" s="20" t="s">
        <v>17</v>
      </c>
      <c r="C23" s="21" t="s">
        <v>3</v>
      </c>
      <c r="D23" s="22">
        <v>20326524</v>
      </c>
      <c r="E23" s="22"/>
      <c r="F23" s="22">
        <v>726</v>
      </c>
      <c r="G23" s="23">
        <f>F23*6/100</f>
        <v>43.56</v>
      </c>
      <c r="H23" s="24">
        <v>43.56</v>
      </c>
      <c r="I23" s="6" t="s">
        <v>60</v>
      </c>
    </row>
    <row r="24" spans="1:9">
      <c r="A24" s="49"/>
      <c r="B24" s="20" t="s">
        <v>17</v>
      </c>
      <c r="C24" s="21" t="s">
        <v>3</v>
      </c>
      <c r="D24" s="22">
        <v>20326526</v>
      </c>
      <c r="E24" s="22"/>
      <c r="F24" s="22">
        <v>551</v>
      </c>
      <c r="G24" s="23">
        <f>F24*6/100</f>
        <v>33.06</v>
      </c>
      <c r="H24" s="24">
        <v>33.06</v>
      </c>
      <c r="I24" t="s">
        <v>18</v>
      </c>
    </row>
    <row r="25" spans="1:9">
      <c r="A25" s="49"/>
      <c r="B25" s="20" t="s">
        <v>17</v>
      </c>
      <c r="C25" s="21" t="s">
        <v>68</v>
      </c>
      <c r="D25" s="22">
        <v>20326522</v>
      </c>
      <c r="E25" s="22"/>
      <c r="F25" s="28">
        <v>110.88</v>
      </c>
      <c r="G25" s="23">
        <f>F25*15/100</f>
        <v>16.631999999999998</v>
      </c>
      <c r="H25" s="24">
        <v>16.631999999999998</v>
      </c>
      <c r="I25" t="s">
        <v>19</v>
      </c>
    </row>
    <row r="26" spans="1:9">
      <c r="A26" s="49"/>
      <c r="B26" s="20" t="s">
        <v>17</v>
      </c>
      <c r="C26" s="21" t="s">
        <v>5</v>
      </c>
      <c r="D26" s="22">
        <v>20326523</v>
      </c>
      <c r="E26" s="22"/>
      <c r="F26" s="28">
        <v>276</v>
      </c>
      <c r="G26" s="23">
        <f>F26*12/100</f>
        <v>33.119999999999997</v>
      </c>
      <c r="H26" s="24">
        <v>33.119999999999997</v>
      </c>
      <c r="I26" t="s">
        <v>82</v>
      </c>
    </row>
    <row r="27" spans="1:9">
      <c r="A27" s="49"/>
      <c r="B27" s="57" t="s">
        <v>20</v>
      </c>
      <c r="C27" s="58" t="s">
        <v>3</v>
      </c>
      <c r="D27" s="59">
        <v>20327718</v>
      </c>
      <c r="E27" s="59"/>
      <c r="F27" s="59">
        <v>1204</v>
      </c>
      <c r="G27" s="60">
        <f>(800*6/100)+(404*7/100)</f>
        <v>76.28</v>
      </c>
      <c r="H27" s="61">
        <v>76.28</v>
      </c>
      <c r="I27" t="s">
        <v>83</v>
      </c>
    </row>
    <row r="28" spans="1:9" ht="30">
      <c r="A28" s="63"/>
      <c r="B28" s="20" t="s">
        <v>0</v>
      </c>
      <c r="C28" s="22" t="s">
        <v>56</v>
      </c>
      <c r="D28" s="22" t="s">
        <v>11</v>
      </c>
      <c r="E28" s="22" t="s">
        <v>59</v>
      </c>
      <c r="F28" s="32" t="s">
        <v>80</v>
      </c>
      <c r="G28" s="23" t="s">
        <v>1</v>
      </c>
      <c r="H28" s="24" t="s">
        <v>98</v>
      </c>
      <c r="I28" t="s">
        <v>43</v>
      </c>
    </row>
    <row r="29" spans="1:9">
      <c r="A29" s="48" t="s">
        <v>77</v>
      </c>
      <c r="B29" s="20" t="s">
        <v>21</v>
      </c>
      <c r="C29" s="21" t="s">
        <v>112</v>
      </c>
      <c r="D29" s="22">
        <v>20281815</v>
      </c>
      <c r="E29" s="22"/>
      <c r="F29" s="22">
        <v>185</v>
      </c>
      <c r="G29" s="23">
        <f>(F29*12/100)*0.5</f>
        <v>11.1</v>
      </c>
      <c r="H29" s="24">
        <v>11.1</v>
      </c>
      <c r="I29" t="s">
        <v>22</v>
      </c>
    </row>
    <row r="30" spans="1:9">
      <c r="A30" s="49"/>
      <c r="B30" s="20" t="s">
        <v>23</v>
      </c>
      <c r="C30" s="21" t="s">
        <v>24</v>
      </c>
      <c r="D30" s="22">
        <v>61016131</v>
      </c>
      <c r="E30" s="22"/>
      <c r="F30" s="22">
        <v>145.08000000000001</v>
      </c>
      <c r="G30" s="23">
        <f>((F30/12)*3.5)*0.6</f>
        <v>25.389000000000003</v>
      </c>
      <c r="H30" s="24">
        <v>25.389000000000003</v>
      </c>
      <c r="I30" t="s">
        <v>69</v>
      </c>
    </row>
    <row r="31" spans="1:9" s="6" customFormat="1">
      <c r="A31" s="49"/>
      <c r="B31" s="26" t="s">
        <v>25</v>
      </c>
      <c r="C31" s="27" t="s">
        <v>57</v>
      </c>
      <c r="D31" s="28">
        <v>20326702</v>
      </c>
      <c r="E31" s="28"/>
      <c r="F31" s="28">
        <v>1795</v>
      </c>
      <c r="G31" s="29">
        <f>F31*12/100</f>
        <v>215.4</v>
      </c>
      <c r="H31" s="30">
        <v>215.4</v>
      </c>
      <c r="I31" s="6" t="s">
        <v>61</v>
      </c>
    </row>
    <row r="32" spans="1:9">
      <c r="A32" s="51"/>
      <c r="B32" s="20" t="s">
        <v>26</v>
      </c>
      <c r="C32" s="21" t="s">
        <v>8</v>
      </c>
      <c r="D32" s="22" t="s">
        <v>84</v>
      </c>
      <c r="E32" s="22"/>
      <c r="F32" s="22">
        <v>20000</v>
      </c>
      <c r="G32" s="23">
        <f>(F32*0.7/100)*0.6</f>
        <v>84</v>
      </c>
      <c r="H32" s="24">
        <v>84</v>
      </c>
      <c r="I32" t="s">
        <v>13</v>
      </c>
    </row>
    <row r="33" spans="1:9">
      <c r="A33" s="49"/>
      <c r="B33" s="20" t="s">
        <v>26</v>
      </c>
      <c r="C33" s="21" t="s">
        <v>8</v>
      </c>
      <c r="D33" s="22" t="s">
        <v>85</v>
      </c>
      <c r="E33" s="22"/>
      <c r="F33" s="22">
        <v>20000</v>
      </c>
      <c r="G33" s="23">
        <f>(F33*0.7/100)*0.6</f>
        <v>84</v>
      </c>
      <c r="H33" s="24">
        <v>84</v>
      </c>
      <c r="I33" t="s">
        <v>13</v>
      </c>
    </row>
    <row r="34" spans="1:9">
      <c r="A34" s="49"/>
      <c r="B34" s="20" t="s">
        <v>26</v>
      </c>
      <c r="C34" s="21" t="s">
        <v>8</v>
      </c>
      <c r="D34" s="22" t="s">
        <v>86</v>
      </c>
      <c r="E34" s="22"/>
      <c r="F34" s="22">
        <v>20000</v>
      </c>
      <c r="G34" s="23">
        <f>(F34*0.7/100)*0.6</f>
        <v>84</v>
      </c>
      <c r="H34" s="24">
        <v>84</v>
      </c>
      <c r="I34" t="s">
        <v>13</v>
      </c>
    </row>
    <row r="35" spans="1:9">
      <c r="A35" s="50"/>
      <c r="B35" s="20" t="s">
        <v>37</v>
      </c>
      <c r="C35" s="22" t="s">
        <v>3</v>
      </c>
      <c r="D35" s="22">
        <v>20326604</v>
      </c>
      <c r="E35" s="22"/>
      <c r="F35" s="22">
        <v>1878</v>
      </c>
      <c r="G35" s="23">
        <f>(800*6/100)+(800*7/100)+(278*8/100)</f>
        <v>126.24</v>
      </c>
      <c r="H35" s="24">
        <v>126.24</v>
      </c>
      <c r="I35" t="s">
        <v>47</v>
      </c>
    </row>
    <row r="36" spans="1:9">
      <c r="A36" s="48" t="s">
        <v>79</v>
      </c>
      <c r="B36" s="20" t="s">
        <v>38</v>
      </c>
      <c r="C36" s="22" t="s">
        <v>3</v>
      </c>
      <c r="D36" s="22">
        <v>20330127</v>
      </c>
      <c r="E36" s="22"/>
      <c r="F36" s="22">
        <v>719.83</v>
      </c>
      <c r="G36" s="23">
        <f>F36*6/100</f>
        <v>43.189800000000005</v>
      </c>
      <c r="H36" s="24">
        <v>43.189800000000005</v>
      </c>
      <c r="I36" t="s">
        <v>55</v>
      </c>
    </row>
    <row r="37" spans="1:9">
      <c r="A37" s="49"/>
      <c r="B37" s="20" t="s">
        <v>38</v>
      </c>
      <c r="C37" s="21" t="s">
        <v>8</v>
      </c>
      <c r="D37" s="22" t="s">
        <v>71</v>
      </c>
      <c r="E37" s="22"/>
      <c r="F37" s="22">
        <v>42000</v>
      </c>
      <c r="G37" s="23">
        <f>(F37*0.7/100)*0.6</f>
        <v>176.39999999999995</v>
      </c>
      <c r="H37" s="24">
        <v>176.39999999999995</v>
      </c>
      <c r="I37" t="s">
        <v>52</v>
      </c>
    </row>
    <row r="38" spans="1:9" s="6" customFormat="1">
      <c r="A38" s="49"/>
      <c r="B38" s="20" t="s">
        <v>113</v>
      </c>
      <c r="C38" s="27" t="s">
        <v>75</v>
      </c>
      <c r="D38" s="28">
        <v>441384</v>
      </c>
      <c r="E38" s="28"/>
      <c r="F38" s="28">
        <v>25000</v>
      </c>
      <c r="G38" s="29">
        <f>(F38*7.5/100)*60/100</f>
        <v>1125</v>
      </c>
      <c r="H38" s="30">
        <v>1125</v>
      </c>
      <c r="I38" s="6" t="s">
        <v>72</v>
      </c>
    </row>
    <row r="39" spans="1:9">
      <c r="A39" s="51"/>
      <c r="B39" s="20" t="s">
        <v>114</v>
      </c>
      <c r="C39" s="21" t="s">
        <v>24</v>
      </c>
      <c r="D39" s="22">
        <v>61000963</v>
      </c>
      <c r="E39" s="22"/>
      <c r="F39" s="22">
        <v>747.36</v>
      </c>
      <c r="G39" s="23">
        <f>((F39/12)*3.5)*0.6</f>
        <v>130.78800000000001</v>
      </c>
      <c r="H39" s="24">
        <v>130.84049999999999</v>
      </c>
      <c r="I39" s="5" t="s">
        <v>51</v>
      </c>
    </row>
    <row r="40" spans="1:9">
      <c r="A40" s="49"/>
      <c r="B40" s="20" t="s">
        <v>39</v>
      </c>
      <c r="C40" s="33" t="s">
        <v>73</v>
      </c>
      <c r="D40" s="22">
        <v>20330635</v>
      </c>
      <c r="E40" s="22"/>
      <c r="F40" s="22">
        <v>253.63</v>
      </c>
      <c r="G40" s="23">
        <f>F40*12/100</f>
        <v>30.435600000000001</v>
      </c>
      <c r="H40" s="24">
        <v>30.435600000000001</v>
      </c>
      <c r="I40" t="s">
        <v>136</v>
      </c>
    </row>
    <row r="41" spans="1:9">
      <c r="A41" s="49"/>
      <c r="B41" s="20" t="s">
        <v>40</v>
      </c>
      <c r="C41" s="27" t="s">
        <v>5</v>
      </c>
      <c r="D41" s="22">
        <v>20330186</v>
      </c>
      <c r="E41" s="22"/>
      <c r="F41" s="22">
        <v>305.47000000000003</v>
      </c>
      <c r="G41" s="23">
        <f>F41*12/100</f>
        <v>36.656400000000005</v>
      </c>
      <c r="H41" s="24">
        <v>49.96200000000001</v>
      </c>
      <c r="I41" s="6" t="s">
        <v>74</v>
      </c>
    </row>
    <row r="42" spans="1:9">
      <c r="A42" s="49"/>
      <c r="B42" s="20" t="s">
        <v>40</v>
      </c>
      <c r="C42" s="27" t="s">
        <v>68</v>
      </c>
      <c r="D42" s="22">
        <v>20330187</v>
      </c>
      <c r="E42" s="22"/>
      <c r="F42" s="22">
        <v>110.88</v>
      </c>
      <c r="G42" s="23">
        <f>F42*15/100</f>
        <v>16.631999999999998</v>
      </c>
      <c r="H42" s="24">
        <v>16.631999999999998</v>
      </c>
      <c r="I42" t="s">
        <v>82</v>
      </c>
    </row>
    <row r="43" spans="1:9" s="3" customFormat="1">
      <c r="A43" s="49"/>
      <c r="B43" s="39" t="s">
        <v>41</v>
      </c>
      <c r="C43" s="33" t="s">
        <v>3</v>
      </c>
      <c r="D43" s="25">
        <v>20330386</v>
      </c>
      <c r="E43" s="25"/>
      <c r="F43" s="25">
        <v>285</v>
      </c>
      <c r="G43" s="40">
        <f>F43*6/100</f>
        <v>17.100000000000001</v>
      </c>
      <c r="H43" s="41">
        <v>17.100000000000001</v>
      </c>
      <c r="I43" s="3" t="s">
        <v>53</v>
      </c>
    </row>
    <row r="44" spans="1:9" s="6" customFormat="1">
      <c r="A44" s="52"/>
      <c r="B44" s="26" t="s">
        <v>66</v>
      </c>
      <c r="C44" s="27" t="s">
        <v>62</v>
      </c>
      <c r="D44" s="28">
        <v>441356</v>
      </c>
      <c r="E44" s="28">
        <v>2039</v>
      </c>
      <c r="F44" s="28">
        <v>720</v>
      </c>
      <c r="G44" s="29">
        <f>(720*23*0.02)*0.6</f>
        <v>198.72</v>
      </c>
      <c r="H44" s="30">
        <v>198.72</v>
      </c>
      <c r="I44" s="6" t="s">
        <v>67</v>
      </c>
    </row>
    <row r="45" spans="1:9">
      <c r="A45" s="51"/>
      <c r="B45" s="20" t="s">
        <v>42</v>
      </c>
      <c r="C45" s="21" t="s">
        <v>3</v>
      </c>
      <c r="D45" s="22">
        <v>20332102</v>
      </c>
      <c r="E45" s="22"/>
      <c r="F45" s="22">
        <v>1055</v>
      </c>
      <c r="G45" s="23">
        <f>(800*6/100)+(255*7/100)</f>
        <v>65.849999999999994</v>
      </c>
      <c r="H45" s="24">
        <v>65.849999999999994</v>
      </c>
      <c r="I45" s="5" t="s">
        <v>54</v>
      </c>
    </row>
    <row r="46" spans="1:9">
      <c r="A46" s="49"/>
      <c r="B46" s="20" t="s">
        <v>42</v>
      </c>
      <c r="C46" s="21" t="s">
        <v>3</v>
      </c>
      <c r="D46" s="22">
        <v>20332158</v>
      </c>
      <c r="E46" s="22"/>
      <c r="F46" s="22">
        <v>1055</v>
      </c>
      <c r="G46" s="23">
        <f>(800*6/100)+(255*7/100)</f>
        <v>65.849999999999994</v>
      </c>
      <c r="H46" s="24">
        <v>65.849999999999994</v>
      </c>
      <c r="I46" s="5" t="s">
        <v>54</v>
      </c>
    </row>
    <row r="47" spans="1:9" s="4" customFormat="1">
      <c r="A47" s="53" t="s">
        <v>78</v>
      </c>
      <c r="B47" s="39" t="s">
        <v>27</v>
      </c>
      <c r="C47" s="33" t="s">
        <v>3</v>
      </c>
      <c r="D47" s="25">
        <v>20335402</v>
      </c>
      <c r="E47" s="25"/>
      <c r="F47" s="25">
        <v>2206.29</v>
      </c>
      <c r="G47" s="40">
        <f>(800*6/100)+(800*7/100)+(606.29*8/100)</f>
        <v>152.50319999999999</v>
      </c>
      <c r="H47" s="67">
        <v>152.47999999999999</v>
      </c>
      <c r="I47" s="4" t="s">
        <v>173</v>
      </c>
    </row>
    <row r="48" spans="1:9" s="4" customFormat="1">
      <c r="A48" s="56"/>
      <c r="B48" s="39" t="s">
        <v>27</v>
      </c>
      <c r="C48" s="21" t="s">
        <v>5</v>
      </c>
      <c r="D48" s="25">
        <v>20335405</v>
      </c>
      <c r="E48" s="25"/>
      <c r="F48" s="25">
        <v>219.35</v>
      </c>
      <c r="G48" s="40">
        <f>F48*12/100</f>
        <v>26.321999999999999</v>
      </c>
      <c r="H48" s="41">
        <v>26.321999999999999</v>
      </c>
      <c r="I48" t="s">
        <v>6</v>
      </c>
    </row>
    <row r="49" spans="1:10" s="4" customFormat="1">
      <c r="A49" s="54"/>
      <c r="B49" s="39" t="s">
        <v>27</v>
      </c>
      <c r="C49" s="27" t="s">
        <v>68</v>
      </c>
      <c r="D49" s="25">
        <v>20335406</v>
      </c>
      <c r="E49" s="25"/>
      <c r="F49" s="25">
        <v>110.88</v>
      </c>
      <c r="G49" s="40">
        <f>F49*15/100</f>
        <v>16.631999999999998</v>
      </c>
      <c r="H49" s="41">
        <v>16.631999999999998</v>
      </c>
      <c r="I49" t="s">
        <v>82</v>
      </c>
    </row>
    <row r="50" spans="1:10" s="4" customFormat="1">
      <c r="A50" s="54"/>
      <c r="B50" s="39" t="s">
        <v>27</v>
      </c>
      <c r="C50" s="27" t="s">
        <v>68</v>
      </c>
      <c r="D50" s="25">
        <v>20335407</v>
      </c>
      <c r="E50" s="25"/>
      <c r="F50" s="25">
        <v>172.34</v>
      </c>
      <c r="G50" s="40">
        <f>F50*15/100</f>
        <v>25.850999999999999</v>
      </c>
      <c r="H50" s="41">
        <v>25.850999999999999</v>
      </c>
      <c r="I50" t="s">
        <v>88</v>
      </c>
    </row>
    <row r="51" spans="1:10">
      <c r="A51" s="54"/>
      <c r="B51" s="20" t="s">
        <v>115</v>
      </c>
      <c r="C51" s="27" t="s">
        <v>3</v>
      </c>
      <c r="D51" s="22">
        <v>20332459</v>
      </c>
      <c r="E51" s="22"/>
      <c r="F51" s="22">
        <v>939.84</v>
      </c>
      <c r="G51" s="23">
        <f>(800*6/100)+(139.84*7/100)</f>
        <v>57.788800000000002</v>
      </c>
      <c r="H51" s="24">
        <v>60.53</v>
      </c>
      <c r="I51" t="s">
        <v>89</v>
      </c>
    </row>
    <row r="52" spans="1:10">
      <c r="A52" s="49"/>
      <c r="B52" s="20"/>
      <c r="C52" s="22"/>
      <c r="D52" s="22"/>
      <c r="E52" s="22"/>
      <c r="F52" s="22"/>
      <c r="G52" s="23"/>
      <c r="H52" s="24"/>
      <c r="I52" t="s">
        <v>44</v>
      </c>
    </row>
    <row r="53" spans="1:10" s="6" customFormat="1">
      <c r="A53" s="49"/>
      <c r="B53" s="26" t="s">
        <v>28</v>
      </c>
      <c r="C53" s="27" t="s">
        <v>62</v>
      </c>
      <c r="D53" s="28">
        <v>441443</v>
      </c>
      <c r="E53" s="28">
        <v>2026</v>
      </c>
      <c r="F53" s="28">
        <v>2600</v>
      </c>
      <c r="G53" s="29">
        <f>(2600*10*0.02)*0.6</f>
        <v>312</v>
      </c>
      <c r="H53" s="30">
        <v>312</v>
      </c>
      <c r="I53" s="6" t="s">
        <v>63</v>
      </c>
    </row>
    <row r="54" spans="1:10" s="6" customFormat="1">
      <c r="A54" s="51"/>
      <c r="B54" s="26" t="s">
        <v>28</v>
      </c>
      <c r="C54" s="21" t="s">
        <v>5</v>
      </c>
      <c r="D54" s="28">
        <v>20332892</v>
      </c>
      <c r="E54" s="28"/>
      <c r="F54" s="28">
        <v>845.59</v>
      </c>
      <c r="G54" s="29">
        <f>F54*12/100</f>
        <v>101.4708</v>
      </c>
      <c r="H54" s="30">
        <v>101.4708</v>
      </c>
      <c r="I54" t="s">
        <v>90</v>
      </c>
    </row>
    <row r="55" spans="1:10">
      <c r="A55" s="51"/>
      <c r="B55" s="20" t="s">
        <v>70</v>
      </c>
      <c r="C55" s="22" t="s">
        <v>3</v>
      </c>
      <c r="D55" s="22">
        <v>20057959</v>
      </c>
      <c r="E55" s="22"/>
      <c r="F55" s="22">
        <v>1729</v>
      </c>
      <c r="G55" s="23">
        <f>(800*6/100)+(800*7/100)+(129*8/100)</f>
        <v>114.32</v>
      </c>
      <c r="H55" s="24">
        <v>114.32</v>
      </c>
      <c r="I55" t="s">
        <v>45</v>
      </c>
    </row>
    <row r="56" spans="1:10">
      <c r="A56" s="49"/>
      <c r="B56" s="20" t="s">
        <v>70</v>
      </c>
      <c r="C56" s="27" t="s">
        <v>95</v>
      </c>
      <c r="D56" s="22">
        <v>20330635</v>
      </c>
      <c r="E56" s="22"/>
      <c r="F56" s="22">
        <v>483</v>
      </c>
      <c r="G56" s="23">
        <f>F56*6/100*0.5</f>
        <v>14.49</v>
      </c>
      <c r="H56" s="24">
        <v>14.49</v>
      </c>
      <c r="I56" t="s">
        <v>94</v>
      </c>
    </row>
    <row r="57" spans="1:10" ht="15.75" thickBot="1">
      <c r="A57" s="49"/>
      <c r="B57" s="57" t="s">
        <v>29</v>
      </c>
      <c r="C57" s="58" t="s">
        <v>24</v>
      </c>
      <c r="D57" s="59">
        <v>1016707</v>
      </c>
      <c r="E57" s="59"/>
      <c r="F57" s="59">
        <f>137.83+291.73+928.99+905.73</f>
        <v>2264.2800000000002</v>
      </c>
      <c r="G57" s="60">
        <f>((F57/12)*3.5)*0.6</f>
        <v>396.24900000000002</v>
      </c>
      <c r="H57" s="61">
        <v>411.94999999999993</v>
      </c>
      <c r="I57" t="s">
        <v>91</v>
      </c>
    </row>
    <row r="58" spans="1:10" ht="30">
      <c r="A58" s="14"/>
      <c r="B58" s="15" t="s">
        <v>0</v>
      </c>
      <c r="C58" s="16" t="s">
        <v>56</v>
      </c>
      <c r="D58" s="16" t="s">
        <v>11</v>
      </c>
      <c r="E58" s="16" t="s">
        <v>59</v>
      </c>
      <c r="F58" s="17" t="s">
        <v>80</v>
      </c>
      <c r="G58" s="18" t="s">
        <v>1</v>
      </c>
      <c r="H58" s="18" t="s">
        <v>1</v>
      </c>
      <c r="I58" t="s">
        <v>82</v>
      </c>
    </row>
    <row r="59" spans="1:10" s="4" customFormat="1" ht="30">
      <c r="A59" s="53" t="s">
        <v>78</v>
      </c>
      <c r="B59" s="20" t="s">
        <v>30</v>
      </c>
      <c r="C59" s="42" t="s">
        <v>65</v>
      </c>
      <c r="D59" s="22">
        <v>10077930</v>
      </c>
      <c r="E59" s="22"/>
      <c r="F59" s="22">
        <v>110.88</v>
      </c>
      <c r="G59" s="23">
        <f>F59*15/100</f>
        <v>16.631999999999998</v>
      </c>
      <c r="H59" s="24">
        <v>16.631999999999998</v>
      </c>
      <c r="I59" s="4" t="s">
        <v>64</v>
      </c>
    </row>
    <row r="60" spans="1:10" s="3" customFormat="1" ht="30">
      <c r="A60" s="55"/>
      <c r="B60" s="39" t="s">
        <v>30</v>
      </c>
      <c r="C60" s="43" t="s">
        <v>92</v>
      </c>
      <c r="D60" s="25">
        <v>441526</v>
      </c>
      <c r="E60" s="25">
        <v>2031</v>
      </c>
      <c r="F60" s="25">
        <v>720</v>
      </c>
      <c r="G60" s="40">
        <f>(F60*15*0.027)*0.6</f>
        <v>174.96</v>
      </c>
      <c r="H60" s="41">
        <v>174.96</v>
      </c>
    </row>
    <row r="61" spans="1:10" s="4" customFormat="1">
      <c r="A61" s="54"/>
      <c r="B61" s="34"/>
      <c r="C61" s="35"/>
      <c r="D61" s="36"/>
      <c r="E61" s="36"/>
      <c r="F61" s="36"/>
      <c r="G61" s="37"/>
      <c r="H61" s="38"/>
      <c r="I61" s="5" t="s">
        <v>48</v>
      </c>
      <c r="J61" s="3"/>
    </row>
    <row r="62" spans="1:10">
      <c r="A62" s="52"/>
      <c r="B62" s="39" t="s">
        <v>31</v>
      </c>
      <c r="C62" s="21" t="s">
        <v>24</v>
      </c>
      <c r="D62" s="22">
        <v>61016692</v>
      </c>
      <c r="E62" s="25"/>
      <c r="F62" s="25">
        <v>565.55999999999995</v>
      </c>
      <c r="G62" s="40">
        <f>((F62/12)*3.5)*0.6</f>
        <v>98.972999999999985</v>
      </c>
      <c r="H62" s="41">
        <v>98.972999999999985</v>
      </c>
      <c r="I62" s="5" t="s">
        <v>49</v>
      </c>
    </row>
    <row r="63" spans="1:10">
      <c r="A63" s="54"/>
      <c r="B63" s="20" t="s">
        <v>32</v>
      </c>
      <c r="C63" s="21" t="s">
        <v>24</v>
      </c>
      <c r="D63" s="22">
        <v>61106432</v>
      </c>
      <c r="E63" s="22"/>
      <c r="F63" s="22">
        <v>666</v>
      </c>
      <c r="G63" s="23">
        <f>((F63/12)*3.5)*0.6</f>
        <v>116.55</v>
      </c>
      <c r="H63" s="24">
        <v>116.55</v>
      </c>
      <c r="I63" t="s">
        <v>93</v>
      </c>
    </row>
    <row r="64" spans="1:10" s="4" customFormat="1">
      <c r="A64" s="49"/>
      <c r="B64" s="20"/>
      <c r="C64" s="21"/>
      <c r="D64" s="22"/>
      <c r="E64" s="22"/>
      <c r="F64" s="22"/>
      <c r="G64" s="23"/>
      <c r="H64" s="24"/>
      <c r="I64" s="4" t="s">
        <v>50</v>
      </c>
    </row>
    <row r="65" spans="1:10" s="6" customFormat="1">
      <c r="A65" s="49"/>
      <c r="B65" s="39" t="s">
        <v>33</v>
      </c>
      <c r="C65" s="33" t="s">
        <v>24</v>
      </c>
      <c r="D65" s="33">
        <v>61016793</v>
      </c>
      <c r="E65" s="25"/>
      <c r="F65" s="25">
        <v>3032</v>
      </c>
      <c r="G65" s="40">
        <f>((F65/12)*3.5)*0.6</f>
        <v>530.59999999999991</v>
      </c>
      <c r="H65" s="41">
        <v>530.59999999999991</v>
      </c>
      <c r="I65" t="s">
        <v>97</v>
      </c>
    </row>
    <row r="66" spans="1:10" s="3" customFormat="1">
      <c r="A66" s="54"/>
      <c r="B66" s="26" t="s">
        <v>34</v>
      </c>
      <c r="C66" s="28" t="s">
        <v>96</v>
      </c>
      <c r="D66" s="28">
        <v>20333872</v>
      </c>
      <c r="E66" s="28"/>
      <c r="F66" s="28">
        <v>151.30000000000001</v>
      </c>
      <c r="G66" s="29">
        <f>F66*8/100</f>
        <v>12.104000000000001</v>
      </c>
      <c r="H66" s="30">
        <v>19.2</v>
      </c>
      <c r="I66" s="3" t="s">
        <v>46</v>
      </c>
    </row>
    <row r="67" spans="1:10">
      <c r="A67" s="51"/>
      <c r="B67" s="39" t="s">
        <v>35</v>
      </c>
      <c r="C67" s="25" t="s">
        <v>3</v>
      </c>
      <c r="D67" s="25">
        <v>20334620</v>
      </c>
      <c r="E67" s="25"/>
      <c r="F67" s="25">
        <v>1470.9</v>
      </c>
      <c r="G67" s="40">
        <f>(800*6/100)+(670.9*7/100)</f>
        <v>94.962999999999994</v>
      </c>
      <c r="H67" s="41">
        <v>94.962999999999994</v>
      </c>
      <c r="I67" s="5" t="s">
        <v>116</v>
      </c>
      <c r="J67" s="3"/>
    </row>
    <row r="68" spans="1:10">
      <c r="A68" s="52"/>
      <c r="B68" s="20" t="s">
        <v>36</v>
      </c>
      <c r="C68" s="22" t="s">
        <v>3</v>
      </c>
      <c r="D68" s="22">
        <v>20334005</v>
      </c>
      <c r="E68" s="22"/>
      <c r="F68" s="22">
        <v>1120</v>
      </c>
      <c r="G68" s="23">
        <f>(800*6/100)+(320*7/100)</f>
        <v>70.400000000000006</v>
      </c>
      <c r="H68" s="24">
        <v>70.400000000000006</v>
      </c>
      <c r="I68" s="5"/>
    </row>
    <row r="69" spans="1:10" ht="15.75" thickBot="1">
      <c r="A69" s="49"/>
      <c r="B69" s="57"/>
      <c r="C69" s="59"/>
      <c r="D69" s="59"/>
      <c r="E69" s="59"/>
      <c r="F69" s="59"/>
      <c r="G69" s="60"/>
      <c r="H69" s="47">
        <f>SUM(H3:H68)</f>
        <v>12326.750699999999</v>
      </c>
      <c r="I69" s="5"/>
    </row>
    <row r="70" spans="1:10" ht="15.75" thickBot="1">
      <c r="A70" s="62"/>
      <c r="B70" s="44" t="s">
        <v>117</v>
      </c>
      <c r="C70" s="45"/>
      <c r="D70" s="45"/>
      <c r="E70" s="45"/>
      <c r="F70" s="45"/>
      <c r="G70" s="46"/>
      <c r="H70" s="2">
        <f>H69/3</f>
        <v>4108.9168999999993</v>
      </c>
      <c r="I70" s="5"/>
    </row>
  </sheetData>
  <mergeCells count="1">
    <mergeCell ref="B1:I1"/>
  </mergeCells>
  <phoneticPr fontId="1" type="noConversion"/>
  <printOptions gridLines="1"/>
  <pageMargins left="0.23622047244094491" right="0.23622047244094491" top="0.74803149606299213" bottom="0.74803149606299213" header="0.31496062992125984" footer="0.31496062992125984"/>
  <pageSetup paperSize="9" orientation="landscape" r:id="rId1"/>
  <headerFooter>
    <oddFooter xml:space="preserve">&amp;L&amp;8&amp;Z&amp;F&amp;C&amp;P&amp;RModfié le &amp;D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J65"/>
  <sheetViews>
    <sheetView topLeftCell="A37" zoomScale="150" zoomScaleNormal="150" workbookViewId="0">
      <selection activeCell="G31" sqref="G31"/>
    </sheetView>
  </sheetViews>
  <sheetFormatPr defaultColWidth="11.42578125" defaultRowHeight="15"/>
  <cols>
    <col min="1" max="1" width="16" style="86" customWidth="1"/>
    <col min="2" max="2" width="25.5703125" style="7" customWidth="1"/>
    <col min="3" max="3" width="17.7109375" style="1" customWidth="1"/>
    <col min="4" max="4" width="24.7109375" style="1" customWidth="1"/>
    <col min="5" max="5" width="10.5703125" style="1" customWidth="1"/>
    <col min="6" max="6" width="13.28515625" style="2" customWidth="1"/>
    <col min="7" max="8" width="12.42578125" style="2" customWidth="1"/>
    <col min="9" max="9" width="34.28515625" hidden="1" customWidth="1"/>
    <col min="10" max="10" width="11.5703125" customWidth="1"/>
  </cols>
  <sheetData>
    <row r="1" spans="1:9" ht="30" customHeight="1">
      <c r="B1" s="64"/>
      <c r="C1" s="65"/>
      <c r="D1" s="65"/>
      <c r="E1" s="65"/>
      <c r="F1" s="66"/>
      <c r="G1" s="66"/>
      <c r="H1" s="66"/>
      <c r="I1" s="65"/>
    </row>
    <row r="2" spans="1:9" s="10" customFormat="1" ht="18.75" customHeight="1">
      <c r="A2" s="86"/>
      <c r="B2" s="10" t="s">
        <v>238</v>
      </c>
      <c r="H2" s="10">
        <f>3*120</f>
        <v>360</v>
      </c>
    </row>
    <row r="3" spans="1:9" s="10" customFormat="1" ht="18.75" customHeight="1">
      <c r="A3" s="86"/>
    </row>
    <row r="4" spans="1:9">
      <c r="B4" s="7" t="s">
        <v>197</v>
      </c>
      <c r="C4" s="9"/>
      <c r="D4" s="9" t="s">
        <v>198</v>
      </c>
      <c r="E4" s="9" t="s">
        <v>216</v>
      </c>
      <c r="F4" s="10"/>
      <c r="G4" s="10"/>
      <c r="H4" s="10">
        <f>7*80</f>
        <v>560</v>
      </c>
      <c r="I4" s="9"/>
    </row>
    <row r="5" spans="1:9">
      <c r="C5" s="9"/>
      <c r="D5" s="9"/>
      <c r="E5" s="9"/>
      <c r="F5" s="10"/>
      <c r="G5" s="10"/>
      <c r="H5" s="10"/>
      <c r="I5" s="9"/>
    </row>
    <row r="6" spans="1:9">
      <c r="B6" s="7" t="s">
        <v>76</v>
      </c>
      <c r="C6" s="9" t="s">
        <v>119</v>
      </c>
      <c r="D6" s="9"/>
      <c r="E6" s="9"/>
      <c r="F6" s="10">
        <v>4426</v>
      </c>
      <c r="G6" s="10"/>
      <c r="H6" s="10">
        <f>F6*0.35</f>
        <v>1549.1</v>
      </c>
      <c r="I6" s="9"/>
    </row>
    <row r="7" spans="1:9">
      <c r="B7" s="7" t="s">
        <v>76</v>
      </c>
      <c r="C7" s="9" t="s">
        <v>172</v>
      </c>
      <c r="D7" s="9"/>
      <c r="E7" s="9"/>
      <c r="F7" s="10">
        <v>4033</v>
      </c>
      <c r="G7" s="10"/>
      <c r="H7" s="10">
        <f>F7*0.35</f>
        <v>1411.55</v>
      </c>
      <c r="I7" s="9"/>
    </row>
    <row r="8" spans="1:9">
      <c r="B8" s="7" t="s">
        <v>76</v>
      </c>
      <c r="C8" s="9" t="s">
        <v>174</v>
      </c>
      <c r="D8" s="9"/>
      <c r="E8" s="9"/>
      <c r="F8" s="10">
        <v>4017</v>
      </c>
      <c r="G8" s="10"/>
      <c r="H8" s="10">
        <f>F8*0.35</f>
        <v>1405.9499999999998</v>
      </c>
      <c r="I8" s="9"/>
    </row>
    <row r="9" spans="1:9">
      <c r="C9" s="9"/>
      <c r="D9" s="9"/>
      <c r="E9" s="9"/>
      <c r="F9" s="10"/>
      <c r="G9" s="10"/>
      <c r="H9" s="10"/>
      <c r="I9" s="9"/>
    </row>
    <row r="10" spans="1:9">
      <c r="B10" s="7" t="s">
        <v>234</v>
      </c>
      <c r="C10" s="9"/>
      <c r="D10" s="9"/>
      <c r="E10" s="9"/>
      <c r="F10" s="10"/>
      <c r="G10" s="10"/>
      <c r="H10" s="125">
        <f>SUM(H2:H8)</f>
        <v>5286.5999999999995</v>
      </c>
      <c r="I10" s="9"/>
    </row>
    <row r="11" spans="1:9" ht="15.75" thickBot="1">
      <c r="I11" s="11"/>
    </row>
    <row r="12" spans="1:9" ht="30">
      <c r="A12" s="87"/>
      <c r="B12" s="78" t="s">
        <v>0</v>
      </c>
      <c r="C12" s="16" t="s">
        <v>56</v>
      </c>
      <c r="D12" s="16" t="s">
        <v>11</v>
      </c>
      <c r="E12" s="16" t="s">
        <v>59</v>
      </c>
      <c r="F12" s="106" t="s">
        <v>80</v>
      </c>
      <c r="G12" s="98" t="s">
        <v>1</v>
      </c>
      <c r="H12" s="19" t="s">
        <v>98</v>
      </c>
    </row>
    <row r="13" spans="1:9">
      <c r="A13" s="88" t="s">
        <v>119</v>
      </c>
      <c r="B13" s="79" t="s">
        <v>27</v>
      </c>
      <c r="C13" s="21" t="s">
        <v>3</v>
      </c>
      <c r="D13" s="22">
        <v>20338273</v>
      </c>
      <c r="E13" s="22"/>
      <c r="F13" s="24">
        <v>2450.92</v>
      </c>
      <c r="G13" s="99">
        <f>(800*6/100)+(800*7/100)+(850.92*8/100)</f>
        <v>172.0736</v>
      </c>
      <c r="H13" s="110">
        <v>172.0736</v>
      </c>
      <c r="I13" t="s">
        <v>167</v>
      </c>
    </row>
    <row r="14" spans="1:9">
      <c r="A14" s="88"/>
      <c r="B14" s="79" t="s">
        <v>120</v>
      </c>
      <c r="C14" s="21" t="s">
        <v>57</v>
      </c>
      <c r="D14" s="22">
        <v>20336097</v>
      </c>
      <c r="E14" s="22"/>
      <c r="F14" s="24">
        <v>473.33</v>
      </c>
      <c r="G14" s="99">
        <f>F14*0.12</f>
        <v>56.799599999999998</v>
      </c>
      <c r="H14" s="24">
        <v>56.799599999999998</v>
      </c>
      <c r="I14" t="s">
        <v>169</v>
      </c>
    </row>
    <row r="15" spans="1:9">
      <c r="A15" s="88"/>
      <c r="B15" s="79" t="s">
        <v>121</v>
      </c>
      <c r="C15" s="21" t="s">
        <v>5</v>
      </c>
      <c r="D15" s="22">
        <v>20336579</v>
      </c>
      <c r="E15" s="22"/>
      <c r="F15" s="24">
        <v>566.24</v>
      </c>
      <c r="G15" s="99">
        <f>F15*0.12</f>
        <v>67.948800000000006</v>
      </c>
      <c r="H15" s="24">
        <v>67.948800000000006</v>
      </c>
      <c r="I15" t="s">
        <v>168</v>
      </c>
    </row>
    <row r="16" spans="1:9">
      <c r="A16" s="88"/>
      <c r="B16" s="79" t="s">
        <v>121</v>
      </c>
      <c r="C16" s="21" t="s">
        <v>3</v>
      </c>
      <c r="D16" s="22">
        <v>20336583</v>
      </c>
      <c r="E16" s="22"/>
      <c r="F16" s="24">
        <v>867.13</v>
      </c>
      <c r="G16" s="99">
        <f>(800*0.06)+(67.13*0.07)</f>
        <v>52.699100000000001</v>
      </c>
      <c r="H16" s="24">
        <v>52.699100000000001</v>
      </c>
      <c r="I16" t="s">
        <v>155</v>
      </c>
    </row>
    <row r="17" spans="1:9">
      <c r="A17" s="88"/>
      <c r="B17" s="79" t="s">
        <v>122</v>
      </c>
      <c r="C17" s="27" t="s">
        <v>68</v>
      </c>
      <c r="D17" s="22">
        <v>10726234</v>
      </c>
      <c r="E17" s="22"/>
      <c r="F17" s="24">
        <v>110</v>
      </c>
      <c r="G17" s="99">
        <f>F17*0.15</f>
        <v>16.5</v>
      </c>
      <c r="H17" s="24">
        <v>16.5</v>
      </c>
      <c r="I17" t="s">
        <v>163</v>
      </c>
    </row>
    <row r="18" spans="1:9" s="70" customFormat="1" ht="30">
      <c r="A18" s="89"/>
      <c r="B18" s="80" t="s">
        <v>153</v>
      </c>
      <c r="C18" s="22" t="s">
        <v>57</v>
      </c>
      <c r="D18" s="22">
        <v>20339115</v>
      </c>
      <c r="E18" s="22"/>
      <c r="F18" s="24">
        <v>1004.23</v>
      </c>
      <c r="G18" s="100">
        <f>F18*0.12</f>
        <v>120.5076</v>
      </c>
      <c r="H18" s="24">
        <v>120.5076</v>
      </c>
      <c r="I18" s="70" t="s">
        <v>154</v>
      </c>
    </row>
    <row r="19" spans="1:9">
      <c r="A19" s="88"/>
      <c r="B19" s="79" t="s">
        <v>124</v>
      </c>
      <c r="C19" s="21" t="s">
        <v>3</v>
      </c>
      <c r="D19" s="25">
        <v>20336800</v>
      </c>
      <c r="E19" s="22"/>
      <c r="F19" s="24">
        <v>932.5</v>
      </c>
      <c r="G19" s="99">
        <f>(800*0.06)+(132.5*0.07)</f>
        <v>57.274999999999999</v>
      </c>
      <c r="H19" s="24">
        <v>57.274999999999999</v>
      </c>
      <c r="I19" t="s">
        <v>156</v>
      </c>
    </row>
    <row r="20" spans="1:9">
      <c r="A20" s="88"/>
      <c r="B20" s="79" t="s">
        <v>123</v>
      </c>
      <c r="C20" s="21" t="s">
        <v>5</v>
      </c>
      <c r="D20" s="28">
        <v>20336946</v>
      </c>
      <c r="E20" s="28"/>
      <c r="F20" s="30">
        <v>817.13</v>
      </c>
      <c r="G20" s="101">
        <f>F20*0.12</f>
        <v>98.055599999999998</v>
      </c>
      <c r="H20" s="30">
        <v>98.055599999999998</v>
      </c>
      <c r="I20" t="s">
        <v>170</v>
      </c>
    </row>
    <row r="21" spans="1:9" s="6" customFormat="1">
      <c r="A21" s="88"/>
      <c r="B21" s="79" t="s">
        <v>123</v>
      </c>
      <c r="C21" s="31" t="s">
        <v>3</v>
      </c>
      <c r="D21" s="22">
        <v>20336953</v>
      </c>
      <c r="E21" s="22"/>
      <c r="F21" s="24">
        <v>1035.5</v>
      </c>
      <c r="G21" s="99">
        <f>(800*0.06)+(235.5*0.07)</f>
        <v>64.484999999999999</v>
      </c>
      <c r="H21" s="24">
        <v>64.484999999999999</v>
      </c>
      <c r="I21" t="s">
        <v>157</v>
      </c>
    </row>
    <row r="22" spans="1:9">
      <c r="A22" s="88"/>
      <c r="B22" s="79" t="s">
        <v>127</v>
      </c>
      <c r="C22" s="21" t="s">
        <v>152</v>
      </c>
      <c r="D22" s="28">
        <v>20339275</v>
      </c>
      <c r="E22" s="28"/>
      <c r="F22" s="30">
        <v>258.83</v>
      </c>
      <c r="G22" s="84">
        <f>(258.83*0.06)</f>
        <v>15.529799999999998</v>
      </c>
      <c r="H22" s="95">
        <v>15.529799999999998</v>
      </c>
      <c r="I22" t="s">
        <v>158</v>
      </c>
    </row>
    <row r="23" spans="1:9" s="6" customFormat="1">
      <c r="A23" s="88"/>
      <c r="B23" s="79" t="s">
        <v>42</v>
      </c>
      <c r="C23" s="21" t="s">
        <v>3</v>
      </c>
      <c r="D23" s="22">
        <v>2033792</v>
      </c>
      <c r="E23" s="22"/>
      <c r="F23" s="24">
        <v>1796.88</v>
      </c>
      <c r="G23" s="130">
        <f>(800*0.06)+(800*0.07)+(196.88*0.8)</f>
        <v>261.50400000000002</v>
      </c>
      <c r="H23" s="24">
        <v>261.50400000000002</v>
      </c>
      <c r="I23" t="s">
        <v>159</v>
      </c>
    </row>
    <row r="24" spans="1:9">
      <c r="A24" s="88"/>
      <c r="B24" s="79" t="s">
        <v>42</v>
      </c>
      <c r="C24" s="21" t="s">
        <v>3</v>
      </c>
      <c r="D24" s="22">
        <v>20338410</v>
      </c>
      <c r="E24" s="22"/>
      <c r="F24" s="24">
        <v>974.43</v>
      </c>
      <c r="G24" s="130">
        <f>(800*0.06)+(174.43*0.07)</f>
        <v>60.210100000000004</v>
      </c>
      <c r="H24" s="24">
        <v>60.210100000000004</v>
      </c>
      <c r="I24" t="s">
        <v>160</v>
      </c>
    </row>
    <row r="25" spans="1:9">
      <c r="A25" s="88"/>
      <c r="B25" s="79" t="s">
        <v>225</v>
      </c>
      <c r="C25" s="21" t="s">
        <v>95</v>
      </c>
      <c r="D25" s="22">
        <v>566566</v>
      </c>
      <c r="E25" s="22"/>
      <c r="F25" s="30">
        <v>1028.94</v>
      </c>
      <c r="G25" s="99">
        <f>((800*0.06)+(228.94*0.07))*0.5</f>
        <v>32.012900000000002</v>
      </c>
      <c r="H25" s="24">
        <v>32.012900000000002</v>
      </c>
      <c r="I25" t="s">
        <v>161</v>
      </c>
    </row>
    <row r="26" spans="1:9">
      <c r="A26" s="88"/>
      <c r="B26" s="79" t="s">
        <v>201</v>
      </c>
      <c r="C26" s="21" t="s">
        <v>95</v>
      </c>
      <c r="D26" s="22">
        <v>353641</v>
      </c>
      <c r="E26" s="22"/>
      <c r="F26" s="30">
        <v>1007.32</v>
      </c>
      <c r="G26" s="84">
        <f>((800*0.06)+(207.32*0.07))*0.5</f>
        <v>31.2562</v>
      </c>
      <c r="H26" s="24">
        <v>31.2562</v>
      </c>
      <c r="I26" t="s">
        <v>162</v>
      </c>
    </row>
    <row r="27" spans="1:9">
      <c r="A27" s="88"/>
      <c r="B27" s="79" t="s">
        <v>201</v>
      </c>
      <c r="C27" s="21" t="s">
        <v>226</v>
      </c>
      <c r="D27" s="73">
        <v>10116761</v>
      </c>
      <c r="E27" s="22"/>
      <c r="F27" s="107">
        <v>763.06</v>
      </c>
      <c r="G27" s="102">
        <f>F27*0.12*0.5</f>
        <v>45.783599999999993</v>
      </c>
      <c r="H27" s="102">
        <v>45.783599999999993</v>
      </c>
      <c r="I27" t="s">
        <v>164</v>
      </c>
    </row>
    <row r="28" spans="1:9" s="6" customFormat="1">
      <c r="A28" s="88"/>
      <c r="B28" s="79" t="s">
        <v>125</v>
      </c>
      <c r="C28" s="21" t="s">
        <v>8</v>
      </c>
      <c r="D28" s="22" t="s">
        <v>220</v>
      </c>
      <c r="E28" s="28"/>
      <c r="F28" s="30">
        <v>81000</v>
      </c>
      <c r="G28" s="101">
        <f>(F28*0.007)*0.6</f>
        <v>340.2</v>
      </c>
      <c r="H28" s="30">
        <v>340.2</v>
      </c>
      <c r="I28" t="s">
        <v>221</v>
      </c>
    </row>
    <row r="29" spans="1:9">
      <c r="A29" s="88"/>
      <c r="B29" s="79" t="s">
        <v>126</v>
      </c>
      <c r="C29" s="21" t="s">
        <v>128</v>
      </c>
      <c r="D29" s="73">
        <v>20339597</v>
      </c>
      <c r="E29" s="22"/>
      <c r="F29" s="24">
        <v>91.7</v>
      </c>
      <c r="G29" s="99">
        <f>F29*0.12</f>
        <v>11.004</v>
      </c>
      <c r="H29" s="24">
        <v>11.004</v>
      </c>
      <c r="I29" t="s">
        <v>165</v>
      </c>
    </row>
    <row r="30" spans="1:9">
      <c r="A30" s="88" t="s">
        <v>233</v>
      </c>
      <c r="B30" s="79" t="s">
        <v>129</v>
      </c>
      <c r="C30" s="21" t="s">
        <v>128</v>
      </c>
      <c r="D30" s="22">
        <v>20338316</v>
      </c>
      <c r="E30" s="22"/>
      <c r="F30" s="24">
        <v>91.7</v>
      </c>
      <c r="G30" s="99">
        <f>F30*0.12</f>
        <v>11.004</v>
      </c>
      <c r="H30" s="24">
        <v>11.004</v>
      </c>
      <c r="I30" t="s">
        <v>165</v>
      </c>
    </row>
    <row r="31" spans="1:9">
      <c r="A31" s="88"/>
      <c r="B31" s="79" t="s">
        <v>130</v>
      </c>
      <c r="C31" s="22" t="s">
        <v>75</v>
      </c>
      <c r="D31" s="22">
        <v>442127</v>
      </c>
      <c r="E31" s="22">
        <v>2046</v>
      </c>
      <c r="F31" s="24">
        <v>531.91999999999996</v>
      </c>
      <c r="G31" s="99">
        <f>(F31*0.075)*0.6</f>
        <v>23.936399999999999</v>
      </c>
      <c r="H31" s="24">
        <v>23.936399999999999</v>
      </c>
      <c r="I31" t="s">
        <v>184</v>
      </c>
    </row>
    <row r="32" spans="1:9">
      <c r="A32" s="88"/>
      <c r="B32" s="79" t="s">
        <v>131</v>
      </c>
      <c r="C32" s="27" t="s">
        <v>68</v>
      </c>
      <c r="D32" s="22">
        <v>20310116</v>
      </c>
      <c r="E32" s="22"/>
      <c r="F32" s="24">
        <v>110.88</v>
      </c>
      <c r="G32" s="99">
        <f>F32*0.15</f>
        <v>16.631999999999998</v>
      </c>
      <c r="H32" s="24">
        <f>F32*0.15</f>
        <v>16.631999999999998</v>
      </c>
      <c r="I32" t="s">
        <v>185</v>
      </c>
    </row>
    <row r="33" spans="1:9">
      <c r="A33" s="88"/>
      <c r="B33" s="79" t="s">
        <v>132</v>
      </c>
      <c r="C33" s="21" t="s">
        <v>133</v>
      </c>
      <c r="D33" s="22">
        <v>20340503</v>
      </c>
      <c r="E33" s="22"/>
      <c r="F33" s="24">
        <v>166.92</v>
      </c>
      <c r="G33" s="99">
        <f>F33*0.12</f>
        <v>20.030399999999997</v>
      </c>
      <c r="H33" s="24">
        <v>20.030399999999997</v>
      </c>
      <c r="I33" t="s">
        <v>166</v>
      </c>
    </row>
    <row r="34" spans="1:9" s="6" customFormat="1" ht="15.75" thickBot="1">
      <c r="A34" s="88"/>
      <c r="B34" s="81" t="s">
        <v>134</v>
      </c>
      <c r="C34" s="58" t="s">
        <v>24</v>
      </c>
      <c r="D34" s="94">
        <v>61016707</v>
      </c>
      <c r="E34" s="94"/>
      <c r="F34" s="95">
        <v>291.73</v>
      </c>
      <c r="G34" s="103">
        <f>(F34/12*3.5)*0.6</f>
        <v>51.052750000000003</v>
      </c>
      <c r="H34" s="95">
        <v>51.052750000000003</v>
      </c>
      <c r="I34" t="s">
        <v>171</v>
      </c>
    </row>
    <row r="35" spans="1:9">
      <c r="A35" s="108" t="s">
        <v>172</v>
      </c>
      <c r="B35" s="78" t="s">
        <v>130</v>
      </c>
      <c r="C35" s="16" t="s">
        <v>3</v>
      </c>
      <c r="D35" s="16">
        <v>203341836</v>
      </c>
      <c r="E35" s="16"/>
      <c r="F35" s="19">
        <v>639.51</v>
      </c>
      <c r="G35" s="104">
        <f>639.51*0.06</f>
        <v>38.370599999999996</v>
      </c>
      <c r="H35" s="19">
        <v>38.370599999999996</v>
      </c>
      <c r="I35" s="5" t="s">
        <v>199</v>
      </c>
    </row>
    <row r="36" spans="1:9">
      <c r="A36" s="88"/>
      <c r="B36" s="79" t="s">
        <v>130</v>
      </c>
      <c r="C36" s="21" t="s">
        <v>128</v>
      </c>
      <c r="D36" s="22">
        <v>20341842</v>
      </c>
      <c r="E36" s="22"/>
      <c r="F36" s="24">
        <v>182.24</v>
      </c>
      <c r="G36" s="99">
        <f>F36*0.12</f>
        <v>21.8688</v>
      </c>
      <c r="H36" s="24">
        <v>21.8688</v>
      </c>
      <c r="I36" s="5" t="s">
        <v>200</v>
      </c>
    </row>
    <row r="37" spans="1:9">
      <c r="A37" s="88"/>
      <c r="B37" s="79" t="s">
        <v>201</v>
      </c>
      <c r="C37" s="22" t="s">
        <v>68</v>
      </c>
      <c r="D37" s="22">
        <v>10116761</v>
      </c>
      <c r="E37" s="22"/>
      <c r="F37" s="24">
        <v>110.88</v>
      </c>
      <c r="G37" s="100">
        <f>F37*0.15</f>
        <v>16.631999999999998</v>
      </c>
      <c r="H37" s="24">
        <v>16.631999999999998</v>
      </c>
      <c r="I37" s="5" t="s">
        <v>185</v>
      </c>
    </row>
    <row r="38" spans="1:9">
      <c r="A38" s="92"/>
      <c r="B38" s="79" t="s">
        <v>194</v>
      </c>
      <c r="C38" s="21" t="s">
        <v>195</v>
      </c>
      <c r="D38" s="22">
        <v>2020439</v>
      </c>
      <c r="E38" s="22"/>
      <c r="F38" s="24">
        <v>1124.55</v>
      </c>
      <c r="G38" s="99">
        <f>((800*0.06)+(324.55*0.07))*0.5</f>
        <v>35.359250000000003</v>
      </c>
      <c r="H38" s="24">
        <v>35.359250000000003</v>
      </c>
      <c r="I38" s="83" t="s">
        <v>210</v>
      </c>
    </row>
    <row r="39" spans="1:9">
      <c r="B39" s="79" t="s">
        <v>194</v>
      </c>
      <c r="C39" s="22" t="s">
        <v>226</v>
      </c>
      <c r="D39" s="22">
        <v>20199782</v>
      </c>
      <c r="E39" s="22"/>
      <c r="F39" s="109">
        <v>319.55</v>
      </c>
      <c r="G39" s="99">
        <f>F39*0.12*0.5</f>
        <v>19.172999999999998</v>
      </c>
      <c r="H39" s="24">
        <v>19.172999999999998</v>
      </c>
      <c r="I39" s="4" t="s">
        <v>212</v>
      </c>
    </row>
    <row r="40" spans="1:9" s="4" customFormat="1">
      <c r="A40" s="92"/>
      <c r="B40" s="79" t="s">
        <v>194</v>
      </c>
      <c r="C40" s="31" t="s">
        <v>237</v>
      </c>
      <c r="D40" s="22">
        <v>20207893</v>
      </c>
      <c r="E40" s="22"/>
      <c r="F40" s="24">
        <v>175.56</v>
      </c>
      <c r="G40" s="99">
        <f>F40*0.12*0.5</f>
        <v>10.5336</v>
      </c>
      <c r="H40" s="24">
        <v>10.5336</v>
      </c>
      <c r="I40" s="4" t="s">
        <v>211</v>
      </c>
    </row>
    <row r="41" spans="1:9" s="4" customFormat="1">
      <c r="A41" s="88"/>
      <c r="B41" s="82" t="s">
        <v>131</v>
      </c>
      <c r="C41" s="21" t="s">
        <v>3</v>
      </c>
      <c r="D41" s="25">
        <v>20342513</v>
      </c>
      <c r="E41" s="25"/>
      <c r="F41" s="41">
        <v>1529.32</v>
      </c>
      <c r="G41" s="105">
        <f>(800*0.06)+(729.32*0.07)*0.5</f>
        <v>73.526200000000003</v>
      </c>
      <c r="H41" s="41">
        <v>99.052400000000006</v>
      </c>
      <c r="I41" s="83" t="s">
        <v>204</v>
      </c>
    </row>
    <row r="42" spans="1:9" s="4" customFormat="1">
      <c r="A42" s="88"/>
      <c r="B42" s="82" t="s">
        <v>190</v>
      </c>
      <c r="C42" s="21" t="s">
        <v>191</v>
      </c>
      <c r="D42" s="25">
        <v>20343756</v>
      </c>
      <c r="E42" s="25"/>
      <c r="F42" s="41">
        <v>477.64</v>
      </c>
      <c r="G42" s="105">
        <f>F42*0.12</f>
        <v>57.316799999999994</v>
      </c>
      <c r="H42" s="41">
        <v>57.316799999999994</v>
      </c>
      <c r="I42" t="s">
        <v>205</v>
      </c>
    </row>
    <row r="43" spans="1:9" s="4" customFormat="1">
      <c r="A43" s="88"/>
      <c r="B43" s="82" t="s">
        <v>188</v>
      </c>
      <c r="C43" s="22" t="s">
        <v>68</v>
      </c>
      <c r="D43" s="25">
        <v>20183530</v>
      </c>
      <c r="E43" s="25"/>
      <c r="F43" s="24">
        <v>110.88</v>
      </c>
      <c r="G43" s="100">
        <f>F43*0.15</f>
        <v>16.631999999999998</v>
      </c>
      <c r="H43" s="24">
        <v>16.631999999999998</v>
      </c>
      <c r="I43" s="4" t="s">
        <v>185</v>
      </c>
    </row>
    <row r="44" spans="1:9" ht="15.75" thickBot="1">
      <c r="A44" s="88"/>
      <c r="B44" s="81" t="s">
        <v>186</v>
      </c>
      <c r="C44" s="58" t="s">
        <v>8</v>
      </c>
      <c r="D44" s="59" t="s">
        <v>223</v>
      </c>
      <c r="E44" s="59"/>
      <c r="F44" s="61">
        <v>100000</v>
      </c>
      <c r="G44" s="102">
        <f>(F44*0.007)*0.6</f>
        <v>420</v>
      </c>
      <c r="H44" s="61">
        <v>420</v>
      </c>
      <c r="I44" s="5" t="s">
        <v>222</v>
      </c>
    </row>
    <row r="45" spans="1:9">
      <c r="A45" s="96" t="s">
        <v>174</v>
      </c>
      <c r="B45" s="78" t="s">
        <v>227</v>
      </c>
      <c r="C45" s="97" t="s">
        <v>228</v>
      </c>
      <c r="D45" s="16">
        <v>442355</v>
      </c>
      <c r="E45" s="16"/>
      <c r="F45" s="19">
        <v>720</v>
      </c>
      <c r="G45" s="104">
        <f>(720*10*0.027)*0.6</f>
        <v>116.64</v>
      </c>
      <c r="H45" s="104">
        <f>(720*10*0.027)*0.6</f>
        <v>116.64</v>
      </c>
      <c r="I45" s="5" t="s">
        <v>202</v>
      </c>
    </row>
    <row r="46" spans="1:9" s="4" customFormat="1">
      <c r="A46" s="88"/>
      <c r="B46" s="120" t="s">
        <v>187</v>
      </c>
      <c r="C46" s="121" t="s">
        <v>62</v>
      </c>
      <c r="D46" s="122">
        <v>442382</v>
      </c>
      <c r="E46" s="122"/>
      <c r="F46" s="123">
        <v>3200</v>
      </c>
      <c r="G46" s="124">
        <f>F46*14*0.02*0.6</f>
        <v>537.6</v>
      </c>
      <c r="H46" s="123">
        <v>537.6</v>
      </c>
      <c r="I46" s="5" t="s">
        <v>203</v>
      </c>
    </row>
    <row r="47" spans="1:9">
      <c r="A47" s="88"/>
      <c r="B47" s="82" t="s">
        <v>189</v>
      </c>
      <c r="C47" s="22" t="s">
        <v>24</v>
      </c>
      <c r="D47" s="25">
        <v>61017866</v>
      </c>
      <c r="E47" s="25"/>
      <c r="F47" s="41">
        <v>1336.44</v>
      </c>
      <c r="G47" s="105">
        <f>(1336.44/12*3.5)*0.6</f>
        <v>233.87700000000001</v>
      </c>
      <c r="H47" s="41">
        <v>233.87700000000001</v>
      </c>
      <c r="I47" s="83" t="s">
        <v>207</v>
      </c>
    </row>
    <row r="48" spans="1:9">
      <c r="A48" s="88"/>
      <c r="B48" s="79" t="s">
        <v>206</v>
      </c>
      <c r="C48" s="21" t="s">
        <v>8</v>
      </c>
      <c r="D48" s="22" t="s">
        <v>224</v>
      </c>
      <c r="E48" s="22"/>
      <c r="F48" s="24">
        <v>66000</v>
      </c>
      <c r="G48" s="99">
        <f>(66000*0.007)*0.6</f>
        <v>277.2</v>
      </c>
      <c r="H48" s="24">
        <v>277.2</v>
      </c>
      <c r="I48" s="83" t="s">
        <v>208</v>
      </c>
    </row>
    <row r="49" spans="1:10" s="6" customFormat="1">
      <c r="A49" s="88"/>
      <c r="B49" s="79" t="s">
        <v>192</v>
      </c>
      <c r="C49" s="22" t="s">
        <v>68</v>
      </c>
      <c r="D49" s="22">
        <v>20192987</v>
      </c>
      <c r="E49" s="22"/>
      <c r="F49" s="110">
        <v>124.94</v>
      </c>
      <c r="G49" s="100">
        <f>124.94*0.15</f>
        <v>18.741</v>
      </c>
      <c r="H49" s="24">
        <v>18.741</v>
      </c>
      <c r="I49" s="83" t="s">
        <v>209</v>
      </c>
    </row>
    <row r="50" spans="1:10" s="6" customFormat="1">
      <c r="A50" s="88"/>
      <c r="B50" s="79" t="s">
        <v>229</v>
      </c>
      <c r="C50" s="21" t="s">
        <v>3</v>
      </c>
      <c r="D50" s="28">
        <v>20346925</v>
      </c>
      <c r="E50" s="28"/>
      <c r="F50" s="30">
        <v>204.71</v>
      </c>
      <c r="G50" s="101">
        <f>204.71*0.06</f>
        <v>12.2826</v>
      </c>
      <c r="H50" s="30">
        <v>12.2826</v>
      </c>
      <c r="I50"/>
    </row>
    <row r="51" spans="1:10">
      <c r="A51" s="92"/>
      <c r="B51" s="79" t="s">
        <v>193</v>
      </c>
      <c r="C51" s="22" t="s">
        <v>191</v>
      </c>
      <c r="D51" s="22">
        <v>20347557</v>
      </c>
      <c r="E51" s="22"/>
      <c r="F51" s="24">
        <v>175.55</v>
      </c>
      <c r="G51" s="99">
        <f>175.55*0.12</f>
        <v>21.065999999999999</v>
      </c>
      <c r="H51" s="24">
        <v>21.065999999999999</v>
      </c>
      <c r="I51" s="5" t="s">
        <v>219</v>
      </c>
    </row>
    <row r="52" spans="1:10" s="3" customFormat="1">
      <c r="A52" s="93">
        <v>42644</v>
      </c>
      <c r="B52" s="79" t="s">
        <v>193</v>
      </c>
      <c r="C52" s="58" t="s">
        <v>8</v>
      </c>
      <c r="D52" s="22" t="s">
        <v>218</v>
      </c>
      <c r="E52" s="22"/>
      <c r="F52" s="24">
        <v>60000</v>
      </c>
      <c r="G52" s="99">
        <f>(F52*0.007)*0.6</f>
        <v>252</v>
      </c>
      <c r="H52" s="24">
        <v>252</v>
      </c>
      <c r="I52" s="4" t="s">
        <v>213</v>
      </c>
    </row>
    <row r="53" spans="1:10" s="4" customFormat="1">
      <c r="A53" s="93"/>
      <c r="B53" s="82" t="s">
        <v>125</v>
      </c>
      <c r="C53" s="43" t="s">
        <v>62</v>
      </c>
      <c r="D53" s="25">
        <v>442829</v>
      </c>
      <c r="E53" s="25"/>
      <c r="F53" s="41">
        <v>1500</v>
      </c>
      <c r="G53" s="105">
        <f>F53*23*0.02*0.6</f>
        <v>414</v>
      </c>
      <c r="H53" s="41">
        <v>414</v>
      </c>
      <c r="I53" s="5" t="s">
        <v>214</v>
      </c>
      <c r="J53" s="3"/>
    </row>
    <row r="54" spans="1:10">
      <c r="A54" s="88"/>
      <c r="B54" s="85" t="s">
        <v>230</v>
      </c>
      <c r="C54" s="33" t="s">
        <v>3</v>
      </c>
      <c r="D54" s="25">
        <v>20347737</v>
      </c>
      <c r="E54" s="36"/>
      <c r="F54" s="41">
        <v>1648.62</v>
      </c>
      <c r="G54" s="105">
        <f>(800*0.06)+(800*0.07)+(48.62*0.08)</f>
        <v>107.8896</v>
      </c>
      <c r="H54" s="41">
        <v>107.8896</v>
      </c>
      <c r="I54" s="5" t="s">
        <v>215</v>
      </c>
    </row>
    <row r="55" spans="1:10" ht="15.75" thickBot="1">
      <c r="A55" s="90"/>
      <c r="B55" s="113" t="s">
        <v>196</v>
      </c>
      <c r="C55" s="58" t="s">
        <v>8</v>
      </c>
      <c r="D55" s="59" t="s">
        <v>217</v>
      </c>
      <c r="E55" s="114"/>
      <c r="F55" s="115">
        <v>42000</v>
      </c>
      <c r="G55" s="116">
        <f>(42000*0.007)*0.6</f>
        <v>176.4</v>
      </c>
      <c r="H55" s="115">
        <v>176.4</v>
      </c>
      <c r="I55" s="5"/>
    </row>
    <row r="56" spans="1:10" ht="15.75" thickBot="1">
      <c r="A56" s="111"/>
      <c r="B56" s="126" t="s">
        <v>231</v>
      </c>
      <c r="C56" s="127"/>
      <c r="D56" s="127"/>
      <c r="E56" s="127"/>
      <c r="F56" s="128"/>
      <c r="G56" s="129"/>
      <c r="H56" s="128">
        <f>SUM(H13:H55)</f>
        <v>4529.1350999999995</v>
      </c>
      <c r="I56" s="5"/>
    </row>
    <row r="57" spans="1:10">
      <c r="A57" s="91"/>
      <c r="B57" s="117"/>
      <c r="C57" s="118"/>
      <c r="D57" s="118"/>
      <c r="E57" s="118"/>
      <c r="F57" s="119"/>
      <c r="G57" s="124"/>
      <c r="H57" s="123"/>
      <c r="I57" s="5"/>
    </row>
    <row r="58" spans="1:10">
      <c r="A58" s="91"/>
      <c r="B58" s="117" t="s">
        <v>235</v>
      </c>
      <c r="C58" s="118"/>
      <c r="D58" s="118"/>
      <c r="E58" s="118"/>
      <c r="F58" s="119"/>
      <c r="G58" s="124"/>
      <c r="H58" s="123">
        <f>H10</f>
        <v>5286.5999999999995</v>
      </c>
      <c r="I58" s="5"/>
    </row>
    <row r="59" spans="1:10">
      <c r="A59" s="91"/>
      <c r="B59" s="117" t="s">
        <v>232</v>
      </c>
      <c r="C59" s="118"/>
      <c r="D59" s="118"/>
      <c r="E59" s="118"/>
      <c r="F59" s="119"/>
      <c r="G59" s="124"/>
      <c r="H59" s="123">
        <f>SUM(H56:H58)</f>
        <v>9815.7350999999981</v>
      </c>
      <c r="I59" s="5"/>
    </row>
    <row r="60" spans="1:10" s="75" customFormat="1" ht="15.75" thickBot="1">
      <c r="A60" s="91"/>
      <c r="B60" s="112" t="s">
        <v>236</v>
      </c>
      <c r="C60" s="45"/>
      <c r="D60" s="45"/>
      <c r="E60" s="45"/>
      <c r="F60" s="47"/>
      <c r="G60" s="99"/>
      <c r="H60" s="24">
        <f>H59/3</f>
        <v>3271.9116999999992</v>
      </c>
    </row>
    <row r="61" spans="1:10" s="71" customFormat="1">
      <c r="A61" s="91"/>
      <c r="B61" s="72"/>
      <c r="C61" s="73"/>
      <c r="D61" s="73"/>
      <c r="E61" s="73"/>
      <c r="F61" s="74"/>
      <c r="G61" s="76"/>
      <c r="H61" s="76"/>
    </row>
    <row r="62" spans="1:10" s="71" customFormat="1">
      <c r="A62" s="91"/>
      <c r="B62" s="72"/>
      <c r="C62" s="73"/>
      <c r="D62" s="73"/>
      <c r="E62" s="73"/>
      <c r="F62" s="74"/>
      <c r="G62" s="74"/>
      <c r="H62" s="74"/>
    </row>
    <row r="63" spans="1:10" s="71" customFormat="1">
      <c r="A63" s="91"/>
      <c r="B63" s="72"/>
      <c r="C63" s="73"/>
      <c r="D63" s="73"/>
      <c r="E63" s="73"/>
      <c r="F63" s="74"/>
      <c r="G63" s="74"/>
      <c r="H63" s="74"/>
    </row>
    <row r="64" spans="1:10" s="71" customFormat="1">
      <c r="A64" s="91"/>
      <c r="B64" s="72"/>
      <c r="C64" s="73"/>
      <c r="D64" s="73"/>
      <c r="E64" s="73"/>
      <c r="F64" s="74"/>
      <c r="G64" s="74"/>
      <c r="H64" s="74"/>
    </row>
    <row r="65" spans="2:8">
      <c r="B65" s="72"/>
      <c r="C65" s="73"/>
      <c r="D65" s="73"/>
      <c r="E65" s="73"/>
      <c r="F65" s="74"/>
      <c r="G65" s="74"/>
      <c r="H65" s="74"/>
    </row>
  </sheetData>
  <printOptions gridLines="1"/>
  <pageMargins left="0.23622047244094491" right="0.23622047244094491" top="0.74803149606299213" bottom="0.74803149606299213" header="0.31496062992125984" footer="0.31496062992125984"/>
  <pageSetup paperSize="9" orientation="landscape" r:id="rId1"/>
  <headerFooter>
    <oddHeader>&amp;C&amp;"-,Gras"&amp;14COMMISSION JEFF DERAPPE 3 ème TRIMESTRE</oddHeader>
    <oddFooter xml:space="preserve">&amp;L&amp;8&amp;Z&amp;F&amp;C&amp;7&amp;P/&amp;N&amp;RModfié le &amp;D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J102"/>
  <sheetViews>
    <sheetView topLeftCell="A67" zoomScale="150" zoomScaleNormal="150" workbookViewId="0">
      <selection activeCell="G76" sqref="G76"/>
    </sheetView>
  </sheetViews>
  <sheetFormatPr defaultColWidth="11.42578125" defaultRowHeight="15"/>
  <cols>
    <col min="1" max="1" width="16" style="86" customWidth="1"/>
    <col min="2" max="2" width="28" style="7" customWidth="1"/>
    <col min="3" max="3" width="21.7109375" style="1" customWidth="1"/>
    <col min="4" max="4" width="24.7109375" style="1" customWidth="1"/>
    <col min="5" max="5" width="10.5703125" style="1" customWidth="1"/>
    <col min="6" max="6" width="13.28515625" style="138" customWidth="1"/>
    <col min="7" max="7" width="12.42578125" style="135" customWidth="1"/>
    <col min="8" max="8" width="12.42578125" style="2" customWidth="1"/>
    <col min="9" max="9" width="34.28515625" hidden="1" customWidth="1"/>
    <col min="10" max="10" width="11.5703125" customWidth="1"/>
  </cols>
  <sheetData>
    <row r="1" spans="1:9" ht="30" customHeight="1">
      <c r="B1" s="131"/>
      <c r="C1" s="132"/>
      <c r="D1" s="131"/>
      <c r="E1" s="182"/>
      <c r="F1" s="133"/>
      <c r="G1" s="133"/>
      <c r="H1" s="66"/>
      <c r="I1" s="132"/>
    </row>
    <row r="2" spans="1:9" s="10" customFormat="1" ht="18.75" customHeight="1">
      <c r="A2" s="86"/>
      <c r="B2" s="10" t="s">
        <v>238</v>
      </c>
      <c r="D2" s="2"/>
      <c r="E2" s="84"/>
      <c r="F2" s="134"/>
      <c r="G2" s="134"/>
      <c r="H2" s="10">
        <v>360</v>
      </c>
    </row>
    <row r="3" spans="1:9" s="10" customFormat="1" ht="18.75" customHeight="1">
      <c r="A3" s="86"/>
      <c r="D3" s="2"/>
      <c r="E3" s="84"/>
      <c r="F3" s="134"/>
      <c r="G3" s="134"/>
    </row>
    <row r="4" spans="1:9">
      <c r="B4" s="7" t="s">
        <v>197</v>
      </c>
      <c r="C4" s="9"/>
      <c r="D4" s="1" t="s">
        <v>302</v>
      </c>
      <c r="E4" s="11" t="s">
        <v>216</v>
      </c>
      <c r="F4" s="134"/>
      <c r="G4" s="134"/>
      <c r="H4" s="10">
        <v>640</v>
      </c>
      <c r="I4" s="9"/>
    </row>
    <row r="5" spans="1:9">
      <c r="C5" s="9"/>
      <c r="E5" s="11"/>
      <c r="F5" s="134"/>
      <c r="G5" s="134"/>
      <c r="H5" s="10"/>
      <c r="I5" s="9"/>
    </row>
    <row r="6" spans="1:9">
      <c r="B6" s="7" t="s">
        <v>76</v>
      </c>
      <c r="C6" s="9" t="s">
        <v>239</v>
      </c>
      <c r="E6" s="11"/>
      <c r="F6" s="134"/>
      <c r="G6" s="134"/>
      <c r="H6" s="10">
        <f>3999*0.35</f>
        <v>1399.6499999999999</v>
      </c>
      <c r="I6" s="9"/>
    </row>
    <row r="7" spans="1:9">
      <c r="B7" s="7" t="s">
        <v>76</v>
      </c>
      <c r="C7" s="9" t="s">
        <v>240</v>
      </c>
      <c r="E7" s="11"/>
      <c r="F7" s="134"/>
      <c r="G7" s="134"/>
      <c r="H7" s="10">
        <f>3980*0.35</f>
        <v>1393</v>
      </c>
      <c r="I7" s="9"/>
    </row>
    <row r="8" spans="1:9">
      <c r="B8" s="7" t="s">
        <v>76</v>
      </c>
      <c r="C8" s="9" t="s">
        <v>241</v>
      </c>
      <c r="E8" s="11"/>
      <c r="F8" s="134"/>
      <c r="G8" s="134"/>
      <c r="H8" s="10">
        <v>1386</v>
      </c>
      <c r="I8" s="9"/>
    </row>
    <row r="9" spans="1:9">
      <c r="C9" s="9"/>
      <c r="E9" s="11"/>
      <c r="F9" s="134"/>
      <c r="G9" s="134"/>
      <c r="H9" s="10"/>
      <c r="I9" s="9"/>
    </row>
    <row r="10" spans="1:9">
      <c r="B10" s="7" t="s">
        <v>234</v>
      </c>
      <c r="C10" s="9"/>
      <c r="E10" s="11"/>
      <c r="F10" s="134"/>
      <c r="G10" s="134"/>
      <c r="H10" s="125">
        <f>SUM(H2:H8)</f>
        <v>5178.6499999999996</v>
      </c>
      <c r="I10" s="9"/>
    </row>
    <row r="11" spans="1:9" ht="15.75" thickBot="1">
      <c r="I11" s="11"/>
    </row>
    <row r="12" spans="1:9" ht="30">
      <c r="A12" s="87"/>
      <c r="B12" s="78" t="s">
        <v>0</v>
      </c>
      <c r="C12" s="16" t="s">
        <v>56</v>
      </c>
      <c r="D12" s="16" t="s">
        <v>11</v>
      </c>
      <c r="E12" s="16" t="s">
        <v>59</v>
      </c>
      <c r="F12" s="136" t="s">
        <v>80</v>
      </c>
      <c r="G12" s="143" t="s">
        <v>1</v>
      </c>
      <c r="H12" s="19" t="s">
        <v>98</v>
      </c>
    </row>
    <row r="13" spans="1:9">
      <c r="A13" s="88" t="s">
        <v>239</v>
      </c>
      <c r="B13" s="79" t="s">
        <v>243</v>
      </c>
      <c r="C13" s="21" t="s">
        <v>242</v>
      </c>
      <c r="D13" s="22">
        <v>20350285</v>
      </c>
      <c r="E13" s="22"/>
      <c r="F13" s="148">
        <v>1949.89</v>
      </c>
      <c r="G13" s="149">
        <f>(800*0.06)+(800*0.07)+(349.89*0.08)</f>
        <v>131.99119999999999</v>
      </c>
      <c r="H13" s="150">
        <f>G13</f>
        <v>131.99119999999999</v>
      </c>
      <c r="I13" t="s">
        <v>167</v>
      </c>
    </row>
    <row r="14" spans="1:9">
      <c r="A14" s="88"/>
      <c r="B14" s="79" t="s">
        <v>257</v>
      </c>
      <c r="C14" s="22" t="s">
        <v>258</v>
      </c>
      <c r="D14" s="22">
        <v>20350484</v>
      </c>
      <c r="E14" s="22"/>
      <c r="F14" s="148">
        <v>2198.5700000000002</v>
      </c>
      <c r="G14" s="151">
        <f>F14*0.1</f>
        <v>219.85700000000003</v>
      </c>
      <c r="H14" s="152">
        <f>G14</f>
        <v>219.85700000000003</v>
      </c>
      <c r="I14" t="s">
        <v>169</v>
      </c>
    </row>
    <row r="15" spans="1:9">
      <c r="A15" s="88"/>
      <c r="B15" s="79" t="s">
        <v>257</v>
      </c>
      <c r="C15" s="21" t="s">
        <v>259</v>
      </c>
      <c r="D15" s="22">
        <v>203349652</v>
      </c>
      <c r="E15" s="22"/>
      <c r="F15" s="148">
        <v>771.17</v>
      </c>
      <c r="G15" s="149">
        <f>F15*0.12</f>
        <v>92.540399999999991</v>
      </c>
      <c r="H15" s="152">
        <f>G15</f>
        <v>92.540399999999991</v>
      </c>
      <c r="I15" t="s">
        <v>168</v>
      </c>
    </row>
    <row r="16" spans="1:9">
      <c r="A16" s="88"/>
      <c r="B16" s="79" t="s">
        <v>260</v>
      </c>
      <c r="C16" s="21" t="s">
        <v>57</v>
      </c>
      <c r="D16" s="22">
        <v>20350380</v>
      </c>
      <c r="E16" s="22"/>
      <c r="F16" s="148">
        <v>171.65</v>
      </c>
      <c r="G16" s="149">
        <f>F16*0.12</f>
        <v>20.597999999999999</v>
      </c>
      <c r="H16" s="152">
        <f>G16</f>
        <v>20.597999999999999</v>
      </c>
      <c r="I16" t="s">
        <v>155</v>
      </c>
    </row>
    <row r="17" spans="1:9">
      <c r="A17" s="88"/>
      <c r="B17" s="79" t="s">
        <v>265</v>
      </c>
      <c r="C17" s="21" t="s">
        <v>266</v>
      </c>
      <c r="D17" s="22">
        <v>61018896</v>
      </c>
      <c r="E17" s="22"/>
      <c r="F17" s="148">
        <v>2427.65</v>
      </c>
      <c r="G17" s="149">
        <f>F17/12*3.5*0.6</f>
        <v>424.83874999999995</v>
      </c>
      <c r="H17" s="152">
        <f>G17</f>
        <v>424.83874999999995</v>
      </c>
      <c r="I17" t="s">
        <v>163</v>
      </c>
    </row>
    <row r="18" spans="1:9">
      <c r="A18" s="88"/>
      <c r="B18" s="79"/>
      <c r="C18" s="21"/>
      <c r="D18" s="22"/>
      <c r="E18" s="22"/>
      <c r="F18" s="148"/>
      <c r="G18" s="149"/>
      <c r="H18" s="158"/>
    </row>
    <row r="19" spans="1:9" s="70" customFormat="1" ht="15.75" thickBot="1">
      <c r="A19" s="89"/>
      <c r="B19" s="80"/>
      <c r="C19" s="22"/>
      <c r="D19" s="22"/>
      <c r="E19" s="22"/>
      <c r="F19" s="148"/>
      <c r="G19" s="151"/>
      <c r="H19" s="158"/>
      <c r="I19" s="70" t="s">
        <v>154</v>
      </c>
    </row>
    <row r="20" spans="1:9" s="6" customFormat="1" ht="15.75" thickBot="1">
      <c r="A20" s="88"/>
      <c r="B20" s="153" t="s">
        <v>291</v>
      </c>
      <c r="C20" s="154"/>
      <c r="D20" s="155"/>
      <c r="E20" s="155"/>
      <c r="F20" s="156"/>
      <c r="G20" s="157"/>
      <c r="H20" s="159">
        <f>SUM(H13:H19)</f>
        <v>889.82534999999996</v>
      </c>
      <c r="I20" t="s">
        <v>171</v>
      </c>
    </row>
    <row r="21" spans="1:9">
      <c r="A21" s="96" t="s">
        <v>240</v>
      </c>
      <c r="B21" s="78" t="s">
        <v>246</v>
      </c>
      <c r="C21" s="16" t="s">
        <v>242</v>
      </c>
      <c r="D21" s="16">
        <v>20352014</v>
      </c>
      <c r="E21" s="16"/>
      <c r="F21" s="160">
        <v>1756.1</v>
      </c>
      <c r="G21" s="161">
        <f>(800*0.06)+(800*0.07)+(156.1*0.08)</f>
        <v>116.488</v>
      </c>
      <c r="H21" s="19">
        <f>G21</f>
        <v>116.488</v>
      </c>
      <c r="I21" s="5" t="s">
        <v>199</v>
      </c>
    </row>
    <row r="22" spans="1:9">
      <c r="A22" s="88"/>
      <c r="B22" s="79" t="s">
        <v>201</v>
      </c>
      <c r="C22" s="21" t="s">
        <v>247</v>
      </c>
      <c r="D22" s="22"/>
      <c r="E22" s="22"/>
      <c r="F22" s="148">
        <v>19200</v>
      </c>
      <c r="G22" s="149"/>
      <c r="H22" s="24">
        <v>118.8</v>
      </c>
      <c r="I22" s="5" t="s">
        <v>200</v>
      </c>
    </row>
    <row r="23" spans="1:9">
      <c r="A23" s="88"/>
      <c r="B23" s="79" t="s">
        <v>250</v>
      </c>
      <c r="C23" s="21" t="s">
        <v>5</v>
      </c>
      <c r="D23" s="22">
        <v>20353181</v>
      </c>
      <c r="E23" s="22"/>
      <c r="F23" s="148">
        <v>225.63</v>
      </c>
      <c r="G23" s="149">
        <f>F23*0.12</f>
        <v>27.075599999999998</v>
      </c>
      <c r="H23" s="24">
        <f t="shared" ref="H23:H34" si="0">G23</f>
        <v>27.075599999999998</v>
      </c>
      <c r="I23" s="5" t="s">
        <v>185</v>
      </c>
    </row>
    <row r="24" spans="1:9">
      <c r="A24" s="92"/>
      <c r="B24" s="79" t="s">
        <v>251</v>
      </c>
      <c r="C24" s="21" t="s">
        <v>242</v>
      </c>
      <c r="D24" s="22">
        <v>20055675</v>
      </c>
      <c r="E24" s="22"/>
      <c r="F24" s="148">
        <v>1345.37</v>
      </c>
      <c r="G24" s="149">
        <f>800*0.06+545.37*0.07</f>
        <v>86.175900000000013</v>
      </c>
      <c r="H24" s="24">
        <f t="shared" si="0"/>
        <v>86.175900000000013</v>
      </c>
      <c r="I24" s="83" t="s">
        <v>210</v>
      </c>
    </row>
    <row r="25" spans="1:9">
      <c r="B25" s="79" t="s">
        <v>251</v>
      </c>
      <c r="C25" s="22" t="s">
        <v>252</v>
      </c>
      <c r="D25" s="22">
        <v>10077528</v>
      </c>
      <c r="E25" s="22"/>
      <c r="F25" s="162">
        <v>110.88</v>
      </c>
      <c r="G25" s="149">
        <f>F25*0.15</f>
        <v>16.631999999999998</v>
      </c>
      <c r="H25" s="24">
        <f t="shared" si="0"/>
        <v>16.631999999999998</v>
      </c>
      <c r="I25" s="4" t="s">
        <v>212</v>
      </c>
    </row>
    <row r="26" spans="1:9" s="4" customFormat="1">
      <c r="A26" s="92"/>
      <c r="B26" s="79" t="s">
        <v>251</v>
      </c>
      <c r="C26" s="31" t="s">
        <v>24</v>
      </c>
      <c r="D26" s="22">
        <v>60017923</v>
      </c>
      <c r="E26" s="22"/>
      <c r="F26" s="148">
        <v>139.19999999999999</v>
      </c>
      <c r="G26" s="149">
        <f>F26*3.5*0.06</f>
        <v>29.231999999999996</v>
      </c>
      <c r="H26" s="24">
        <f t="shared" si="0"/>
        <v>29.231999999999996</v>
      </c>
      <c r="I26" s="4" t="s">
        <v>211</v>
      </c>
    </row>
    <row r="27" spans="1:9" s="4" customFormat="1">
      <c r="A27" s="88"/>
      <c r="B27" s="79" t="s">
        <v>251</v>
      </c>
      <c r="C27" s="21" t="s">
        <v>242</v>
      </c>
      <c r="D27" s="25">
        <v>20248970</v>
      </c>
      <c r="E27" s="25"/>
      <c r="F27" s="163">
        <v>13.12</v>
      </c>
      <c r="G27" s="164">
        <f>F27*0.06</f>
        <v>0.7871999999999999</v>
      </c>
      <c r="H27" s="41">
        <f t="shared" si="0"/>
        <v>0.7871999999999999</v>
      </c>
      <c r="I27" s="83" t="s">
        <v>204</v>
      </c>
    </row>
    <row r="28" spans="1:9" s="4" customFormat="1">
      <c r="A28" s="88"/>
      <c r="B28" s="79" t="s">
        <v>251</v>
      </c>
      <c r="C28" s="21" t="s">
        <v>242</v>
      </c>
      <c r="D28" s="25">
        <v>20282387</v>
      </c>
      <c r="E28" s="25"/>
      <c r="F28" s="163">
        <v>12.85</v>
      </c>
      <c r="G28" s="164">
        <f>F28*0.06</f>
        <v>0.77099999999999991</v>
      </c>
      <c r="H28" s="41">
        <f t="shared" si="0"/>
        <v>0.77099999999999991</v>
      </c>
      <c r="I28" s="83"/>
    </row>
    <row r="29" spans="1:9" s="4" customFormat="1">
      <c r="A29" s="88"/>
      <c r="B29" s="79" t="s">
        <v>251</v>
      </c>
      <c r="C29" s="21" t="s">
        <v>242</v>
      </c>
      <c r="D29" s="25">
        <v>20315056</v>
      </c>
      <c r="E29" s="25"/>
      <c r="F29" s="163">
        <v>444.02</v>
      </c>
      <c r="G29" s="164">
        <f>F29*0.06</f>
        <v>26.641199999999998</v>
      </c>
      <c r="H29" s="41">
        <f t="shared" si="0"/>
        <v>26.641199999999998</v>
      </c>
      <c r="I29" t="s">
        <v>205</v>
      </c>
    </row>
    <row r="30" spans="1:9" s="4" customFormat="1" ht="15.75" thickBot="1">
      <c r="A30" s="88"/>
      <c r="B30" s="79" t="s">
        <v>251</v>
      </c>
      <c r="C30" s="22" t="s">
        <v>242</v>
      </c>
      <c r="D30" s="25">
        <v>20324039</v>
      </c>
      <c r="E30" s="25"/>
      <c r="F30" s="148">
        <v>65.61</v>
      </c>
      <c r="G30" s="151">
        <f>F30*0.06</f>
        <v>3.9365999999999999</v>
      </c>
      <c r="H30" s="24">
        <f t="shared" si="0"/>
        <v>3.9365999999999999</v>
      </c>
      <c r="I30" s="4" t="s">
        <v>185</v>
      </c>
    </row>
    <row r="31" spans="1:9" s="4" customFormat="1">
      <c r="A31" s="96" t="s">
        <v>298</v>
      </c>
      <c r="B31" s="79" t="s">
        <v>251</v>
      </c>
      <c r="C31" s="21" t="s">
        <v>133</v>
      </c>
      <c r="D31" s="22">
        <v>20353689</v>
      </c>
      <c r="E31" s="22"/>
      <c r="F31" s="148">
        <v>391.09</v>
      </c>
      <c r="G31" s="149">
        <f>F31*0.1</f>
        <v>39.109000000000002</v>
      </c>
      <c r="H31" s="24">
        <f t="shared" si="0"/>
        <v>39.109000000000002</v>
      </c>
    </row>
    <row r="32" spans="1:9" s="4" customFormat="1">
      <c r="A32" s="88"/>
      <c r="B32" s="79" t="s">
        <v>255</v>
      </c>
      <c r="C32" s="22" t="s">
        <v>242</v>
      </c>
      <c r="D32" s="25">
        <v>20352335</v>
      </c>
      <c r="E32" s="25"/>
      <c r="F32" s="148">
        <v>939.69</v>
      </c>
      <c r="G32" s="151">
        <f>800*0.06+139.69*0.07</f>
        <v>57.778300000000002</v>
      </c>
      <c r="H32" s="24">
        <f t="shared" si="0"/>
        <v>57.778300000000002</v>
      </c>
    </row>
    <row r="33" spans="1:8" s="4" customFormat="1">
      <c r="A33" s="88"/>
      <c r="B33" s="79" t="s">
        <v>255</v>
      </c>
      <c r="C33" s="22" t="s">
        <v>5</v>
      </c>
      <c r="D33" s="25">
        <v>20353421</v>
      </c>
      <c r="E33" s="25"/>
      <c r="F33" s="148">
        <v>287.01</v>
      </c>
      <c r="G33" s="151">
        <f>F33*0.12</f>
        <v>34.441199999999995</v>
      </c>
      <c r="H33" s="24">
        <f t="shared" si="0"/>
        <v>34.441199999999995</v>
      </c>
    </row>
    <row r="34" spans="1:8" s="4" customFormat="1">
      <c r="A34" s="88"/>
      <c r="B34" s="79" t="s">
        <v>256</v>
      </c>
      <c r="C34" s="22" t="s">
        <v>242</v>
      </c>
      <c r="D34" s="25">
        <v>20353051</v>
      </c>
      <c r="E34" s="25"/>
      <c r="F34" s="148">
        <v>2744.55</v>
      </c>
      <c r="G34" s="151">
        <f>800*0.06+800*0.07+1144.55*0.08</f>
        <v>195.56399999999999</v>
      </c>
      <c r="H34" s="24">
        <f t="shared" si="0"/>
        <v>195.56399999999999</v>
      </c>
    </row>
    <row r="35" spans="1:8" s="4" customFormat="1">
      <c r="A35" s="88"/>
      <c r="B35" s="79" t="s">
        <v>264</v>
      </c>
      <c r="C35" s="22" t="s">
        <v>5</v>
      </c>
      <c r="D35" s="25">
        <v>20351006</v>
      </c>
      <c r="E35" s="25"/>
      <c r="F35" s="148">
        <v>190.85</v>
      </c>
      <c r="G35" s="151">
        <f>F35*0.12</f>
        <v>22.901999999999997</v>
      </c>
      <c r="H35" s="24">
        <f t="shared" ref="H35:H49" si="1">G35</f>
        <v>22.901999999999997</v>
      </c>
    </row>
    <row r="36" spans="1:8" s="4" customFormat="1">
      <c r="A36" s="88"/>
      <c r="B36" s="79" t="s">
        <v>304</v>
      </c>
      <c r="C36" s="22" t="s">
        <v>242</v>
      </c>
      <c r="D36" s="25">
        <v>20354543</v>
      </c>
      <c r="E36" s="25"/>
      <c r="F36" s="148">
        <v>1061.8399999999999</v>
      </c>
      <c r="G36" s="151">
        <f>800*0.06+261.84*0.07</f>
        <v>66.328800000000001</v>
      </c>
      <c r="H36" s="24">
        <f t="shared" si="1"/>
        <v>66.328800000000001</v>
      </c>
    </row>
    <row r="37" spans="1:8" s="4" customFormat="1">
      <c r="A37" s="88"/>
      <c r="B37" s="79" t="s">
        <v>304</v>
      </c>
      <c r="C37" s="22" t="s">
        <v>5</v>
      </c>
      <c r="D37" s="25">
        <v>20354539</v>
      </c>
      <c r="E37" s="25"/>
      <c r="F37" s="148">
        <v>202.7</v>
      </c>
      <c r="G37" s="151">
        <f>F37*0.12</f>
        <v>24.323999999999998</v>
      </c>
      <c r="H37" s="24">
        <f t="shared" si="1"/>
        <v>24.323999999999998</v>
      </c>
    </row>
    <row r="38" spans="1:8" s="4" customFormat="1">
      <c r="A38" s="88"/>
      <c r="B38" s="79" t="s">
        <v>304</v>
      </c>
      <c r="C38" s="22" t="s">
        <v>252</v>
      </c>
      <c r="D38" s="25">
        <v>20354539</v>
      </c>
      <c r="E38" s="25"/>
      <c r="F38" s="148">
        <v>111.71</v>
      </c>
      <c r="G38" s="151">
        <f>F38*0.15</f>
        <v>16.756499999999999</v>
      </c>
      <c r="H38" s="24">
        <f t="shared" si="1"/>
        <v>16.756499999999999</v>
      </c>
    </row>
    <row r="39" spans="1:8" s="4" customFormat="1">
      <c r="A39" s="88"/>
      <c r="B39" s="79" t="s">
        <v>267</v>
      </c>
      <c r="C39" s="22" t="s">
        <v>5</v>
      </c>
      <c r="D39" s="25">
        <v>20354013</v>
      </c>
      <c r="E39" s="25"/>
      <c r="F39" s="148">
        <v>224.52</v>
      </c>
      <c r="G39" s="151">
        <f>F39*0.12</f>
        <v>26.942399999999999</v>
      </c>
      <c r="H39" s="24">
        <f t="shared" si="1"/>
        <v>26.942399999999999</v>
      </c>
    </row>
    <row r="40" spans="1:8" s="4" customFormat="1">
      <c r="A40" s="88"/>
      <c r="B40" s="79" t="s">
        <v>270</v>
      </c>
      <c r="C40" s="22" t="s">
        <v>242</v>
      </c>
      <c r="D40" s="25">
        <v>2112715</v>
      </c>
      <c r="E40" s="25"/>
      <c r="F40" s="148">
        <v>1911.08</v>
      </c>
      <c r="G40" s="151">
        <f>800*0.06+800*0.07+311.08*0.08</f>
        <v>128.88640000000001</v>
      </c>
      <c r="H40" s="24">
        <f t="shared" si="1"/>
        <v>128.88640000000001</v>
      </c>
    </row>
    <row r="41" spans="1:8" s="4" customFormat="1">
      <c r="A41" s="88"/>
      <c r="B41" s="79" t="s">
        <v>271</v>
      </c>
      <c r="C41" s="22" t="s">
        <v>24</v>
      </c>
      <c r="D41" s="25">
        <v>60016647</v>
      </c>
      <c r="E41" s="25"/>
      <c r="F41" s="148">
        <v>504.36</v>
      </c>
      <c r="G41" s="151">
        <f>F41/12*3.5*0.6</f>
        <v>88.263000000000005</v>
      </c>
      <c r="H41" s="24">
        <f t="shared" si="1"/>
        <v>88.263000000000005</v>
      </c>
    </row>
    <row r="42" spans="1:8" s="4" customFormat="1">
      <c r="A42" s="88"/>
      <c r="B42" s="79" t="s">
        <v>269</v>
      </c>
      <c r="C42" s="22" t="s">
        <v>242</v>
      </c>
      <c r="D42" s="25">
        <v>275914</v>
      </c>
      <c r="E42" s="25"/>
      <c r="F42" s="148">
        <v>1151.8399999999999</v>
      </c>
      <c r="G42" s="151">
        <f>800*0.06+351.84*0.07</f>
        <v>72.628799999999998</v>
      </c>
      <c r="H42" s="24">
        <f t="shared" si="1"/>
        <v>72.628799999999998</v>
      </c>
    </row>
    <row r="43" spans="1:8" s="4" customFormat="1">
      <c r="A43" s="88"/>
      <c r="B43" s="79" t="s">
        <v>269</v>
      </c>
      <c r="C43" s="22" t="s">
        <v>242</v>
      </c>
      <c r="D43" s="25">
        <v>20249130</v>
      </c>
      <c r="E43" s="25"/>
      <c r="F43" s="148">
        <v>590.35</v>
      </c>
      <c r="G43" s="151">
        <f>F43*0.06</f>
        <v>35.420999999999999</v>
      </c>
      <c r="H43" s="24">
        <f t="shared" si="1"/>
        <v>35.420999999999999</v>
      </c>
    </row>
    <row r="44" spans="1:8" s="4" customFormat="1">
      <c r="A44" s="88"/>
      <c r="B44" s="79" t="s">
        <v>269</v>
      </c>
      <c r="C44" s="22" t="s">
        <v>242</v>
      </c>
      <c r="D44" s="25">
        <v>647783</v>
      </c>
      <c r="E44" s="25"/>
      <c r="F44" s="148">
        <v>1148.29</v>
      </c>
      <c r="G44" s="151">
        <f>800*0.06+348.29*0.07</f>
        <v>72.380300000000005</v>
      </c>
      <c r="H44" s="24">
        <f t="shared" si="1"/>
        <v>72.380300000000005</v>
      </c>
    </row>
    <row r="45" spans="1:8" s="4" customFormat="1">
      <c r="A45" s="88"/>
      <c r="B45" s="79" t="s">
        <v>269</v>
      </c>
      <c r="C45" s="22" t="s">
        <v>133</v>
      </c>
      <c r="D45" s="25">
        <v>20142663</v>
      </c>
      <c r="E45" s="25"/>
      <c r="F45" s="148">
        <v>285.55</v>
      </c>
      <c r="G45" s="151">
        <f>F45*0.1</f>
        <v>28.555000000000003</v>
      </c>
      <c r="H45" s="24">
        <f t="shared" si="1"/>
        <v>28.555000000000003</v>
      </c>
    </row>
    <row r="46" spans="1:8" s="4" customFormat="1">
      <c r="A46" s="88"/>
      <c r="B46" s="79" t="s">
        <v>269</v>
      </c>
      <c r="C46" s="22" t="s">
        <v>24</v>
      </c>
      <c r="D46" s="25">
        <v>61001020</v>
      </c>
      <c r="E46" s="33"/>
      <c r="F46" s="25">
        <v>292.44</v>
      </c>
      <c r="G46" s="151">
        <f>F46/12*3.5*0.6</f>
        <v>51.177</v>
      </c>
      <c r="H46" s="24">
        <f t="shared" si="1"/>
        <v>51.177</v>
      </c>
    </row>
    <row r="47" spans="1:8" s="4" customFormat="1">
      <c r="A47" s="88"/>
      <c r="B47" s="79" t="s">
        <v>277</v>
      </c>
      <c r="C47" s="22" t="s">
        <v>24</v>
      </c>
      <c r="D47" s="25">
        <v>61000124</v>
      </c>
      <c r="E47" s="25"/>
      <c r="F47" s="148">
        <v>909.11</v>
      </c>
      <c r="G47" s="151">
        <f>F47/12*3.5*0.6</f>
        <v>159.09424999999999</v>
      </c>
      <c r="H47" s="24">
        <f t="shared" si="1"/>
        <v>159.09424999999999</v>
      </c>
    </row>
    <row r="48" spans="1:8" s="4" customFormat="1">
      <c r="A48" s="88"/>
      <c r="B48" s="79" t="s">
        <v>34</v>
      </c>
      <c r="C48" s="22" t="s">
        <v>242</v>
      </c>
      <c r="D48" s="25">
        <v>20352908</v>
      </c>
      <c r="E48" s="25"/>
      <c r="F48" s="148">
        <v>1975.14</v>
      </c>
      <c r="G48" s="151">
        <f>800*0.06+800*0.07+375.14*0.08</f>
        <v>134.0112</v>
      </c>
      <c r="H48" s="24">
        <f t="shared" si="1"/>
        <v>134.0112</v>
      </c>
    </row>
    <row r="49" spans="1:10" s="4" customFormat="1">
      <c r="A49" s="88"/>
      <c r="B49" s="79" t="s">
        <v>282</v>
      </c>
      <c r="C49" s="22" t="s">
        <v>296</v>
      </c>
      <c r="D49" s="25">
        <v>806143976</v>
      </c>
      <c r="E49" s="25">
        <v>2025</v>
      </c>
      <c r="F49" s="148">
        <v>600</v>
      </c>
      <c r="G49" s="151">
        <f>F49*8*0.02*0.6</f>
        <v>57.599999999999994</v>
      </c>
      <c r="H49" s="24">
        <f t="shared" si="1"/>
        <v>57.599999999999994</v>
      </c>
    </row>
    <row r="50" spans="1:10" s="4" customFormat="1">
      <c r="A50" s="88"/>
      <c r="B50" s="79"/>
      <c r="C50" s="22"/>
      <c r="D50" s="25"/>
      <c r="E50" s="25"/>
      <c r="F50" s="148"/>
      <c r="G50" s="151"/>
      <c r="H50" s="24"/>
    </row>
    <row r="51" spans="1:10" s="4" customFormat="1">
      <c r="A51" s="88"/>
      <c r="B51" s="79"/>
      <c r="C51" s="22"/>
      <c r="D51" s="25"/>
      <c r="E51" s="25"/>
      <c r="F51" s="148"/>
      <c r="G51" s="151"/>
      <c r="H51" s="24"/>
    </row>
    <row r="52" spans="1:10" s="4" customFormat="1">
      <c r="A52" s="88"/>
      <c r="B52" s="79"/>
      <c r="C52" s="22"/>
      <c r="D52" s="25"/>
      <c r="E52" s="25"/>
      <c r="F52" s="148"/>
      <c r="G52" s="151"/>
      <c r="H52" s="24"/>
    </row>
    <row r="53" spans="1:10" ht="15.75" thickBot="1">
      <c r="A53" s="88"/>
      <c r="B53" s="153" t="s">
        <v>291</v>
      </c>
      <c r="C53" s="45"/>
      <c r="D53" s="45"/>
      <c r="E53" s="45"/>
      <c r="F53" s="165"/>
      <c r="G53" s="166"/>
      <c r="H53" s="47">
        <f>SUM(H21:H52)</f>
        <v>1738.7026499999997</v>
      </c>
      <c r="I53" s="5" t="s">
        <v>222</v>
      </c>
    </row>
    <row r="54" spans="1:10">
      <c r="A54" s="96" t="s">
        <v>241</v>
      </c>
      <c r="B54" s="78" t="s">
        <v>244</v>
      </c>
      <c r="C54" s="97" t="s">
        <v>242</v>
      </c>
      <c r="D54" s="16">
        <v>20350299</v>
      </c>
      <c r="E54" s="16"/>
      <c r="F54" s="160">
        <v>1561.16</v>
      </c>
      <c r="G54" s="161">
        <f>800*0.06+761.16*0.07</f>
        <v>101.28120000000001</v>
      </c>
      <c r="H54" s="19">
        <f t="shared" ref="H54:H62" si="2">G54</f>
        <v>101.28120000000001</v>
      </c>
      <c r="I54" s="5" t="s">
        <v>202</v>
      </c>
    </row>
    <row r="55" spans="1:10" s="4" customFormat="1">
      <c r="A55" s="88"/>
      <c r="B55" s="79" t="s">
        <v>193</v>
      </c>
      <c r="C55" s="21" t="s">
        <v>245</v>
      </c>
      <c r="D55" s="167">
        <v>5112443646</v>
      </c>
      <c r="E55" s="22"/>
      <c r="F55" s="148">
        <v>8465</v>
      </c>
      <c r="G55" s="149">
        <f>F55*0.075*0.6</f>
        <v>380.92500000000001</v>
      </c>
      <c r="H55" s="24">
        <f t="shared" si="2"/>
        <v>380.92500000000001</v>
      </c>
      <c r="I55" s="5" t="s">
        <v>203</v>
      </c>
    </row>
    <row r="56" spans="1:10">
      <c r="A56" s="88"/>
      <c r="B56" s="82" t="s">
        <v>248</v>
      </c>
      <c r="C56" s="22" t="s">
        <v>242</v>
      </c>
      <c r="D56" s="25">
        <v>20350882</v>
      </c>
      <c r="E56" s="25"/>
      <c r="F56" s="163">
        <v>2542.6</v>
      </c>
      <c r="G56" s="164">
        <f>800*0.06+800*0.07+942.6*0.08</f>
        <v>179.40800000000002</v>
      </c>
      <c r="H56" s="41">
        <f t="shared" si="2"/>
        <v>179.40800000000002</v>
      </c>
      <c r="I56" s="83" t="s">
        <v>207</v>
      </c>
    </row>
    <row r="57" spans="1:10">
      <c r="A57" s="88"/>
      <c r="B57" s="79" t="s">
        <v>249</v>
      </c>
      <c r="C57" s="22" t="s">
        <v>242</v>
      </c>
      <c r="D57" s="22">
        <v>20350674</v>
      </c>
      <c r="E57" s="22"/>
      <c r="F57" s="148">
        <v>1476.91</v>
      </c>
      <c r="G57" s="149">
        <f>800*0.06+676.91*0.07</f>
        <v>95.383700000000005</v>
      </c>
      <c r="H57" s="24">
        <f t="shared" si="2"/>
        <v>95.383700000000005</v>
      </c>
      <c r="I57" s="83" t="s">
        <v>208</v>
      </c>
    </row>
    <row r="58" spans="1:10" s="6" customFormat="1">
      <c r="A58" s="88"/>
      <c r="B58" s="79" t="s">
        <v>249</v>
      </c>
      <c r="C58" s="22" t="s">
        <v>5</v>
      </c>
      <c r="D58" s="22">
        <v>20343414</v>
      </c>
      <c r="E58" s="22"/>
      <c r="F58" s="168">
        <v>271</v>
      </c>
      <c r="G58" s="151">
        <f>F58-0.12</f>
        <v>270.88</v>
      </c>
      <c r="H58" s="24">
        <f t="shared" si="2"/>
        <v>270.88</v>
      </c>
      <c r="I58" s="83" t="s">
        <v>209</v>
      </c>
    </row>
    <row r="59" spans="1:10" s="6" customFormat="1">
      <c r="A59" s="88"/>
      <c r="B59" s="79" t="s">
        <v>250</v>
      </c>
      <c r="C59" s="21" t="s">
        <v>242</v>
      </c>
      <c r="D59" s="28">
        <v>20353172</v>
      </c>
      <c r="E59" s="28"/>
      <c r="F59" s="169">
        <v>498.17</v>
      </c>
      <c r="G59" s="170">
        <f>F59*0.06</f>
        <v>29.8902</v>
      </c>
      <c r="H59" s="30">
        <f t="shared" si="2"/>
        <v>29.8902</v>
      </c>
      <c r="I59"/>
    </row>
    <row r="60" spans="1:10">
      <c r="A60" s="92"/>
      <c r="B60" s="79" t="s">
        <v>250</v>
      </c>
      <c r="C60" s="21" t="s">
        <v>242</v>
      </c>
      <c r="D60" s="22">
        <v>20353178</v>
      </c>
      <c r="E60" s="22"/>
      <c r="F60" s="148">
        <v>628.82000000000005</v>
      </c>
      <c r="G60" s="149">
        <f>F60*0.06</f>
        <v>37.729199999999999</v>
      </c>
      <c r="H60" s="24">
        <f t="shared" si="2"/>
        <v>37.729199999999999</v>
      </c>
      <c r="I60" s="5" t="s">
        <v>219</v>
      </c>
    </row>
    <row r="61" spans="1:10" s="3" customFormat="1" ht="15.75" thickBot="1">
      <c r="A61" s="93"/>
      <c r="B61" s="85" t="s">
        <v>253</v>
      </c>
      <c r="C61" s="33" t="s">
        <v>262</v>
      </c>
      <c r="D61" s="25">
        <v>443800</v>
      </c>
      <c r="E61" s="33">
        <v>2033</v>
      </c>
      <c r="F61" s="171">
        <v>1200</v>
      </c>
      <c r="G61" s="172">
        <f>F61*17*0.02*0.6</f>
        <v>244.79999999999998</v>
      </c>
      <c r="H61" s="173">
        <f t="shared" si="2"/>
        <v>244.79999999999998</v>
      </c>
      <c r="I61" s="4" t="s">
        <v>213</v>
      </c>
    </row>
    <row r="62" spans="1:10" s="4" customFormat="1">
      <c r="A62" s="96" t="s">
        <v>297</v>
      </c>
      <c r="B62" s="82" t="s">
        <v>254</v>
      </c>
      <c r="C62" s="33" t="s">
        <v>262</v>
      </c>
      <c r="D62" s="25">
        <v>443472</v>
      </c>
      <c r="E62" s="25">
        <v>2034</v>
      </c>
      <c r="F62" s="163">
        <v>1500</v>
      </c>
      <c r="G62" s="164">
        <f>F62*17*0.02*0.6</f>
        <v>306</v>
      </c>
      <c r="H62" s="41">
        <f t="shared" si="2"/>
        <v>306</v>
      </c>
      <c r="I62" s="5" t="s">
        <v>214</v>
      </c>
      <c r="J62" s="3"/>
    </row>
    <row r="63" spans="1:10">
      <c r="A63" s="88"/>
      <c r="B63" s="85" t="s">
        <v>261</v>
      </c>
      <c r="C63" s="33" t="s">
        <v>5</v>
      </c>
      <c r="D63" s="25">
        <v>20350143</v>
      </c>
      <c r="E63" s="36"/>
      <c r="F63" s="163">
        <v>198.4</v>
      </c>
      <c r="G63" s="164">
        <f>F63*0.12</f>
        <v>23.808</v>
      </c>
      <c r="H63" s="41">
        <f t="shared" ref="H63:H72" si="3">G63</f>
        <v>23.808</v>
      </c>
      <c r="I63" s="5" t="s">
        <v>215</v>
      </c>
    </row>
    <row r="64" spans="1:10">
      <c r="A64" s="88"/>
      <c r="B64" s="85" t="s">
        <v>261</v>
      </c>
      <c r="C64" s="21" t="s">
        <v>252</v>
      </c>
      <c r="D64" s="25">
        <v>20350143</v>
      </c>
      <c r="E64" s="25"/>
      <c r="F64" s="163">
        <v>110.88</v>
      </c>
      <c r="G64" s="164">
        <f>F64*0.15</f>
        <v>16.631999999999998</v>
      </c>
      <c r="H64" s="41">
        <f t="shared" si="3"/>
        <v>16.631999999999998</v>
      </c>
      <c r="I64" s="5"/>
    </row>
    <row r="65" spans="1:9">
      <c r="A65" s="88"/>
      <c r="B65" s="85" t="s">
        <v>263</v>
      </c>
      <c r="C65" s="21" t="s">
        <v>24</v>
      </c>
      <c r="D65" s="25">
        <v>61002771</v>
      </c>
      <c r="E65" s="25"/>
      <c r="F65" s="163">
        <v>307.08</v>
      </c>
      <c r="G65" s="164">
        <f>(F65/12*3.5)*0.6</f>
        <v>53.738999999999997</v>
      </c>
      <c r="H65" s="41">
        <f t="shared" si="3"/>
        <v>53.738999999999997</v>
      </c>
      <c r="I65" s="5"/>
    </row>
    <row r="66" spans="1:9">
      <c r="A66" s="88"/>
      <c r="B66" s="85" t="s">
        <v>268</v>
      </c>
      <c r="C66" s="21" t="s">
        <v>266</v>
      </c>
      <c r="D66" s="25">
        <v>61018913</v>
      </c>
      <c r="E66" s="25"/>
      <c r="F66" s="163">
        <v>1314</v>
      </c>
      <c r="G66" s="164">
        <f>F66/12*3.5*0.6</f>
        <v>229.95</v>
      </c>
      <c r="H66" s="41">
        <f t="shared" si="3"/>
        <v>229.95</v>
      </c>
      <c r="I66" s="5"/>
    </row>
    <row r="67" spans="1:9">
      <c r="A67" s="88"/>
      <c r="B67" s="85" t="s">
        <v>272</v>
      </c>
      <c r="C67" s="21" t="s">
        <v>242</v>
      </c>
      <c r="D67" s="25">
        <v>20356191</v>
      </c>
      <c r="E67" s="25"/>
      <c r="F67" s="163">
        <v>634.04999999999995</v>
      </c>
      <c r="G67" s="164">
        <f>F67*0.06</f>
        <v>38.042999999999999</v>
      </c>
      <c r="H67" s="41">
        <f t="shared" si="3"/>
        <v>38.042999999999999</v>
      </c>
      <c r="I67" s="5"/>
    </row>
    <row r="68" spans="1:9">
      <c r="A68" s="88"/>
      <c r="B68" s="85" t="s">
        <v>273</v>
      </c>
      <c r="C68" s="21" t="s">
        <v>5</v>
      </c>
      <c r="D68" s="25">
        <v>20356204</v>
      </c>
      <c r="E68" s="25"/>
      <c r="F68" s="163">
        <v>647.49</v>
      </c>
      <c r="G68" s="164">
        <f>F68*0.12</f>
        <v>77.698799999999991</v>
      </c>
      <c r="H68" s="41">
        <f t="shared" si="3"/>
        <v>77.698799999999991</v>
      </c>
      <c r="I68" s="5"/>
    </row>
    <row r="69" spans="1:9">
      <c r="A69" s="88"/>
      <c r="B69" s="85" t="s">
        <v>274</v>
      </c>
      <c r="C69" s="21" t="s">
        <v>24</v>
      </c>
      <c r="D69" s="25">
        <v>61019120</v>
      </c>
      <c r="E69" s="25"/>
      <c r="F69" s="163">
        <v>896.83</v>
      </c>
      <c r="G69" s="164">
        <f>F69/12*3.5*0.6</f>
        <v>156.94525000000002</v>
      </c>
      <c r="H69" s="41">
        <f t="shared" si="3"/>
        <v>156.94525000000002</v>
      </c>
      <c r="I69" s="5"/>
    </row>
    <row r="70" spans="1:9">
      <c r="A70" s="88"/>
      <c r="B70" s="85" t="s">
        <v>275</v>
      </c>
      <c r="C70" s="21" t="s">
        <v>262</v>
      </c>
      <c r="D70" s="25">
        <v>443948</v>
      </c>
      <c r="E70" s="25">
        <v>2037</v>
      </c>
      <c r="F70" s="163">
        <v>1692</v>
      </c>
      <c r="G70" s="164">
        <f>F70*20*0.02*0.6</f>
        <v>406.08000000000004</v>
      </c>
      <c r="H70" s="41">
        <f t="shared" si="3"/>
        <v>406.08000000000004</v>
      </c>
      <c r="I70" s="5"/>
    </row>
    <row r="71" spans="1:9">
      <c r="A71" s="88"/>
      <c r="B71" s="85" t="s">
        <v>276</v>
      </c>
      <c r="C71" s="21" t="s">
        <v>245</v>
      </c>
      <c r="D71" s="25">
        <v>444044</v>
      </c>
      <c r="E71" s="25"/>
      <c r="F71" s="163">
        <v>306.92</v>
      </c>
      <c r="G71" s="164">
        <f>F71*0.075*0.6</f>
        <v>13.811400000000001</v>
      </c>
      <c r="H71" s="41">
        <f t="shared" si="3"/>
        <v>13.811400000000001</v>
      </c>
      <c r="I71" s="5"/>
    </row>
    <row r="72" spans="1:9">
      <c r="A72" s="88"/>
      <c r="B72" s="85" t="s">
        <v>278</v>
      </c>
      <c r="C72" s="21" t="s">
        <v>262</v>
      </c>
      <c r="D72" s="25">
        <v>409453</v>
      </c>
      <c r="E72" s="25">
        <v>2027</v>
      </c>
      <c r="F72" s="163">
        <v>1750</v>
      </c>
      <c r="G72" s="164">
        <f>F72*11*0.02*0.6</f>
        <v>231</v>
      </c>
      <c r="H72" s="41">
        <f t="shared" si="3"/>
        <v>231</v>
      </c>
      <c r="I72" s="5"/>
    </row>
    <row r="73" spans="1:9">
      <c r="A73" s="88"/>
      <c r="B73" s="85" t="s">
        <v>279</v>
      </c>
      <c r="C73" s="21" t="s">
        <v>242</v>
      </c>
      <c r="D73" s="25">
        <v>20358460</v>
      </c>
      <c r="E73" s="25"/>
      <c r="F73" s="163">
        <v>1089.23</v>
      </c>
      <c r="G73" s="164">
        <f>800*0.06+289.23*0.07</f>
        <v>68.246099999999998</v>
      </c>
      <c r="H73" s="41">
        <f t="shared" ref="H73:H84" si="4">G73</f>
        <v>68.246099999999998</v>
      </c>
      <c r="I73" s="5"/>
    </row>
    <row r="74" spans="1:9">
      <c r="A74" s="88"/>
      <c r="B74" s="85" t="s">
        <v>280</v>
      </c>
      <c r="C74" s="21" t="s">
        <v>262</v>
      </c>
      <c r="D74" s="25">
        <v>444175</v>
      </c>
      <c r="E74" s="25">
        <v>2041</v>
      </c>
      <c r="F74" s="163">
        <v>1500</v>
      </c>
      <c r="G74" s="164">
        <f>F74*25*0.02*0.6</f>
        <v>450</v>
      </c>
      <c r="H74" s="41">
        <f t="shared" si="4"/>
        <v>450</v>
      </c>
      <c r="I74" s="5"/>
    </row>
    <row r="75" spans="1:9">
      <c r="A75" s="88"/>
      <c r="B75" s="85" t="s">
        <v>281</v>
      </c>
      <c r="C75" s="21" t="s">
        <v>24</v>
      </c>
      <c r="D75" s="25">
        <v>60016648</v>
      </c>
      <c r="E75" s="25"/>
      <c r="F75" s="163">
        <v>612.41</v>
      </c>
      <c r="G75" s="164">
        <f>F75/12*3.5*0.6</f>
        <v>107.17174999999999</v>
      </c>
      <c r="H75" s="41">
        <f t="shared" si="4"/>
        <v>107.17174999999999</v>
      </c>
      <c r="I75" s="5"/>
    </row>
    <row r="76" spans="1:9">
      <c r="A76" s="88"/>
      <c r="B76" s="85" t="s">
        <v>283</v>
      </c>
      <c r="C76" s="21" t="s">
        <v>245</v>
      </c>
      <c r="D76" s="25">
        <v>444043</v>
      </c>
      <c r="E76" s="25"/>
      <c r="F76" s="163">
        <v>253.04</v>
      </c>
      <c r="G76" s="164">
        <f>F76*0.075*0.6</f>
        <v>11.386799999999999</v>
      </c>
      <c r="H76" s="41">
        <f t="shared" si="4"/>
        <v>11.386799999999999</v>
      </c>
      <c r="I76" s="5"/>
    </row>
    <row r="77" spans="1:9">
      <c r="A77" s="88"/>
      <c r="B77" s="85" t="s">
        <v>284</v>
      </c>
      <c r="C77" s="21" t="s">
        <v>285</v>
      </c>
      <c r="D77" s="25">
        <v>20260294</v>
      </c>
      <c r="E77" s="25"/>
      <c r="F77" s="163">
        <v>1704.18</v>
      </c>
      <c r="G77" s="164">
        <f>800*0.06+800*0.07+104.18*0.08*0.5</f>
        <v>108.16719999999999</v>
      </c>
      <c r="H77" s="41">
        <f t="shared" si="4"/>
        <v>108.16719999999999</v>
      </c>
      <c r="I77" s="5"/>
    </row>
    <row r="78" spans="1:9">
      <c r="A78" s="88"/>
      <c r="B78" s="85" t="s">
        <v>286</v>
      </c>
      <c r="C78" s="21" t="s">
        <v>262</v>
      </c>
      <c r="D78" s="25">
        <v>444155</v>
      </c>
      <c r="E78" s="25">
        <v>2052</v>
      </c>
      <c r="F78" s="163">
        <v>1500</v>
      </c>
      <c r="G78" s="164">
        <f>F78*36*0.02*0.6</f>
        <v>648</v>
      </c>
      <c r="H78" s="41">
        <f t="shared" si="4"/>
        <v>648</v>
      </c>
      <c r="I78" s="5"/>
    </row>
    <row r="79" spans="1:9">
      <c r="A79" s="88"/>
      <c r="B79" s="85" t="s">
        <v>287</v>
      </c>
      <c r="C79" s="21" t="s">
        <v>242</v>
      </c>
      <c r="D79" s="25">
        <v>20354097</v>
      </c>
      <c r="E79" s="25"/>
      <c r="F79" s="163">
        <v>1705.92</v>
      </c>
      <c r="G79" s="164">
        <f>800*0.06+800*0.07+105.92*0.08</f>
        <v>112.4736</v>
      </c>
      <c r="H79" s="41">
        <f t="shared" si="4"/>
        <v>112.4736</v>
      </c>
      <c r="I79" s="5"/>
    </row>
    <row r="80" spans="1:9">
      <c r="A80" s="88"/>
      <c r="B80" s="85" t="s">
        <v>287</v>
      </c>
      <c r="C80" s="21" t="s">
        <v>293</v>
      </c>
      <c r="D80" s="25">
        <v>8012702014</v>
      </c>
      <c r="E80" s="25"/>
      <c r="F80" s="163">
        <v>600</v>
      </c>
      <c r="G80" s="164">
        <f>F80*20*0.025*0.6</f>
        <v>180</v>
      </c>
      <c r="H80" s="41">
        <f>G80</f>
        <v>180</v>
      </c>
      <c r="I80" s="5"/>
    </row>
    <row r="81" spans="1:9">
      <c r="A81" s="88"/>
      <c r="B81" s="85" t="s">
        <v>287</v>
      </c>
      <c r="C81" s="21" t="s">
        <v>5</v>
      </c>
      <c r="D81" s="25">
        <v>20357832</v>
      </c>
      <c r="E81" s="25"/>
      <c r="F81" s="163">
        <v>236.5</v>
      </c>
      <c r="G81" s="164">
        <f>F81*0.12</f>
        <v>28.38</v>
      </c>
      <c r="H81" s="41">
        <f t="shared" si="4"/>
        <v>28.38</v>
      </c>
      <c r="I81" s="5"/>
    </row>
    <row r="82" spans="1:9">
      <c r="A82" s="88"/>
      <c r="B82" s="85" t="s">
        <v>288</v>
      </c>
      <c r="C82" s="21" t="s">
        <v>242</v>
      </c>
      <c r="D82" s="25">
        <v>20360225</v>
      </c>
      <c r="E82" s="25"/>
      <c r="F82" s="163">
        <v>1024.33</v>
      </c>
      <c r="G82" s="164">
        <f>800*0.06+224.33*0.07</f>
        <v>63.703100000000006</v>
      </c>
      <c r="H82" s="41">
        <f t="shared" si="4"/>
        <v>63.703100000000006</v>
      </c>
      <c r="I82" s="5"/>
    </row>
    <row r="83" spans="1:9">
      <c r="A83" s="88"/>
      <c r="B83" s="85" t="s">
        <v>289</v>
      </c>
      <c r="C83" s="21" t="s">
        <v>252</v>
      </c>
      <c r="D83" s="25">
        <v>60017932</v>
      </c>
      <c r="E83" s="25"/>
      <c r="F83" s="163">
        <v>145.08000000000001</v>
      </c>
      <c r="G83" s="164">
        <f>F83*0.15</f>
        <v>21.762</v>
      </c>
      <c r="H83" s="41">
        <f t="shared" si="4"/>
        <v>21.762</v>
      </c>
      <c r="I83" s="5"/>
    </row>
    <row r="84" spans="1:9">
      <c r="A84" s="88"/>
      <c r="B84" s="85" t="s">
        <v>290</v>
      </c>
      <c r="C84" s="21" t="s">
        <v>133</v>
      </c>
      <c r="D84" s="25">
        <v>20358950</v>
      </c>
      <c r="E84" s="25"/>
      <c r="F84" s="163">
        <v>391.29</v>
      </c>
      <c r="G84" s="164">
        <f>F84*0.1</f>
        <v>39.129000000000005</v>
      </c>
      <c r="H84" s="41">
        <f t="shared" si="4"/>
        <v>39.129000000000005</v>
      </c>
      <c r="I84" s="5"/>
    </row>
    <row r="85" spans="1:9">
      <c r="A85" s="88"/>
      <c r="B85" s="53" t="s">
        <v>294</v>
      </c>
      <c r="C85" s="58" t="s">
        <v>262</v>
      </c>
      <c r="D85" s="114">
        <v>60219308</v>
      </c>
      <c r="E85" s="114">
        <v>2026</v>
      </c>
      <c r="F85" s="178">
        <v>1200</v>
      </c>
      <c r="G85" s="179">
        <f>F85*9*0.02*0.6</f>
        <v>129.6</v>
      </c>
      <c r="H85" s="115">
        <f>G85</f>
        <v>129.6</v>
      </c>
      <c r="I85" s="5"/>
    </row>
    <row r="86" spans="1:9">
      <c r="A86" s="88"/>
      <c r="B86" s="53" t="s">
        <v>279</v>
      </c>
      <c r="C86" s="58" t="s">
        <v>5</v>
      </c>
      <c r="D86" s="114"/>
      <c r="E86" s="114"/>
      <c r="F86" s="178">
        <v>240</v>
      </c>
      <c r="G86" s="179">
        <f>F86*0.12</f>
        <v>28.799999999999997</v>
      </c>
      <c r="H86" s="115">
        <f>G86</f>
        <v>28.799999999999997</v>
      </c>
      <c r="I86" s="5"/>
    </row>
    <row r="87" spans="1:9">
      <c r="A87" s="88"/>
      <c r="B87" s="53" t="s">
        <v>295</v>
      </c>
      <c r="C87" s="58" t="s">
        <v>252</v>
      </c>
      <c r="D87" s="114">
        <v>20236368</v>
      </c>
      <c r="E87" s="114"/>
      <c r="F87" s="178">
        <v>110.88</v>
      </c>
      <c r="G87" s="179">
        <f>F87*0.15</f>
        <v>16.631999999999998</v>
      </c>
      <c r="H87" s="115">
        <f>G87</f>
        <v>16.631999999999998</v>
      </c>
      <c r="I87" s="5"/>
    </row>
    <row r="88" spans="1:9">
      <c r="A88" s="88"/>
      <c r="B88" s="53" t="s">
        <v>196</v>
      </c>
      <c r="C88" s="58" t="s">
        <v>8</v>
      </c>
      <c r="D88" s="114">
        <v>24628603</v>
      </c>
      <c r="E88" s="114"/>
      <c r="F88" s="178">
        <v>42000</v>
      </c>
      <c r="G88" s="179">
        <f>F88*0.007*0.6</f>
        <v>176.4</v>
      </c>
      <c r="H88" s="115">
        <f>G88</f>
        <v>176.4</v>
      </c>
      <c r="I88" s="5"/>
    </row>
    <row r="89" spans="1:9">
      <c r="A89" s="88"/>
      <c r="B89" s="53"/>
      <c r="C89" s="58"/>
      <c r="D89" s="114"/>
      <c r="E89" s="114"/>
      <c r="F89" s="178"/>
      <c r="G89" s="179"/>
      <c r="H89" s="115"/>
      <c r="I89" s="5"/>
    </row>
    <row r="90" spans="1:9">
      <c r="A90" s="88"/>
      <c r="B90" s="53"/>
      <c r="C90" s="58"/>
      <c r="D90" s="114"/>
      <c r="E90" s="114"/>
      <c r="F90" s="178"/>
      <c r="G90" s="179"/>
      <c r="H90" s="115"/>
      <c r="I90" s="5"/>
    </row>
    <row r="91" spans="1:9" ht="15.75" thickBot="1">
      <c r="A91" s="88"/>
      <c r="B91" s="180" t="s">
        <v>291</v>
      </c>
      <c r="C91" s="154"/>
      <c r="D91" s="174"/>
      <c r="E91" s="174"/>
      <c r="F91" s="175"/>
      <c r="G91" s="176"/>
      <c r="H91" s="177">
        <f>SUM(H54:H87)</f>
        <v>4907.4562999999998</v>
      </c>
      <c r="I91" s="5"/>
    </row>
    <row r="92" spans="1:9" ht="15.75" thickBot="1">
      <c r="A92" s="88"/>
      <c r="B92" s="184"/>
      <c r="C92" s="185"/>
      <c r="D92" s="186"/>
      <c r="E92" s="186"/>
      <c r="F92" s="187"/>
      <c r="G92" s="188"/>
      <c r="H92" s="189"/>
      <c r="I92" s="5"/>
    </row>
    <row r="93" spans="1:9" ht="15.75" thickBot="1">
      <c r="A93" s="111"/>
      <c r="B93" s="181" t="s">
        <v>292</v>
      </c>
      <c r="C93" s="127"/>
      <c r="D93" s="127"/>
      <c r="E93" s="127"/>
      <c r="F93" s="139"/>
      <c r="G93" s="146"/>
      <c r="H93" s="128">
        <f>SUM(H20,H53,H91)</f>
        <v>7535.9843000000001</v>
      </c>
      <c r="I93" s="5"/>
    </row>
    <row r="94" spans="1:9">
      <c r="A94" s="91"/>
      <c r="B94" s="117"/>
      <c r="C94" s="118"/>
      <c r="D94" s="118"/>
      <c r="E94" s="118"/>
      <c r="F94" s="140"/>
      <c r="G94" s="145"/>
      <c r="H94" s="123"/>
      <c r="I94" s="5"/>
    </row>
    <row r="95" spans="1:9">
      <c r="A95" s="91"/>
      <c r="B95" s="117" t="s">
        <v>235</v>
      </c>
      <c r="C95" s="118"/>
      <c r="D95" s="118"/>
      <c r="E95" s="118"/>
      <c r="F95" s="140"/>
      <c r="G95" s="145"/>
      <c r="H95" s="123">
        <f>H10</f>
        <v>5178.6499999999996</v>
      </c>
      <c r="I95" s="5"/>
    </row>
    <row r="96" spans="1:9">
      <c r="A96" s="91"/>
      <c r="B96" s="117" t="s">
        <v>232</v>
      </c>
      <c r="C96" s="118"/>
      <c r="D96" s="118"/>
      <c r="E96" s="118"/>
      <c r="F96" s="140"/>
      <c r="G96" s="145"/>
      <c r="H96" s="123">
        <f>SUM(H93:H95)</f>
        <v>12714.6343</v>
      </c>
      <c r="I96" s="5"/>
    </row>
    <row r="97" spans="1:8" s="75" customFormat="1" ht="15.75" thickBot="1">
      <c r="A97" s="91"/>
      <c r="B97" s="112" t="s">
        <v>236</v>
      </c>
      <c r="C97" s="45"/>
      <c r="D97" s="45"/>
      <c r="E97" s="45"/>
      <c r="F97" s="141"/>
      <c r="G97" s="144"/>
      <c r="H97" s="24">
        <f>H96/3</f>
        <v>4238.2114333333329</v>
      </c>
    </row>
    <row r="98" spans="1:8" s="71" customFormat="1">
      <c r="A98" s="91"/>
      <c r="B98" s="72"/>
      <c r="C98" s="73"/>
      <c r="D98" s="73"/>
      <c r="E98" s="73"/>
      <c r="F98" s="142"/>
      <c r="G98" s="147"/>
      <c r="H98" s="76"/>
    </row>
    <row r="99" spans="1:8" s="71" customFormat="1">
      <c r="A99" s="91"/>
      <c r="B99" s="72"/>
      <c r="C99" s="73"/>
      <c r="D99" s="73"/>
      <c r="E99" s="73"/>
      <c r="F99" s="142"/>
      <c r="G99" s="137"/>
      <c r="H99" s="74"/>
    </row>
    <row r="100" spans="1:8" s="71" customFormat="1">
      <c r="A100" s="91"/>
      <c r="B100" s="72"/>
      <c r="C100" s="73"/>
      <c r="D100" s="73"/>
      <c r="E100" s="73"/>
      <c r="F100" s="142"/>
      <c r="G100" s="137"/>
      <c r="H100" s="74"/>
    </row>
    <row r="101" spans="1:8" s="71" customFormat="1">
      <c r="A101" s="91"/>
      <c r="B101" s="72"/>
      <c r="C101" s="73"/>
      <c r="D101" s="73"/>
      <c r="E101" s="73"/>
      <c r="F101" s="142"/>
      <c r="G101" s="137"/>
      <c r="H101" s="74"/>
    </row>
    <row r="102" spans="1:8">
      <c r="B102" s="72"/>
      <c r="C102" s="73"/>
      <c r="D102" s="73"/>
      <c r="E102" s="73"/>
      <c r="F102" s="142"/>
      <c r="G102" s="137"/>
      <c r="H102" s="74"/>
    </row>
  </sheetData>
  <printOptions gridLines="1"/>
  <pageMargins left="0.23622047244094491" right="0.23622047244094491" top="0.74803149606299213" bottom="0.74803149606299213" header="0.31496062992125984" footer="0.31496062992125984"/>
  <pageSetup paperSize="9" orientation="landscape" r:id="rId1"/>
  <headerFooter>
    <oddHeader>&amp;C&amp;"-,Gras"&amp;14COMMISSION JEFF DERAPPE 4 ème TRIMESTRE</oddHeader>
    <oddFooter xml:space="preserve">&amp;L&amp;8&amp;Z&amp;F&amp;C&amp;7&amp;P/&amp;N&amp;RModfié le &amp;D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L94"/>
  <sheetViews>
    <sheetView topLeftCell="A34" zoomScale="150" zoomScaleNormal="150" workbookViewId="0">
      <selection activeCell="H50" sqref="H50"/>
    </sheetView>
  </sheetViews>
  <sheetFormatPr defaultColWidth="11.42578125" defaultRowHeight="15"/>
  <cols>
    <col min="1" max="1" width="16" style="86" customWidth="1"/>
    <col min="2" max="2" width="28" style="7" customWidth="1"/>
    <col min="3" max="3" width="21.7109375" style="1" customWidth="1"/>
    <col min="4" max="4" width="18.85546875" style="1" customWidth="1"/>
    <col min="5" max="5" width="8.42578125" style="222" customWidth="1"/>
    <col min="6" max="6" width="10.5703125" style="1" customWidth="1"/>
    <col min="7" max="7" width="13.28515625" style="138" customWidth="1"/>
    <col min="8" max="8" width="12.42578125" style="135" customWidth="1"/>
    <col min="9" max="9" width="12.42578125" style="2" customWidth="1"/>
    <col min="10" max="10" width="34.28515625" hidden="1" customWidth="1"/>
    <col min="11" max="11" width="11.5703125" style="1" customWidth="1"/>
  </cols>
  <sheetData>
    <row r="1" spans="1:11" ht="30" customHeight="1">
      <c r="B1" s="190"/>
      <c r="C1" s="191"/>
      <c r="D1" s="190"/>
      <c r="E1" s="225"/>
      <c r="F1" s="182"/>
      <c r="G1" s="133"/>
      <c r="H1" s="133"/>
      <c r="I1" s="66"/>
      <c r="J1" s="191"/>
    </row>
    <row r="2" spans="1:11" s="10" customFormat="1" ht="18.75" customHeight="1">
      <c r="A2" s="86"/>
      <c r="D2" s="1" t="s">
        <v>366</v>
      </c>
      <c r="E2" s="222"/>
      <c r="F2" s="11" t="s">
        <v>216</v>
      </c>
      <c r="G2" s="134"/>
      <c r="H2" s="134"/>
      <c r="I2" s="10">
        <f>6*80</f>
        <v>480</v>
      </c>
      <c r="K2" s="2"/>
    </row>
    <row r="3" spans="1:11" s="10" customFormat="1" ht="18.75" customHeight="1">
      <c r="A3" s="86"/>
      <c r="D3" s="2"/>
      <c r="E3" s="226"/>
      <c r="F3" s="84"/>
      <c r="G3" s="134"/>
      <c r="H3" s="134"/>
      <c r="K3" s="2"/>
    </row>
    <row r="4" spans="1:11">
      <c r="B4" s="7" t="s">
        <v>197</v>
      </c>
      <c r="C4" s="9"/>
      <c r="F4" s="11"/>
      <c r="G4" s="134"/>
      <c r="H4" s="134"/>
      <c r="I4" s="10"/>
      <c r="J4" s="9"/>
    </row>
    <row r="5" spans="1:11">
      <c r="C5" s="9"/>
      <c r="F5" s="11"/>
      <c r="G5" s="134"/>
      <c r="H5" s="134"/>
      <c r="I5" s="10"/>
      <c r="J5" s="9"/>
    </row>
    <row r="6" spans="1:11">
      <c r="B6" s="7" t="s">
        <v>76</v>
      </c>
      <c r="C6" s="9" t="s">
        <v>305</v>
      </c>
      <c r="F6" s="11"/>
      <c r="G6" s="134"/>
      <c r="H6" s="134"/>
      <c r="I6" s="10">
        <v>1379</v>
      </c>
      <c r="J6" s="9"/>
    </row>
    <row r="7" spans="1:11">
      <c r="B7" s="7" t="s">
        <v>76</v>
      </c>
      <c r="C7" s="9" t="s">
        <v>306</v>
      </c>
      <c r="F7" s="11"/>
      <c r="G7" s="134"/>
      <c r="H7" s="134"/>
      <c r="I7" s="10">
        <v>1502.55</v>
      </c>
      <c r="J7" s="9"/>
    </row>
    <row r="8" spans="1:11">
      <c r="B8" s="7" t="s">
        <v>76</v>
      </c>
      <c r="C8" s="9" t="s">
        <v>307</v>
      </c>
      <c r="F8" s="11"/>
      <c r="G8" s="134"/>
      <c r="H8" s="134"/>
      <c r="I8" s="10">
        <v>1621.55</v>
      </c>
      <c r="J8" s="9"/>
    </row>
    <row r="9" spans="1:11">
      <c r="C9" s="9"/>
      <c r="F9" s="11"/>
      <c r="G9" s="134"/>
      <c r="H9" s="134"/>
      <c r="I9" s="10"/>
      <c r="J9" s="9"/>
    </row>
    <row r="10" spans="1:11">
      <c r="B10" s="7" t="s">
        <v>234</v>
      </c>
      <c r="C10" s="9"/>
      <c r="F10" s="11"/>
      <c r="G10" s="134"/>
      <c r="H10" s="134"/>
      <c r="I10" s="125">
        <f>SUM(I2:I8)</f>
        <v>4983.1000000000004</v>
      </c>
      <c r="J10" s="9"/>
    </row>
    <row r="11" spans="1:11" ht="15.75" thickBot="1">
      <c r="J11" s="11"/>
    </row>
    <row r="12" spans="1:11" ht="30">
      <c r="A12" s="87"/>
      <c r="B12" s="15" t="s">
        <v>0</v>
      </c>
      <c r="C12" s="16" t="s">
        <v>56</v>
      </c>
      <c r="D12" s="16" t="s">
        <v>11</v>
      </c>
      <c r="E12" s="227" t="s">
        <v>374</v>
      </c>
      <c r="F12" s="16" t="s">
        <v>59</v>
      </c>
      <c r="G12" s="192" t="s">
        <v>80</v>
      </c>
      <c r="H12" s="193" t="s">
        <v>1</v>
      </c>
      <c r="I12" s="19" t="s">
        <v>98</v>
      </c>
      <c r="K12" s="232" t="s">
        <v>370</v>
      </c>
    </row>
    <row r="13" spans="1:11">
      <c r="A13" s="88" t="s">
        <v>305</v>
      </c>
      <c r="B13" s="20" t="s">
        <v>311</v>
      </c>
      <c r="C13" s="22" t="s">
        <v>57</v>
      </c>
      <c r="D13" s="22">
        <v>20360895</v>
      </c>
      <c r="E13" s="36"/>
      <c r="F13" s="22"/>
      <c r="G13" s="148">
        <v>244.83</v>
      </c>
      <c r="H13" s="151">
        <f>G13*0.12</f>
        <v>29.3796</v>
      </c>
      <c r="I13" s="152">
        <f t="shared" ref="I13:I25" si="0">H13</f>
        <v>29.3796</v>
      </c>
      <c r="J13" t="s">
        <v>167</v>
      </c>
      <c r="K13" s="233"/>
    </row>
    <row r="14" spans="1:11">
      <c r="A14" s="88"/>
      <c r="B14" s="20" t="s">
        <v>313</v>
      </c>
      <c r="C14" s="21" t="s">
        <v>314</v>
      </c>
      <c r="D14" s="22">
        <v>20364861</v>
      </c>
      <c r="E14" s="36"/>
      <c r="F14" s="22"/>
      <c r="G14" s="148">
        <v>914.77</v>
      </c>
      <c r="H14" s="149">
        <f>((800*0.06)+(114.77*0.07))</f>
        <v>56.033900000000003</v>
      </c>
      <c r="I14" s="152">
        <f t="shared" si="0"/>
        <v>56.033900000000003</v>
      </c>
      <c r="J14" t="s">
        <v>169</v>
      </c>
      <c r="K14" s="233"/>
    </row>
    <row r="15" spans="1:11">
      <c r="A15" s="88"/>
      <c r="B15" s="20" t="s">
        <v>316</v>
      </c>
      <c r="C15" s="21" t="s">
        <v>315</v>
      </c>
      <c r="D15" s="22">
        <v>20363991</v>
      </c>
      <c r="E15" s="36"/>
      <c r="F15" s="22"/>
      <c r="G15" s="148">
        <v>199.62</v>
      </c>
      <c r="H15" s="149">
        <f>G15*0.12</f>
        <v>23.9544</v>
      </c>
      <c r="I15" s="152">
        <f t="shared" si="0"/>
        <v>23.9544</v>
      </c>
      <c r="J15" t="s">
        <v>168</v>
      </c>
      <c r="K15" s="233"/>
    </row>
    <row r="16" spans="1:11">
      <c r="A16" s="88"/>
      <c r="B16" s="20" t="s">
        <v>316</v>
      </c>
      <c r="C16" s="21" t="s">
        <v>317</v>
      </c>
      <c r="D16" s="22">
        <v>61020478</v>
      </c>
      <c r="E16" s="36"/>
      <c r="F16" s="22"/>
      <c r="G16" s="148">
        <v>688.32</v>
      </c>
      <c r="H16" s="149">
        <f>(G16/12*3.5)*0.6</f>
        <v>120.456</v>
      </c>
      <c r="I16" s="158">
        <f t="shared" si="0"/>
        <v>120.456</v>
      </c>
      <c r="J16" t="s">
        <v>155</v>
      </c>
      <c r="K16" s="233"/>
    </row>
    <row r="17" spans="1:12">
      <c r="A17" s="88"/>
      <c r="B17" s="20" t="s">
        <v>318</v>
      </c>
      <c r="C17" s="21" t="s">
        <v>310</v>
      </c>
      <c r="D17" s="22">
        <v>610729</v>
      </c>
      <c r="E17" s="36"/>
      <c r="F17" s="22">
        <v>2036</v>
      </c>
      <c r="G17" s="148">
        <v>1500</v>
      </c>
      <c r="H17" s="149">
        <f>(G17*19*0.02)*0.6</f>
        <v>342</v>
      </c>
      <c r="I17" s="158">
        <f t="shared" si="0"/>
        <v>342</v>
      </c>
      <c r="J17" t="s">
        <v>163</v>
      </c>
      <c r="K17" s="233"/>
    </row>
    <row r="18" spans="1:12">
      <c r="A18" s="88"/>
      <c r="B18" s="20" t="s">
        <v>319</v>
      </c>
      <c r="C18" s="21" t="s">
        <v>5</v>
      </c>
      <c r="D18" s="22">
        <v>20362467</v>
      </c>
      <c r="E18" s="36"/>
      <c r="F18" s="22"/>
      <c r="G18" s="148">
        <v>208.59</v>
      </c>
      <c r="H18" s="149">
        <f>G18*0.12</f>
        <v>25.030799999999999</v>
      </c>
      <c r="I18" s="158">
        <f t="shared" si="0"/>
        <v>25.030799999999999</v>
      </c>
      <c r="K18" s="233"/>
    </row>
    <row r="19" spans="1:12">
      <c r="A19" s="88"/>
      <c r="B19" s="20" t="s">
        <v>320</v>
      </c>
      <c r="C19" s="21" t="s">
        <v>317</v>
      </c>
      <c r="D19" s="22">
        <v>61019914</v>
      </c>
      <c r="E19" s="36"/>
      <c r="F19" s="22"/>
      <c r="G19" s="148">
        <v>1354.2</v>
      </c>
      <c r="H19" s="149">
        <f>(G19/12*3.5)*0.6</f>
        <v>236.98500000000001</v>
      </c>
      <c r="I19" s="158">
        <f t="shared" si="0"/>
        <v>236.98500000000001</v>
      </c>
      <c r="K19" s="233"/>
    </row>
    <row r="20" spans="1:12">
      <c r="A20" s="88"/>
      <c r="B20" s="20" t="s">
        <v>322</v>
      </c>
      <c r="C20" s="21" t="s">
        <v>310</v>
      </c>
      <c r="D20" s="22">
        <v>610905</v>
      </c>
      <c r="E20" s="36"/>
      <c r="F20" s="22">
        <v>2028</v>
      </c>
      <c r="G20" s="148">
        <v>1200</v>
      </c>
      <c r="H20" s="149">
        <f>(G20*11*0.02)*0.6</f>
        <v>158.4</v>
      </c>
      <c r="I20" s="158">
        <f t="shared" si="0"/>
        <v>158.4</v>
      </c>
      <c r="K20" s="233"/>
    </row>
    <row r="21" spans="1:12">
      <c r="A21" s="88"/>
      <c r="B21" s="20" t="s">
        <v>321</v>
      </c>
      <c r="C21" s="21" t="s">
        <v>310</v>
      </c>
      <c r="D21" s="22">
        <v>610917</v>
      </c>
      <c r="E21" s="36"/>
      <c r="F21" s="22">
        <v>2026</v>
      </c>
      <c r="G21" s="148">
        <v>1200</v>
      </c>
      <c r="H21" s="149">
        <f>(G21*9*0.02)*0.6</f>
        <v>129.6</v>
      </c>
      <c r="I21" s="158">
        <f t="shared" si="0"/>
        <v>129.6</v>
      </c>
      <c r="K21" s="233"/>
    </row>
    <row r="22" spans="1:12">
      <c r="A22" s="88"/>
      <c r="B22" s="20" t="s">
        <v>323</v>
      </c>
      <c r="C22" s="21" t="s">
        <v>310</v>
      </c>
      <c r="D22" s="22">
        <v>610771</v>
      </c>
      <c r="E22" s="36"/>
      <c r="F22" s="22">
        <v>2030</v>
      </c>
      <c r="G22" s="148">
        <v>1100</v>
      </c>
      <c r="H22" s="149">
        <f>(G22*13*0.02)*0.6</f>
        <v>171.6</v>
      </c>
      <c r="I22" s="158">
        <f t="shared" si="0"/>
        <v>171.6</v>
      </c>
      <c r="K22" s="233"/>
    </row>
    <row r="23" spans="1:12">
      <c r="A23" s="88"/>
      <c r="B23" s="20" t="s">
        <v>324</v>
      </c>
      <c r="C23" s="21" t="s">
        <v>325</v>
      </c>
      <c r="D23" s="22">
        <v>20362492</v>
      </c>
      <c r="E23" s="36"/>
      <c r="F23" s="22"/>
      <c r="G23" s="148">
        <v>156.69</v>
      </c>
      <c r="H23" s="149">
        <f>G23*0.12</f>
        <v>18.802799999999998</v>
      </c>
      <c r="I23" s="158">
        <f t="shared" si="0"/>
        <v>18.802799999999998</v>
      </c>
      <c r="K23" s="233"/>
    </row>
    <row r="24" spans="1:12">
      <c r="A24" s="88"/>
      <c r="B24" s="34" t="s">
        <v>326</v>
      </c>
      <c r="C24" s="35" t="s">
        <v>314</v>
      </c>
      <c r="D24" s="36">
        <v>20365397</v>
      </c>
      <c r="E24" s="36"/>
      <c r="F24" s="36"/>
      <c r="G24" s="219">
        <v>1172.1500000000001</v>
      </c>
      <c r="H24" s="220">
        <f>(800*0.06)+(372.15*0.07)</f>
        <v>74.0505</v>
      </c>
      <c r="I24" s="158">
        <f t="shared" si="0"/>
        <v>74.0505</v>
      </c>
      <c r="K24" s="235" t="s">
        <v>372</v>
      </c>
    </row>
    <row r="25" spans="1:12">
      <c r="A25" s="88"/>
      <c r="B25" s="34" t="s">
        <v>326</v>
      </c>
      <c r="C25" s="35" t="s">
        <v>5</v>
      </c>
      <c r="D25" s="36">
        <v>20365397</v>
      </c>
      <c r="E25" s="36"/>
      <c r="F25" s="36"/>
      <c r="G25" s="219">
        <v>130.66</v>
      </c>
      <c r="H25" s="220">
        <f>G25*0.12</f>
        <v>15.6792</v>
      </c>
      <c r="I25" s="158">
        <f t="shared" si="0"/>
        <v>15.6792</v>
      </c>
      <c r="K25" s="235" t="s">
        <v>372</v>
      </c>
    </row>
    <row r="26" spans="1:12">
      <c r="A26" s="88"/>
      <c r="B26" s="20" t="s">
        <v>327</v>
      </c>
      <c r="C26" s="21" t="s">
        <v>5</v>
      </c>
      <c r="D26" s="22">
        <v>20365809</v>
      </c>
      <c r="E26" s="36"/>
      <c r="G26" s="22">
        <v>454.46</v>
      </c>
      <c r="H26" s="149">
        <f>G26*0.12</f>
        <v>54.535199999999996</v>
      </c>
      <c r="I26" s="158">
        <f>H26</f>
        <v>54.535199999999996</v>
      </c>
      <c r="K26" s="233"/>
    </row>
    <row r="27" spans="1:12">
      <c r="A27" s="88"/>
      <c r="B27" s="20" t="s">
        <v>328</v>
      </c>
      <c r="C27" s="21" t="s">
        <v>68</v>
      </c>
      <c r="D27" s="22">
        <v>20248133</v>
      </c>
      <c r="E27" s="36"/>
      <c r="F27" s="22"/>
      <c r="G27" s="148">
        <v>111.71</v>
      </c>
      <c r="H27" s="149">
        <f>G27*0.15</f>
        <v>16.756499999999999</v>
      </c>
      <c r="I27" s="158">
        <f>H27</f>
        <v>16.756499999999999</v>
      </c>
      <c r="K27" s="233"/>
    </row>
    <row r="28" spans="1:12">
      <c r="A28" s="88"/>
      <c r="B28" s="34" t="s">
        <v>365</v>
      </c>
      <c r="C28" s="35" t="s">
        <v>310</v>
      </c>
      <c r="D28" s="36">
        <v>611030</v>
      </c>
      <c r="E28" s="36"/>
      <c r="F28" s="36">
        <v>2039</v>
      </c>
      <c r="G28" s="219">
        <v>1692</v>
      </c>
      <c r="H28" s="220">
        <f>(G28*22*0.02)*0.6</f>
        <v>446.68799999999999</v>
      </c>
      <c r="I28" s="158">
        <f>H28</f>
        <v>446.68799999999999</v>
      </c>
      <c r="J28" s="3"/>
      <c r="K28" s="235" t="s">
        <v>371</v>
      </c>
    </row>
    <row r="29" spans="1:12">
      <c r="A29" s="88"/>
      <c r="B29" s="20" t="s">
        <v>329</v>
      </c>
      <c r="C29" s="21" t="s">
        <v>317</v>
      </c>
      <c r="D29" s="22">
        <v>61020598</v>
      </c>
      <c r="E29" s="36"/>
      <c r="F29" s="22"/>
      <c r="G29" s="148">
        <v>663.96</v>
      </c>
      <c r="H29" s="149">
        <f>(G29/12*3.5)*0.6</f>
        <v>116.19300000000001</v>
      </c>
      <c r="I29" s="158">
        <f>H29</f>
        <v>116.19300000000001</v>
      </c>
      <c r="K29" s="233"/>
    </row>
    <row r="30" spans="1:12" ht="15.75" thickBot="1">
      <c r="A30" s="88"/>
      <c r="B30" s="207"/>
      <c r="C30" s="22"/>
      <c r="D30" s="22"/>
      <c r="E30" s="36"/>
      <c r="F30" s="22"/>
      <c r="G30" s="148"/>
      <c r="H30" s="151"/>
      <c r="I30" s="158"/>
      <c r="K30" s="234"/>
    </row>
    <row r="31" spans="1:12" ht="15.75" thickBot="1">
      <c r="A31" s="236"/>
      <c r="B31" s="208" t="s">
        <v>330</v>
      </c>
      <c r="C31" s="154"/>
      <c r="D31" s="155"/>
      <c r="E31" s="229"/>
      <c r="F31" s="155"/>
      <c r="G31" s="156"/>
      <c r="H31" s="157"/>
      <c r="I31" s="159">
        <f>SUM(I13:I30)</f>
        <v>2036.1449</v>
      </c>
    </row>
    <row r="32" spans="1:12">
      <c r="A32" s="96" t="s">
        <v>306</v>
      </c>
      <c r="B32" s="15" t="s">
        <v>331</v>
      </c>
      <c r="C32" s="16" t="s">
        <v>57</v>
      </c>
      <c r="D32" s="16">
        <v>20350380</v>
      </c>
      <c r="E32" s="227"/>
      <c r="F32" s="16"/>
      <c r="G32" s="160">
        <v>172.9</v>
      </c>
      <c r="H32" s="161">
        <f>G32*0.12</f>
        <v>20.748000000000001</v>
      </c>
      <c r="I32" s="19">
        <f t="shared" ref="I32:I37" si="1">H32</f>
        <v>20.748000000000001</v>
      </c>
      <c r="J32" s="70" t="s">
        <v>154</v>
      </c>
      <c r="K32" s="232"/>
      <c r="L32" s="70"/>
    </row>
    <row r="33" spans="1:12" s="70" customFormat="1">
      <c r="B33" s="20" t="s">
        <v>332</v>
      </c>
      <c r="C33" s="21" t="s">
        <v>317</v>
      </c>
      <c r="D33" s="22">
        <v>61020710</v>
      </c>
      <c r="E33" s="36"/>
      <c r="F33" s="22"/>
      <c r="G33" s="148">
        <v>1470.84</v>
      </c>
      <c r="H33" s="149">
        <f>(G33/12*3.5)*0.6</f>
        <v>257.39699999999999</v>
      </c>
      <c r="I33" s="24">
        <f t="shared" si="1"/>
        <v>257.39699999999999</v>
      </c>
      <c r="J33" t="s">
        <v>171</v>
      </c>
      <c r="K33" s="237"/>
      <c r="L33" s="6"/>
    </row>
    <row r="34" spans="1:12" s="6" customFormat="1">
      <c r="A34" s="88"/>
      <c r="B34" s="20" t="s">
        <v>332</v>
      </c>
      <c r="C34" s="21" t="s">
        <v>317</v>
      </c>
      <c r="D34" s="22">
        <v>61020956</v>
      </c>
      <c r="E34" s="36"/>
      <c r="F34" s="22"/>
      <c r="G34" s="148">
        <v>663.96</v>
      </c>
      <c r="H34" s="149">
        <f>(G34/12*3.5)*0.6</f>
        <v>116.19300000000001</v>
      </c>
      <c r="I34" s="24">
        <f t="shared" si="1"/>
        <v>116.19300000000001</v>
      </c>
      <c r="J34" s="5" t="s">
        <v>199</v>
      </c>
      <c r="K34" s="233"/>
      <c r="L34"/>
    </row>
    <row r="35" spans="1:12">
      <c r="A35" s="88"/>
      <c r="B35" s="39" t="s">
        <v>333</v>
      </c>
      <c r="C35" s="33" t="s">
        <v>334</v>
      </c>
      <c r="D35" s="25">
        <v>610986</v>
      </c>
      <c r="E35" s="25"/>
      <c r="F35" s="25">
        <v>2048</v>
      </c>
      <c r="G35" s="163">
        <v>1200</v>
      </c>
      <c r="H35" s="164">
        <f>(G35*31*0.02)*0.6</f>
        <v>446.4</v>
      </c>
      <c r="I35" s="41">
        <f t="shared" si="1"/>
        <v>446.4</v>
      </c>
      <c r="J35" s="5" t="s">
        <v>200</v>
      </c>
      <c r="K35" s="233"/>
    </row>
    <row r="36" spans="1:12">
      <c r="A36" s="92"/>
      <c r="B36" s="20" t="s">
        <v>335</v>
      </c>
      <c r="C36" s="22" t="s">
        <v>57</v>
      </c>
      <c r="D36" s="22">
        <v>20367851</v>
      </c>
      <c r="E36" s="36"/>
      <c r="F36" s="22"/>
      <c r="G36" s="162">
        <v>263.11</v>
      </c>
      <c r="H36" s="149">
        <f>G36*0.12</f>
        <v>31.5732</v>
      </c>
      <c r="I36" s="24">
        <f t="shared" si="1"/>
        <v>31.5732</v>
      </c>
      <c r="J36" s="5" t="s">
        <v>185</v>
      </c>
      <c r="K36" s="233"/>
    </row>
    <row r="37" spans="1:12">
      <c r="B37" s="20" t="s">
        <v>336</v>
      </c>
      <c r="C37" s="31" t="s">
        <v>3</v>
      </c>
      <c r="D37" s="22">
        <v>20368089</v>
      </c>
      <c r="E37" s="36"/>
      <c r="F37" s="22"/>
      <c r="G37" s="148">
        <v>520.71</v>
      </c>
      <c r="H37" s="149">
        <f>G37*0.06</f>
        <v>31.242599999999999</v>
      </c>
      <c r="I37" s="24">
        <f t="shared" si="1"/>
        <v>31.242599999999999</v>
      </c>
      <c r="J37" s="83" t="s">
        <v>210</v>
      </c>
      <c r="K37" s="233"/>
    </row>
    <row r="38" spans="1:12" ht="22.5">
      <c r="A38" s="92"/>
      <c r="B38" s="20" t="s">
        <v>336</v>
      </c>
      <c r="C38" s="31" t="s">
        <v>5</v>
      </c>
      <c r="D38" s="22">
        <v>20370530</v>
      </c>
      <c r="E38" s="36"/>
      <c r="F38" s="224" t="s">
        <v>373</v>
      </c>
      <c r="G38" s="148"/>
      <c r="H38" s="149">
        <f>G38*0.12</f>
        <v>0</v>
      </c>
      <c r="I38" s="24"/>
      <c r="J38" s="4" t="s">
        <v>212</v>
      </c>
      <c r="K38" s="233"/>
    </row>
    <row r="39" spans="1:12">
      <c r="A39" s="92"/>
      <c r="B39" s="20" t="s">
        <v>337</v>
      </c>
      <c r="C39" s="31" t="s">
        <v>3</v>
      </c>
      <c r="D39" s="25">
        <v>20368897</v>
      </c>
      <c r="E39" s="36"/>
      <c r="F39" s="25"/>
      <c r="G39" s="163">
        <v>1715.24</v>
      </c>
      <c r="H39" s="164">
        <f>(800*0.06)+(800*0.07)+(115*0.08)</f>
        <v>113.2</v>
      </c>
      <c r="I39" s="41">
        <f t="shared" ref="I39:I52" si="2">H39</f>
        <v>113.2</v>
      </c>
      <c r="J39" s="4" t="s">
        <v>211</v>
      </c>
      <c r="K39" s="238"/>
      <c r="L39" s="4"/>
    </row>
    <row r="40" spans="1:12" s="4" customFormat="1">
      <c r="A40" s="88"/>
      <c r="B40" s="20" t="s">
        <v>337</v>
      </c>
      <c r="C40" s="21" t="s">
        <v>5</v>
      </c>
      <c r="D40" s="25">
        <v>20369764</v>
      </c>
      <c r="E40" s="36"/>
      <c r="F40" s="25"/>
      <c r="G40" s="163">
        <v>209.95</v>
      </c>
      <c r="H40" s="164">
        <f>G40*0.12</f>
        <v>25.193999999999999</v>
      </c>
      <c r="I40" s="41">
        <f t="shared" si="2"/>
        <v>25.193999999999999</v>
      </c>
      <c r="K40" s="238"/>
    </row>
    <row r="41" spans="1:12" s="4" customFormat="1">
      <c r="A41" s="88"/>
      <c r="B41" s="20" t="s">
        <v>42</v>
      </c>
      <c r="C41" s="21" t="s">
        <v>3</v>
      </c>
      <c r="D41" s="25">
        <v>20368838</v>
      </c>
      <c r="E41" s="36"/>
      <c r="F41" s="25"/>
      <c r="G41" s="163">
        <v>1446.15</v>
      </c>
      <c r="H41" s="164">
        <f>(800*0.06)+(646.15*0.07)</f>
        <v>93.230500000000006</v>
      </c>
      <c r="I41" s="41">
        <f t="shared" si="2"/>
        <v>93.230500000000006</v>
      </c>
      <c r="J41" s="83" t="s">
        <v>204</v>
      </c>
      <c r="K41" s="238"/>
    </row>
    <row r="42" spans="1:12" s="4" customFormat="1">
      <c r="A42" s="88"/>
      <c r="B42" s="20" t="s">
        <v>338</v>
      </c>
      <c r="C42" s="21" t="s">
        <v>262</v>
      </c>
      <c r="D42" s="22">
        <v>445819</v>
      </c>
      <c r="E42" s="36"/>
      <c r="F42" s="22">
        <v>2029</v>
      </c>
      <c r="G42" s="148">
        <v>3200</v>
      </c>
      <c r="H42" s="149">
        <f>(G42*12*0.02)*0.6</f>
        <v>460.79999999999995</v>
      </c>
      <c r="I42" s="24">
        <f t="shared" si="2"/>
        <v>460.79999999999995</v>
      </c>
      <c r="J42" s="83"/>
      <c r="K42" s="238"/>
    </row>
    <row r="43" spans="1:12" s="4" customFormat="1">
      <c r="A43" s="88"/>
      <c r="B43" s="20" t="s">
        <v>339</v>
      </c>
      <c r="C43" s="22" t="s">
        <v>310</v>
      </c>
      <c r="D43" s="25">
        <v>611082</v>
      </c>
      <c r="E43" s="36"/>
      <c r="F43" s="25">
        <v>2038</v>
      </c>
      <c r="G43" s="148">
        <v>1200</v>
      </c>
      <c r="H43" s="151">
        <f>(G43*21*0.02)*0.6</f>
        <v>302.39999999999998</v>
      </c>
      <c r="I43" s="24">
        <f t="shared" si="2"/>
        <v>302.39999999999998</v>
      </c>
      <c r="J43" t="s">
        <v>205</v>
      </c>
      <c r="K43" s="238"/>
    </row>
    <row r="44" spans="1:12" s="4" customFormat="1">
      <c r="A44" s="88"/>
      <c r="B44" s="20" t="s">
        <v>341</v>
      </c>
      <c r="C44" s="22" t="s">
        <v>317</v>
      </c>
      <c r="D44" s="25">
        <v>61020955</v>
      </c>
      <c r="E44" s="36"/>
      <c r="F44" s="25"/>
      <c r="G44" s="148">
        <v>700.08</v>
      </c>
      <c r="H44" s="149">
        <f>(G44/12*3.5)*0.6</f>
        <v>122.514</v>
      </c>
      <c r="I44" s="24">
        <f t="shared" si="2"/>
        <v>122.514</v>
      </c>
      <c r="J44" s="4" t="s">
        <v>185</v>
      </c>
      <c r="K44" s="238"/>
    </row>
    <row r="45" spans="1:12" s="4" customFormat="1">
      <c r="A45" s="88"/>
      <c r="B45" s="20" t="s">
        <v>341</v>
      </c>
      <c r="C45" s="22" t="s">
        <v>349</v>
      </c>
      <c r="D45" s="25">
        <v>20191996</v>
      </c>
      <c r="E45" s="36" t="s">
        <v>374</v>
      </c>
      <c r="F45" s="36"/>
      <c r="G45" s="148">
        <v>1677.16</v>
      </c>
      <c r="H45" s="151">
        <f>((800*0.06)+(800*0.07)+(77.16*0.08))*0.5</f>
        <v>55.086399999999998</v>
      </c>
      <c r="I45" s="24">
        <f t="shared" si="2"/>
        <v>55.086399999999998</v>
      </c>
      <c r="K45" s="238"/>
    </row>
    <row r="46" spans="1:12" s="4" customFormat="1">
      <c r="A46" s="88"/>
      <c r="B46" s="20" t="s">
        <v>342</v>
      </c>
      <c r="C46" s="22" t="s">
        <v>3</v>
      </c>
      <c r="D46" s="25">
        <v>20368677</v>
      </c>
      <c r="E46" s="36"/>
      <c r="F46" s="25"/>
      <c r="G46" s="148">
        <v>1605.23</v>
      </c>
      <c r="H46" s="151">
        <f>((800*0.06)+(800*0.07)+(5.23*0.08))</f>
        <v>104.41840000000001</v>
      </c>
      <c r="I46" s="24">
        <f t="shared" si="2"/>
        <v>104.41840000000001</v>
      </c>
      <c r="K46" s="238"/>
    </row>
    <row r="47" spans="1:12" s="4" customFormat="1">
      <c r="A47" s="88"/>
      <c r="B47" s="20" t="s">
        <v>343</v>
      </c>
      <c r="C47" s="22" t="s">
        <v>5</v>
      </c>
      <c r="D47" s="25">
        <v>20371620</v>
      </c>
      <c r="E47" s="36"/>
      <c r="F47" s="25"/>
      <c r="G47" s="148">
        <v>235.26</v>
      </c>
      <c r="H47" s="151">
        <f>G47*0.12</f>
        <v>28.231199999999998</v>
      </c>
      <c r="I47" s="24">
        <f t="shared" si="2"/>
        <v>28.231199999999998</v>
      </c>
      <c r="K47" s="238"/>
    </row>
    <row r="48" spans="1:12" s="4" customFormat="1">
      <c r="A48" s="88"/>
      <c r="B48" s="20" t="s">
        <v>344</v>
      </c>
      <c r="C48" s="22" t="s">
        <v>3</v>
      </c>
      <c r="D48" s="25">
        <v>20370552</v>
      </c>
      <c r="E48" s="36"/>
      <c r="F48" s="25"/>
      <c r="G48" s="148">
        <v>1286.92</v>
      </c>
      <c r="H48" s="151">
        <f>(800*0.06)+(486.92*0.07)</f>
        <v>82.084400000000002</v>
      </c>
      <c r="I48" s="24">
        <f t="shared" si="2"/>
        <v>82.084400000000002</v>
      </c>
      <c r="K48" s="238"/>
    </row>
    <row r="49" spans="1:12" s="4" customFormat="1">
      <c r="A49" s="88"/>
      <c r="B49" s="20" t="s">
        <v>345</v>
      </c>
      <c r="C49" s="22" t="s">
        <v>8</v>
      </c>
      <c r="D49" s="25"/>
      <c r="E49" s="36"/>
      <c r="F49" s="25"/>
      <c r="G49" s="148">
        <v>40000</v>
      </c>
      <c r="H49" s="151">
        <f>(G49*0.007)*0.6</f>
        <v>168</v>
      </c>
      <c r="I49" s="24">
        <f t="shared" si="2"/>
        <v>168</v>
      </c>
      <c r="K49" s="238"/>
    </row>
    <row r="50" spans="1:12" s="4" customFormat="1">
      <c r="A50" s="88"/>
      <c r="B50" s="20" t="s">
        <v>346</v>
      </c>
      <c r="C50" s="22" t="s">
        <v>8</v>
      </c>
      <c r="D50" s="25"/>
      <c r="E50" s="36"/>
      <c r="F50" s="25"/>
      <c r="G50" s="148">
        <v>40000</v>
      </c>
      <c r="H50" s="151">
        <f>(G50*0.007)*0.6</f>
        <v>168</v>
      </c>
      <c r="I50" s="24">
        <f t="shared" si="2"/>
        <v>168</v>
      </c>
      <c r="K50" s="238"/>
    </row>
    <row r="51" spans="1:12" s="4" customFormat="1">
      <c r="A51" s="88"/>
      <c r="B51" s="20" t="s">
        <v>347</v>
      </c>
      <c r="C51" s="22" t="s">
        <v>317</v>
      </c>
      <c r="D51" s="25">
        <v>61021156</v>
      </c>
      <c r="E51" s="36"/>
      <c r="F51" s="25"/>
      <c r="G51" s="148">
        <v>847.82</v>
      </c>
      <c r="H51" s="151">
        <f>(G51/12*3.5)*0.6</f>
        <v>148.36850000000001</v>
      </c>
      <c r="I51" s="24">
        <f t="shared" si="2"/>
        <v>148.36850000000001</v>
      </c>
      <c r="K51" s="238"/>
    </row>
    <row r="52" spans="1:12" s="4" customFormat="1">
      <c r="A52" s="88"/>
      <c r="B52" s="20"/>
      <c r="C52" s="22"/>
      <c r="D52" s="25"/>
      <c r="E52" s="36"/>
      <c r="F52" s="25"/>
      <c r="G52" s="148"/>
      <c r="H52" s="151"/>
      <c r="I52" s="24">
        <f t="shared" si="2"/>
        <v>0</v>
      </c>
      <c r="K52" s="238"/>
    </row>
    <row r="53" spans="1:12" s="4" customFormat="1" ht="15.75" thickBot="1">
      <c r="A53" s="88"/>
      <c r="B53" s="20"/>
      <c r="C53" s="22"/>
      <c r="D53" s="25"/>
      <c r="E53" s="36"/>
      <c r="F53" s="25"/>
      <c r="G53" s="148"/>
      <c r="H53" s="151"/>
      <c r="I53" s="61"/>
      <c r="K53" s="239"/>
    </row>
    <row r="54" spans="1:12" s="4" customFormat="1" ht="15.75" thickBot="1">
      <c r="A54" s="88"/>
      <c r="B54" s="208" t="s">
        <v>368</v>
      </c>
      <c r="C54" s="45"/>
      <c r="D54" s="45"/>
      <c r="E54" s="229"/>
      <c r="F54" s="45"/>
      <c r="G54" s="165"/>
      <c r="H54" s="215"/>
      <c r="I54" s="216">
        <f>SUM(I32:I53)</f>
        <v>2775.0812000000001</v>
      </c>
      <c r="K54" s="221"/>
    </row>
    <row r="55" spans="1:12" s="4" customFormat="1">
      <c r="A55" s="199" t="s">
        <v>307</v>
      </c>
      <c r="B55" s="15" t="s">
        <v>348</v>
      </c>
      <c r="C55" s="97" t="s">
        <v>349</v>
      </c>
      <c r="D55" s="16">
        <v>59210</v>
      </c>
      <c r="E55" s="227" t="s">
        <v>374</v>
      </c>
      <c r="F55" s="16"/>
      <c r="G55" s="160">
        <v>1562.9</v>
      </c>
      <c r="H55" s="200">
        <f>((800*0.06)+(762.9*0.07))*0.5</f>
        <v>50.701500000000003</v>
      </c>
      <c r="I55" s="19">
        <f t="shared" ref="I55:I70" si="3">H55</f>
        <v>50.701500000000003</v>
      </c>
      <c r="K55" s="240"/>
    </row>
    <row r="56" spans="1:12" s="4" customFormat="1">
      <c r="A56" s="54"/>
      <c r="B56" s="20" t="s">
        <v>350</v>
      </c>
      <c r="C56" s="21" t="s">
        <v>349</v>
      </c>
      <c r="D56" s="167">
        <v>20156908</v>
      </c>
      <c r="E56" s="241" t="s">
        <v>374</v>
      </c>
      <c r="F56" s="22"/>
      <c r="G56" s="148">
        <v>2254.79</v>
      </c>
      <c r="H56" s="164">
        <f>((800*0.06)+(800*0.07)+(654.79*0.08))*0.5</f>
        <v>78.191599999999994</v>
      </c>
      <c r="I56" s="24">
        <f t="shared" si="3"/>
        <v>78.191599999999994</v>
      </c>
      <c r="K56" s="238"/>
      <c r="L56"/>
    </row>
    <row r="57" spans="1:12" s="4" customFormat="1">
      <c r="A57" s="201"/>
      <c r="B57" s="20" t="s">
        <v>351</v>
      </c>
      <c r="C57" s="22" t="s">
        <v>317</v>
      </c>
      <c r="D57" s="22">
        <v>61021085</v>
      </c>
      <c r="E57" s="36"/>
      <c r="F57" s="22"/>
      <c r="G57" s="148">
        <v>565.55999999999995</v>
      </c>
      <c r="H57" s="149">
        <f>(G57/12*3.5)*0.6</f>
        <v>98.972999999999985</v>
      </c>
      <c r="I57" s="24">
        <f t="shared" si="3"/>
        <v>98.972999999999985</v>
      </c>
      <c r="J57" s="5" t="s">
        <v>222</v>
      </c>
      <c r="K57" s="233"/>
      <c r="L57"/>
    </row>
    <row r="58" spans="1:12">
      <c r="A58" s="201"/>
      <c r="B58" s="20" t="s">
        <v>352</v>
      </c>
      <c r="C58" s="21" t="s">
        <v>252</v>
      </c>
      <c r="D58" s="28">
        <v>10103536</v>
      </c>
      <c r="E58" s="36"/>
      <c r="F58" s="22"/>
      <c r="G58" s="148">
        <v>112.51</v>
      </c>
      <c r="H58" s="164">
        <f>G58*0.15</f>
        <v>16.8765</v>
      </c>
      <c r="I58" s="24">
        <f t="shared" si="3"/>
        <v>16.8765</v>
      </c>
      <c r="J58" s="5" t="s">
        <v>202</v>
      </c>
      <c r="K58" s="233"/>
      <c r="L58" s="4"/>
    </row>
    <row r="59" spans="1:12">
      <c r="A59" s="202"/>
      <c r="B59" s="204" t="s">
        <v>353</v>
      </c>
      <c r="C59" s="33" t="s">
        <v>310</v>
      </c>
      <c r="D59" s="25">
        <v>611145</v>
      </c>
      <c r="E59" s="25"/>
      <c r="F59" s="33">
        <v>2035</v>
      </c>
      <c r="G59" s="171">
        <v>1764.72</v>
      </c>
      <c r="H59" s="172">
        <f>(G59*18*0.02)*0.6</f>
        <v>381.17952000000002</v>
      </c>
      <c r="I59" s="173">
        <f t="shared" si="3"/>
        <v>381.17952000000002</v>
      </c>
      <c r="J59" s="5" t="s">
        <v>203</v>
      </c>
      <c r="K59" s="238"/>
    </row>
    <row r="60" spans="1:12" s="4" customFormat="1">
      <c r="A60" s="203"/>
      <c r="B60" s="39" t="s">
        <v>354</v>
      </c>
      <c r="C60" s="33" t="s">
        <v>3</v>
      </c>
      <c r="D60" s="25">
        <v>20370995</v>
      </c>
      <c r="E60" s="36"/>
      <c r="F60" s="25"/>
      <c r="G60" s="163">
        <v>675.22</v>
      </c>
      <c r="H60" s="164">
        <f>G60*0.06</f>
        <v>40.513199999999998</v>
      </c>
      <c r="I60" s="41">
        <f t="shared" si="3"/>
        <v>40.513199999999998</v>
      </c>
      <c r="J60" s="83" t="s">
        <v>207</v>
      </c>
      <c r="K60" s="233"/>
      <c r="L60"/>
    </row>
    <row r="61" spans="1:12">
      <c r="A61" s="201"/>
      <c r="B61" s="204" t="s">
        <v>312</v>
      </c>
      <c r="C61" s="33" t="s">
        <v>375</v>
      </c>
      <c r="D61" s="25">
        <v>445892</v>
      </c>
      <c r="E61" s="36"/>
      <c r="F61" s="25">
        <v>2022</v>
      </c>
      <c r="G61" s="163">
        <v>6562.68</v>
      </c>
      <c r="H61" s="164">
        <f>(G61*5*0.018)*0.6</f>
        <v>354.38472000000002</v>
      </c>
      <c r="I61" s="41">
        <f t="shared" si="3"/>
        <v>354.38472000000002</v>
      </c>
      <c r="J61" s="83" t="s">
        <v>208</v>
      </c>
      <c r="K61" s="233"/>
      <c r="L61" s="6"/>
    </row>
    <row r="62" spans="1:12">
      <c r="A62" s="201"/>
      <c r="B62" s="204" t="s">
        <v>355</v>
      </c>
      <c r="C62" s="21" t="s">
        <v>152</v>
      </c>
      <c r="D62" s="25">
        <v>20372499</v>
      </c>
      <c r="E62" s="36"/>
      <c r="F62" s="25"/>
      <c r="G62" s="163">
        <v>819.85</v>
      </c>
      <c r="H62" s="164">
        <f>(800*0.06)+(19.85*0.07)</f>
        <v>49.389499999999998</v>
      </c>
      <c r="I62" s="41">
        <f t="shared" si="3"/>
        <v>49.389499999999998</v>
      </c>
      <c r="J62" s="83" t="s">
        <v>209</v>
      </c>
      <c r="K62" s="237"/>
      <c r="L62" s="6"/>
    </row>
    <row r="63" spans="1:12" s="6" customFormat="1">
      <c r="A63" s="201"/>
      <c r="B63" s="204" t="s">
        <v>355</v>
      </c>
      <c r="C63" s="21" t="s">
        <v>191</v>
      </c>
      <c r="D63" s="25">
        <v>20370742</v>
      </c>
      <c r="E63" s="36"/>
      <c r="F63" s="25"/>
      <c r="G63" s="163">
        <v>546.23</v>
      </c>
      <c r="H63" s="164">
        <f>G63*0.12</f>
        <v>65.547600000000003</v>
      </c>
      <c r="I63" s="41">
        <f t="shared" si="3"/>
        <v>65.547600000000003</v>
      </c>
      <c r="J63"/>
      <c r="K63" s="237"/>
      <c r="L63"/>
    </row>
    <row r="64" spans="1:12" s="6" customFormat="1">
      <c r="A64" s="201"/>
      <c r="B64" s="204" t="s">
        <v>356</v>
      </c>
      <c r="C64" s="21" t="s">
        <v>317</v>
      </c>
      <c r="D64" s="25">
        <v>61021492</v>
      </c>
      <c r="E64" s="36"/>
      <c r="F64" s="25"/>
      <c r="G64" s="163">
        <v>1764.86</v>
      </c>
      <c r="H64" s="164">
        <f>(G64/12*3.5)*0.6</f>
        <v>308.85049999999995</v>
      </c>
      <c r="I64" s="41">
        <f t="shared" si="3"/>
        <v>308.85049999999995</v>
      </c>
      <c r="J64" s="5" t="s">
        <v>219</v>
      </c>
      <c r="K64" s="233"/>
      <c r="L64" s="3"/>
    </row>
    <row r="65" spans="1:12">
      <c r="A65" s="201"/>
      <c r="B65" s="204" t="s">
        <v>357</v>
      </c>
      <c r="C65" s="21" t="s">
        <v>5</v>
      </c>
      <c r="D65" s="25">
        <v>20370435</v>
      </c>
      <c r="E65" s="36"/>
      <c r="F65" s="25"/>
      <c r="G65" s="163">
        <v>224.81</v>
      </c>
      <c r="H65" s="164">
        <f>G65*0.12</f>
        <v>26.9772</v>
      </c>
      <c r="I65" s="41">
        <f t="shared" si="3"/>
        <v>26.9772</v>
      </c>
      <c r="J65" s="4" t="s">
        <v>213</v>
      </c>
      <c r="K65" s="235"/>
      <c r="L65" s="4"/>
    </row>
    <row r="66" spans="1:12" s="3" customFormat="1">
      <c r="A66" s="201"/>
      <c r="B66" s="204" t="s">
        <v>357</v>
      </c>
      <c r="C66" s="21" t="s">
        <v>252</v>
      </c>
      <c r="D66" s="25">
        <v>20370435</v>
      </c>
      <c r="E66" s="36"/>
      <c r="F66" s="25"/>
      <c r="G66" s="163">
        <v>112.09</v>
      </c>
      <c r="H66" s="164">
        <f>G66*0.15</f>
        <v>16.813500000000001</v>
      </c>
      <c r="I66" s="41">
        <f t="shared" si="3"/>
        <v>16.813500000000001</v>
      </c>
      <c r="J66" s="5" t="s">
        <v>214</v>
      </c>
      <c r="K66" s="235"/>
      <c r="L66"/>
    </row>
    <row r="67" spans="1:12" s="4" customFormat="1">
      <c r="A67" s="201"/>
      <c r="B67" s="204" t="s">
        <v>27</v>
      </c>
      <c r="C67" s="21" t="s">
        <v>3</v>
      </c>
      <c r="D67" s="25">
        <v>20335402</v>
      </c>
      <c r="E67" s="36"/>
      <c r="F67" s="25"/>
      <c r="G67" s="163">
        <v>2206.29</v>
      </c>
      <c r="H67" s="164">
        <f>(800*0.06)+(800*0.07)+(606.29*0.08)</f>
        <v>152.50319999999999</v>
      </c>
      <c r="I67" s="41">
        <f t="shared" si="3"/>
        <v>152.50319999999999</v>
      </c>
      <c r="J67" s="5" t="s">
        <v>215</v>
      </c>
      <c r="K67" s="233"/>
      <c r="L67"/>
    </row>
    <row r="68" spans="1:12">
      <c r="A68" s="201"/>
      <c r="B68" s="204" t="s">
        <v>358</v>
      </c>
      <c r="C68" s="21" t="s">
        <v>3</v>
      </c>
      <c r="D68" s="25">
        <v>20372078</v>
      </c>
      <c r="E68" s="36"/>
      <c r="F68" s="25"/>
      <c r="G68" s="163">
        <v>1224.58</v>
      </c>
      <c r="H68" s="151">
        <f>(800*0.06)+(424.58*0.07)</f>
        <v>77.720600000000005</v>
      </c>
      <c r="I68" s="41">
        <f t="shared" si="3"/>
        <v>77.720600000000005</v>
      </c>
      <c r="J68" s="5"/>
      <c r="K68" s="233"/>
    </row>
    <row r="69" spans="1:12">
      <c r="A69" s="201"/>
      <c r="B69" s="204" t="s">
        <v>281</v>
      </c>
      <c r="C69" s="21" t="s">
        <v>5</v>
      </c>
      <c r="D69" s="25">
        <v>20373413</v>
      </c>
      <c r="E69" s="36"/>
      <c r="F69" s="25"/>
      <c r="G69" s="163">
        <v>35.33</v>
      </c>
      <c r="H69" s="164">
        <f>G69*0.12</f>
        <v>4.2395999999999994</v>
      </c>
      <c r="I69" s="41">
        <f t="shared" si="3"/>
        <v>4.2395999999999994</v>
      </c>
      <c r="J69" s="5"/>
      <c r="K69" s="233"/>
    </row>
    <row r="70" spans="1:12">
      <c r="A70" s="201"/>
      <c r="B70" s="230" t="s">
        <v>359</v>
      </c>
      <c r="C70" s="35" t="s">
        <v>3</v>
      </c>
      <c r="D70" s="36">
        <v>20366282</v>
      </c>
      <c r="E70" s="36"/>
      <c r="F70" s="36"/>
      <c r="G70" s="219">
        <v>880.61</v>
      </c>
      <c r="H70" s="231">
        <f>(800*0.06)+(80.61*0.07)</f>
        <v>53.642699999999998</v>
      </c>
      <c r="I70" s="41">
        <f t="shared" si="3"/>
        <v>53.642699999999998</v>
      </c>
      <c r="J70" s="5"/>
      <c r="K70" s="233" t="s">
        <v>372</v>
      </c>
    </row>
    <row r="71" spans="1:12">
      <c r="A71" s="201"/>
      <c r="B71" s="204" t="s">
        <v>360</v>
      </c>
      <c r="C71" s="21" t="s">
        <v>3</v>
      </c>
      <c r="D71" s="25">
        <v>20372620</v>
      </c>
      <c r="E71" s="36"/>
      <c r="F71" s="25"/>
      <c r="G71" s="163">
        <v>1475.18</v>
      </c>
      <c r="H71" s="151">
        <f>(800*0.06)+(675.18*0.07)</f>
        <v>95.262599999999992</v>
      </c>
      <c r="I71" s="41">
        <f>H71</f>
        <v>95.262599999999992</v>
      </c>
      <c r="J71" s="5"/>
      <c r="K71" s="233"/>
    </row>
    <row r="72" spans="1:12">
      <c r="A72" s="201"/>
      <c r="B72" s="204" t="s">
        <v>361</v>
      </c>
      <c r="C72" s="21" t="s">
        <v>3</v>
      </c>
      <c r="D72" s="25">
        <v>20372075</v>
      </c>
      <c r="E72" s="36"/>
      <c r="F72" s="25"/>
      <c r="G72" s="163">
        <v>1461.33</v>
      </c>
      <c r="H72" s="151">
        <f>(800*0.06)+(661.33*0.07)</f>
        <v>94.29310000000001</v>
      </c>
      <c r="I72" s="41">
        <f>H72</f>
        <v>94.29310000000001</v>
      </c>
      <c r="J72" s="5"/>
      <c r="K72" s="233"/>
    </row>
    <row r="73" spans="1:12">
      <c r="A73" s="201"/>
      <c r="B73" s="204" t="s">
        <v>362</v>
      </c>
      <c r="C73" s="21" t="s">
        <v>5</v>
      </c>
      <c r="D73" s="25">
        <v>20373685</v>
      </c>
      <c r="E73" s="36"/>
      <c r="F73" s="25"/>
      <c r="G73" s="163">
        <v>184.71</v>
      </c>
      <c r="H73" s="164">
        <f>G73*0.12</f>
        <v>22.165199999999999</v>
      </c>
      <c r="I73" s="41">
        <f>H73</f>
        <v>22.165199999999999</v>
      </c>
      <c r="J73" s="5"/>
      <c r="K73" s="233"/>
    </row>
    <row r="74" spans="1:12" ht="15.75" thickBot="1">
      <c r="A74" s="201"/>
      <c r="B74" s="204"/>
      <c r="C74" s="21"/>
      <c r="D74" s="25"/>
      <c r="E74" s="36"/>
      <c r="F74" s="25"/>
      <c r="G74" s="163"/>
      <c r="H74" s="164"/>
      <c r="I74" s="115"/>
      <c r="J74" s="5"/>
    </row>
    <row r="75" spans="1:12" ht="15.75" thickBot="1">
      <c r="A75" s="205"/>
      <c r="B75" s="206" t="s">
        <v>369</v>
      </c>
      <c r="C75" s="154"/>
      <c r="D75" s="174"/>
      <c r="E75" s="229"/>
      <c r="F75" s="174"/>
      <c r="G75" s="175"/>
      <c r="H75" s="217"/>
      <c r="I75" s="218">
        <f>SUM(I55:I73)</f>
        <v>1988.2253400000002</v>
      </c>
      <c r="J75" s="5"/>
    </row>
    <row r="76" spans="1:12">
      <c r="A76" s="197"/>
      <c r="B76" s="195" t="s">
        <v>292</v>
      </c>
      <c r="C76" s="16"/>
      <c r="D76" s="16"/>
      <c r="E76" s="227"/>
      <c r="F76" s="16"/>
      <c r="G76" s="160"/>
      <c r="H76" s="161"/>
      <c r="I76" s="19">
        <f>SUM(I31,I54,I75)</f>
        <v>6799.4514399999998</v>
      </c>
      <c r="J76" s="5"/>
    </row>
    <row r="77" spans="1:12">
      <c r="A77" s="198"/>
      <c r="B77" s="79"/>
      <c r="C77" s="22"/>
      <c r="D77" s="22"/>
      <c r="E77" s="36"/>
      <c r="F77" s="22"/>
      <c r="G77" s="148"/>
      <c r="H77" s="149"/>
      <c r="I77" s="24"/>
      <c r="J77" s="5"/>
    </row>
    <row r="78" spans="1:12">
      <c r="A78" s="91"/>
      <c r="B78" s="79" t="s">
        <v>235</v>
      </c>
      <c r="C78" s="22"/>
      <c r="D78" s="22"/>
      <c r="E78" s="36"/>
      <c r="F78" s="22"/>
      <c r="G78" s="148"/>
      <c r="H78" s="149"/>
      <c r="I78" s="24">
        <f>I10</f>
        <v>4983.1000000000004</v>
      </c>
      <c r="J78" s="5"/>
    </row>
    <row r="79" spans="1:12">
      <c r="A79" s="91"/>
      <c r="B79" s="79" t="s">
        <v>232</v>
      </c>
      <c r="C79" s="22"/>
      <c r="D79" s="22"/>
      <c r="E79" s="36"/>
      <c r="F79" s="22"/>
      <c r="G79" s="148"/>
      <c r="H79" s="149"/>
      <c r="I79" s="24">
        <f>SUM(I76:I78)</f>
        <v>11782.551439999999</v>
      </c>
      <c r="J79" s="5"/>
    </row>
    <row r="80" spans="1:12" ht="15.75" thickBot="1">
      <c r="A80" s="91"/>
      <c r="B80" s="112" t="s">
        <v>236</v>
      </c>
      <c r="C80" s="45"/>
      <c r="D80" s="45"/>
      <c r="E80" s="229"/>
      <c r="F80" s="45"/>
      <c r="G80" s="165"/>
      <c r="H80" s="196"/>
      <c r="I80" s="47">
        <f>I79/3</f>
        <v>3927.5171466666666</v>
      </c>
      <c r="J80" s="5"/>
    </row>
    <row r="81" spans="1:12">
      <c r="A81" s="91"/>
      <c r="B81" s="72"/>
      <c r="C81" s="73"/>
      <c r="D81" s="73"/>
      <c r="E81" s="228"/>
      <c r="F81" s="73"/>
      <c r="G81" s="142"/>
      <c r="H81" s="137"/>
      <c r="I81" s="74"/>
      <c r="J81" s="5"/>
    </row>
    <row r="82" spans="1:12">
      <c r="A82" s="91"/>
      <c r="B82" s="72"/>
      <c r="C82" s="73"/>
      <c r="D82" s="73"/>
      <c r="E82" s="228"/>
      <c r="F82" s="73"/>
      <c r="G82" s="142"/>
      <c r="H82" s="137"/>
      <c r="I82" s="74"/>
      <c r="J82" s="5"/>
    </row>
    <row r="83" spans="1:12">
      <c r="A83" s="91"/>
      <c r="B83" s="72"/>
      <c r="C83" s="73"/>
      <c r="D83" s="73"/>
      <c r="E83" s="228"/>
      <c r="F83" s="73"/>
      <c r="G83" s="142"/>
      <c r="H83" s="137"/>
      <c r="I83" s="74"/>
      <c r="J83" s="5"/>
    </row>
    <row r="84" spans="1:12">
      <c r="A84" s="91"/>
      <c r="B84" s="72"/>
      <c r="C84" s="73"/>
      <c r="D84" s="73"/>
      <c r="E84" s="228"/>
      <c r="F84" s="73"/>
      <c r="G84" s="142"/>
      <c r="H84" s="137"/>
      <c r="I84" s="74"/>
      <c r="J84" s="5"/>
    </row>
    <row r="85" spans="1:12">
      <c r="A85" s="91"/>
      <c r="B85" s="72"/>
      <c r="C85" s="73"/>
      <c r="D85" s="73"/>
      <c r="E85" s="228"/>
      <c r="F85" s="73"/>
      <c r="G85" s="142"/>
      <c r="H85" s="137"/>
      <c r="I85" s="74"/>
      <c r="J85" s="5"/>
    </row>
    <row r="86" spans="1:12">
      <c r="J86" s="75"/>
      <c r="K86" s="223"/>
      <c r="L86" s="75"/>
    </row>
    <row r="87" spans="1:12">
      <c r="J87" s="71"/>
      <c r="K87" s="73"/>
      <c r="L87" s="71"/>
    </row>
    <row r="88" spans="1:12">
      <c r="J88" s="71"/>
      <c r="K88" s="73"/>
      <c r="L88" s="71"/>
    </row>
    <row r="89" spans="1:12">
      <c r="J89" s="71"/>
      <c r="K89" s="73"/>
      <c r="L89" s="71"/>
    </row>
    <row r="90" spans="1:12" s="75" customFormat="1">
      <c r="A90" s="86"/>
      <c r="B90" s="7"/>
      <c r="C90" s="1"/>
      <c r="D90" s="1"/>
      <c r="E90" s="222"/>
      <c r="F90" s="1"/>
      <c r="G90" s="138"/>
      <c r="H90" s="135"/>
      <c r="I90" s="2"/>
      <c r="J90" s="71"/>
      <c r="K90" s="73"/>
      <c r="L90" s="71"/>
    </row>
    <row r="91" spans="1:12" s="71" customFormat="1">
      <c r="A91" s="86"/>
      <c r="B91" s="7"/>
      <c r="C91" s="1"/>
      <c r="D91" s="1"/>
      <c r="E91" s="222"/>
      <c r="F91" s="1"/>
      <c r="G91" s="138"/>
      <c r="H91" s="135"/>
      <c r="I91" s="2"/>
      <c r="J91"/>
      <c r="K91" s="1"/>
      <c r="L91"/>
    </row>
    <row r="92" spans="1:12" s="71" customFormat="1">
      <c r="A92" s="86"/>
      <c r="B92" s="7"/>
      <c r="C92" s="1"/>
      <c r="D92" s="1"/>
      <c r="E92" s="222"/>
      <c r="F92" s="1"/>
      <c r="G92" s="138"/>
      <c r="H92" s="135"/>
      <c r="I92" s="2"/>
      <c r="J92"/>
      <c r="K92" s="1"/>
      <c r="L92"/>
    </row>
    <row r="93" spans="1:12" s="71" customFormat="1">
      <c r="A93" s="86"/>
      <c r="B93" s="7"/>
      <c r="C93" s="1"/>
      <c r="D93" s="1"/>
      <c r="E93" s="222"/>
      <c r="F93" s="1"/>
      <c r="G93" s="138"/>
      <c r="H93" s="135"/>
      <c r="I93" s="2"/>
      <c r="J93"/>
      <c r="K93" s="1"/>
      <c r="L93"/>
    </row>
    <row r="94" spans="1:12" s="71" customFormat="1">
      <c r="A94" s="86"/>
      <c r="B94" s="7"/>
      <c r="C94" s="1"/>
      <c r="D94" s="1"/>
      <c r="E94" s="222"/>
      <c r="F94" s="1"/>
      <c r="G94" s="138"/>
      <c r="H94" s="135"/>
      <c r="I94" s="2"/>
      <c r="J94"/>
      <c r="K94" s="1"/>
      <c r="L94"/>
    </row>
  </sheetData>
  <printOptions gridLines="1"/>
  <pageMargins left="0.23622047244094491" right="0.23622047244094491" top="0.74803149606299213" bottom="0.74803149606299213" header="0.31496062992125984" footer="0.31496062992125984"/>
  <pageSetup paperSize="9" scale="91" orientation="landscape" r:id="rId1"/>
  <headerFooter>
    <oddHeader>&amp;C&amp;"-,Gras"&amp;14COMMISSION JEFF DERAPPE 1ER TRIMESTRE 2017</oddHeader>
    <oddFooter xml:space="preserve">&amp;L&amp;8&amp;Z&amp;F&amp;C&amp;7&amp;P/&amp;N&amp;RModfié le &amp;D </oddFooter>
  </headerFooter>
  <rowBreaks count="3" manualBreakCount="3">
    <brk id="31" max="10" man="1"/>
    <brk id="54" max="10" man="1"/>
    <brk id="75" max="10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L88"/>
  <sheetViews>
    <sheetView topLeftCell="A52" zoomScale="118" zoomScaleNormal="118" workbookViewId="0">
      <selection activeCell="I68" sqref="I68"/>
    </sheetView>
  </sheetViews>
  <sheetFormatPr defaultColWidth="11.42578125" defaultRowHeight="15"/>
  <cols>
    <col min="1" max="1" width="5.7109375" customWidth="1"/>
    <col min="2" max="2" width="14.5703125" style="309" customWidth="1"/>
    <col min="3" max="3" width="28" style="321" customWidth="1"/>
    <col min="4" max="4" width="22.28515625" style="1" customWidth="1"/>
    <col min="5" max="5" width="16.85546875" style="1" customWidth="1"/>
    <col min="6" max="6" width="10.7109375" style="260" customWidth="1"/>
    <col min="7" max="7" width="10.5703125" style="1" customWidth="1"/>
    <col min="8" max="8" width="13.28515625" style="138" customWidth="1"/>
    <col min="9" max="9" width="12.42578125" style="135" customWidth="1"/>
    <col min="10" max="10" width="13.5703125" style="2" customWidth="1"/>
    <col min="11" max="11" width="2.28515625" hidden="1" customWidth="1"/>
    <col min="12" max="12" width="7" hidden="1" customWidth="1"/>
  </cols>
  <sheetData>
    <row r="1" spans="1:12">
      <c r="C1" s="321" t="s">
        <v>197</v>
      </c>
      <c r="D1" s="70"/>
      <c r="F1" s="1" t="s">
        <v>424</v>
      </c>
      <c r="G1" s="222"/>
      <c r="H1" s="11" t="s">
        <v>216</v>
      </c>
      <c r="I1" s="134"/>
      <c r="J1" s="10">
        <f>5*80</f>
        <v>400</v>
      </c>
      <c r="K1" s="9"/>
    </row>
    <row r="2" spans="1:12">
      <c r="D2" s="70"/>
      <c r="G2" s="11"/>
      <c r="I2" s="134"/>
      <c r="J2" s="10"/>
      <c r="K2" s="9"/>
    </row>
    <row r="3" spans="1:12">
      <c r="C3" s="321" t="s">
        <v>76</v>
      </c>
      <c r="D3" s="70" t="s">
        <v>77</v>
      </c>
      <c r="G3" s="11"/>
      <c r="I3" s="134"/>
      <c r="J3" s="10">
        <v>1506</v>
      </c>
      <c r="K3" s="9"/>
    </row>
    <row r="4" spans="1:12">
      <c r="C4" s="321" t="s">
        <v>76</v>
      </c>
      <c r="D4" s="70" t="s">
        <v>79</v>
      </c>
      <c r="G4" s="11"/>
      <c r="I4" s="134"/>
      <c r="J4" s="10">
        <v>1621.2</v>
      </c>
      <c r="K4" s="9"/>
    </row>
    <row r="5" spans="1:12">
      <c r="C5" s="321" t="s">
        <v>76</v>
      </c>
      <c r="D5" s="70" t="s">
        <v>78</v>
      </c>
      <c r="G5" s="11"/>
      <c r="I5" s="134"/>
      <c r="J5" s="10">
        <v>1488.9</v>
      </c>
      <c r="K5" s="9"/>
    </row>
    <row r="6" spans="1:12">
      <c r="D6" s="70"/>
      <c r="G6" s="11"/>
      <c r="I6" s="134"/>
      <c r="J6" s="10"/>
      <c r="K6" s="9"/>
    </row>
    <row r="7" spans="1:12">
      <c r="C7" s="321" t="s">
        <v>234</v>
      </c>
      <c r="D7" s="70"/>
      <c r="G7" s="11"/>
      <c r="I7" s="134"/>
      <c r="J7" s="125">
        <f>SUM(J1:J5)</f>
        <v>5016.1000000000004</v>
      </c>
      <c r="K7" s="9"/>
    </row>
    <row r="8" spans="1:12" ht="15.75" thickBot="1">
      <c r="K8" s="11"/>
    </row>
    <row r="9" spans="1:12" ht="30.75" thickBot="1">
      <c r="B9" s="310"/>
      <c r="C9" s="322" t="s">
        <v>0</v>
      </c>
      <c r="D9" s="16" t="s">
        <v>56</v>
      </c>
      <c r="E9" s="16" t="s">
        <v>11</v>
      </c>
      <c r="F9" s="227" t="s">
        <v>376</v>
      </c>
      <c r="G9" s="16" t="s">
        <v>59</v>
      </c>
      <c r="H9" s="194" t="s">
        <v>80</v>
      </c>
      <c r="I9" s="193" t="s">
        <v>1</v>
      </c>
      <c r="J9" s="248" t="s">
        <v>98</v>
      </c>
      <c r="K9" s="249"/>
      <c r="L9" s="232" t="s">
        <v>370</v>
      </c>
    </row>
    <row r="10" spans="1:12">
      <c r="A10" s="430" t="s">
        <v>77</v>
      </c>
      <c r="B10" s="311">
        <v>838612</v>
      </c>
      <c r="C10" s="317" t="s">
        <v>363</v>
      </c>
      <c r="D10" s="22" t="s">
        <v>310</v>
      </c>
      <c r="E10" s="25">
        <v>611420</v>
      </c>
      <c r="F10" s="262"/>
      <c r="G10" s="25">
        <v>2050</v>
      </c>
      <c r="H10" s="163">
        <v>1200</v>
      </c>
      <c r="I10" s="164">
        <f>(H10*33*0.02)*0.6</f>
        <v>475.2</v>
      </c>
      <c r="J10" s="67">
        <f t="shared" ref="J10:J16" si="0">I10</f>
        <v>475.2</v>
      </c>
      <c r="K10" s="249"/>
      <c r="L10" s="243"/>
    </row>
    <row r="11" spans="1:12">
      <c r="A11" s="431"/>
      <c r="B11" s="214">
        <v>533374</v>
      </c>
      <c r="C11" s="317" t="s">
        <v>384</v>
      </c>
      <c r="D11" s="22" t="s">
        <v>310</v>
      </c>
      <c r="E11" s="25">
        <v>611366</v>
      </c>
      <c r="F11" s="262"/>
      <c r="G11" s="25">
        <v>2041</v>
      </c>
      <c r="H11" s="163">
        <v>1500</v>
      </c>
      <c r="I11" s="164">
        <f>(H11*24*0.02)*0.6</f>
        <v>432</v>
      </c>
      <c r="J11" s="67">
        <f t="shared" si="0"/>
        <v>432</v>
      </c>
      <c r="K11" s="249"/>
      <c r="L11" s="243"/>
    </row>
    <row r="12" spans="1:12">
      <c r="A12" s="431"/>
      <c r="B12" s="214">
        <v>760929</v>
      </c>
      <c r="C12" s="317" t="s">
        <v>367</v>
      </c>
      <c r="D12" s="22" t="s">
        <v>310</v>
      </c>
      <c r="E12" s="25">
        <v>611355</v>
      </c>
      <c r="F12" s="262"/>
      <c r="G12" s="25">
        <v>2047</v>
      </c>
      <c r="H12" s="163">
        <v>1200</v>
      </c>
      <c r="I12" s="164">
        <f>(H12*30*0.02)*0.6</f>
        <v>432</v>
      </c>
      <c r="J12" s="67">
        <f t="shared" si="0"/>
        <v>432</v>
      </c>
      <c r="K12" s="249"/>
      <c r="L12" s="243"/>
    </row>
    <row r="13" spans="1:12">
      <c r="A13" s="431"/>
      <c r="B13" s="214">
        <v>646798</v>
      </c>
      <c r="C13" s="317" t="s">
        <v>255</v>
      </c>
      <c r="D13" s="22" t="s">
        <v>310</v>
      </c>
      <c r="E13" s="25">
        <v>611307</v>
      </c>
      <c r="F13" s="262"/>
      <c r="G13" s="25">
        <v>2039</v>
      </c>
      <c r="H13" s="163">
        <v>1200</v>
      </c>
      <c r="I13" s="164">
        <f>(H13*22*0.02)*0.6</f>
        <v>316.8</v>
      </c>
      <c r="J13" s="67">
        <f t="shared" si="0"/>
        <v>316.8</v>
      </c>
      <c r="K13" s="249"/>
      <c r="L13" s="243"/>
    </row>
    <row r="14" spans="1:12">
      <c r="A14" s="431"/>
      <c r="B14" s="214">
        <v>760929</v>
      </c>
      <c r="C14" s="317" t="s">
        <v>367</v>
      </c>
      <c r="D14" s="22" t="s">
        <v>317</v>
      </c>
      <c r="E14" s="25">
        <v>61021546</v>
      </c>
      <c r="F14" s="262"/>
      <c r="G14" s="25"/>
      <c r="H14" s="163">
        <v>711.72</v>
      </c>
      <c r="I14" s="164">
        <f>(H14/12*3.5)*0.6</f>
        <v>124.551</v>
      </c>
      <c r="J14" s="67">
        <f t="shared" si="0"/>
        <v>124.551</v>
      </c>
      <c r="K14" s="249"/>
      <c r="L14" s="243"/>
    </row>
    <row r="15" spans="1:12">
      <c r="A15" s="431"/>
      <c r="B15" s="214">
        <v>760929</v>
      </c>
      <c r="C15" s="317" t="s">
        <v>367</v>
      </c>
      <c r="D15" s="22" t="s">
        <v>340</v>
      </c>
      <c r="E15" s="22">
        <v>20074789</v>
      </c>
      <c r="F15" s="262" t="s">
        <v>393</v>
      </c>
      <c r="G15" s="22"/>
      <c r="H15" s="148">
        <v>1455.59</v>
      </c>
      <c r="I15" s="151">
        <f>((800*0.06)+(655.59*0.07))*0.5</f>
        <v>46.945650000000001</v>
      </c>
      <c r="J15" s="67">
        <f t="shared" si="0"/>
        <v>46.945650000000001</v>
      </c>
      <c r="K15" s="249"/>
      <c r="L15" s="243"/>
    </row>
    <row r="16" spans="1:12">
      <c r="A16" s="431"/>
      <c r="B16" s="214">
        <v>569553</v>
      </c>
      <c r="C16" s="317" t="s">
        <v>364</v>
      </c>
      <c r="D16" s="22" t="s">
        <v>65</v>
      </c>
      <c r="E16" s="25">
        <v>20375548</v>
      </c>
      <c r="F16" s="262"/>
      <c r="G16" s="25"/>
      <c r="H16" s="163">
        <v>378.97</v>
      </c>
      <c r="I16" s="164">
        <f>H16*0.15</f>
        <v>56.845500000000001</v>
      </c>
      <c r="J16" s="67">
        <f t="shared" si="0"/>
        <v>56.845500000000001</v>
      </c>
      <c r="K16" s="249"/>
      <c r="L16" s="243"/>
    </row>
    <row r="17" spans="1:12">
      <c r="A17" s="431"/>
      <c r="B17" s="214">
        <v>117637</v>
      </c>
      <c r="C17" s="323" t="s">
        <v>419</v>
      </c>
      <c r="D17" s="122" t="s">
        <v>5</v>
      </c>
      <c r="E17" s="122">
        <v>20377154</v>
      </c>
      <c r="F17" s="263"/>
      <c r="G17" s="122"/>
      <c r="H17" s="254">
        <v>331.3</v>
      </c>
      <c r="I17" s="164">
        <f>H17*0.12</f>
        <v>39.756</v>
      </c>
      <c r="J17" s="67">
        <f>I17</f>
        <v>39.756</v>
      </c>
      <c r="K17" s="249" t="s">
        <v>155</v>
      </c>
      <c r="L17" s="243"/>
    </row>
    <row r="18" spans="1:12">
      <c r="A18" s="431"/>
      <c r="B18" s="214">
        <v>789065</v>
      </c>
      <c r="C18" s="323" t="s">
        <v>420</v>
      </c>
      <c r="D18" s="122" t="s">
        <v>5</v>
      </c>
      <c r="E18" s="122">
        <v>20379299</v>
      </c>
      <c r="F18" s="263"/>
      <c r="G18" s="122"/>
      <c r="H18" s="254">
        <v>498.15</v>
      </c>
      <c r="I18" s="164">
        <f>H18*0.12</f>
        <v>59.777999999999992</v>
      </c>
      <c r="J18" s="67">
        <f>I18</f>
        <v>59.777999999999992</v>
      </c>
      <c r="K18" s="249"/>
      <c r="L18" s="243"/>
    </row>
    <row r="19" spans="1:12">
      <c r="A19" s="431"/>
      <c r="B19" s="214">
        <v>521956</v>
      </c>
      <c r="C19" s="323" t="s">
        <v>421</v>
      </c>
      <c r="D19" s="122" t="s">
        <v>3</v>
      </c>
      <c r="E19" s="122">
        <v>20379246</v>
      </c>
      <c r="F19" s="263"/>
      <c r="G19" s="122"/>
      <c r="H19" s="254">
        <v>288.8</v>
      </c>
      <c r="I19" s="210">
        <f>H19*0.06</f>
        <v>17.327999999999999</v>
      </c>
      <c r="J19" s="67">
        <f>I19</f>
        <v>17.327999999999999</v>
      </c>
      <c r="K19" s="249" t="s">
        <v>163</v>
      </c>
      <c r="L19" s="243"/>
    </row>
    <row r="20" spans="1:12">
      <c r="A20" s="431"/>
      <c r="B20" s="214">
        <v>521956</v>
      </c>
      <c r="C20" s="323" t="s">
        <v>421</v>
      </c>
      <c r="D20" s="122" t="s">
        <v>3</v>
      </c>
      <c r="E20" s="122">
        <v>20379254</v>
      </c>
      <c r="F20" s="263"/>
      <c r="G20" s="122"/>
      <c r="H20" s="254">
        <v>676.62</v>
      </c>
      <c r="I20" s="210">
        <f>H20*0.06</f>
        <v>40.597200000000001</v>
      </c>
      <c r="J20" s="67">
        <f>I20</f>
        <v>40.597200000000001</v>
      </c>
      <c r="K20" s="249"/>
      <c r="L20" s="243"/>
    </row>
    <row r="21" spans="1:12">
      <c r="A21" s="431"/>
      <c r="B21" s="214"/>
      <c r="C21" s="318"/>
      <c r="D21" s="22"/>
      <c r="E21" s="25"/>
      <c r="F21" s="262"/>
      <c r="G21" s="25"/>
      <c r="H21" s="163"/>
      <c r="I21" s="164"/>
      <c r="J21" s="67"/>
      <c r="K21" s="250"/>
      <c r="L21" s="243"/>
    </row>
    <row r="22" spans="1:12">
      <c r="A22" s="431"/>
      <c r="B22" s="214"/>
      <c r="C22" s="318"/>
      <c r="D22" s="22"/>
      <c r="E22" s="25"/>
      <c r="F22" s="262"/>
      <c r="G22" s="25"/>
      <c r="H22" s="163"/>
      <c r="I22" s="164"/>
      <c r="J22" s="67"/>
      <c r="K22" s="250"/>
      <c r="L22" s="243"/>
    </row>
    <row r="23" spans="1:12">
      <c r="A23" s="431"/>
      <c r="B23" s="214"/>
      <c r="C23" s="318"/>
      <c r="D23" s="22"/>
      <c r="E23" s="25"/>
      <c r="F23" s="262"/>
      <c r="G23" s="25"/>
      <c r="H23" s="163"/>
      <c r="I23" s="164"/>
      <c r="J23" s="67"/>
      <c r="K23" s="250"/>
      <c r="L23" s="243"/>
    </row>
    <row r="24" spans="1:12" ht="15.75" thickBot="1">
      <c r="A24" s="432"/>
      <c r="B24" s="308"/>
      <c r="C24" s="324" t="s">
        <v>392</v>
      </c>
      <c r="D24" s="45"/>
      <c r="E24" s="174"/>
      <c r="F24" s="264"/>
      <c r="G24" s="174"/>
      <c r="H24" s="175"/>
      <c r="I24" s="176"/>
      <c r="J24" s="257">
        <f>SUM(J10:J23)</f>
        <v>2041.80135</v>
      </c>
      <c r="K24" s="258"/>
      <c r="L24" s="247"/>
    </row>
    <row r="25" spans="1:12">
      <c r="A25" s="433" t="s">
        <v>79</v>
      </c>
      <c r="B25" s="312">
        <v>773696</v>
      </c>
      <c r="C25" s="319" t="s">
        <v>377</v>
      </c>
      <c r="D25" s="16" t="s">
        <v>262</v>
      </c>
      <c r="E25" s="294">
        <v>441443</v>
      </c>
      <c r="F25" s="261"/>
      <c r="G25" s="294">
        <v>2026</v>
      </c>
      <c r="H25" s="295">
        <v>600</v>
      </c>
      <c r="I25" s="296">
        <f>(H25*9*0.02)*0.6</f>
        <v>64.8</v>
      </c>
      <c r="J25" s="200">
        <f>I25</f>
        <v>64.8</v>
      </c>
      <c r="K25" s="297"/>
      <c r="L25" s="242"/>
    </row>
    <row r="26" spans="1:12">
      <c r="A26" s="434"/>
      <c r="B26" s="214">
        <v>857776</v>
      </c>
      <c r="C26" s="325" t="s">
        <v>341</v>
      </c>
      <c r="D26" s="122" t="s">
        <v>5</v>
      </c>
      <c r="E26" s="22">
        <v>20379483</v>
      </c>
      <c r="F26" s="262"/>
      <c r="G26" s="22"/>
      <c r="H26" s="148">
        <v>210.07</v>
      </c>
      <c r="I26" s="164">
        <f>H26*0.12</f>
        <v>25.208399999999997</v>
      </c>
      <c r="J26" s="251">
        <f>I26</f>
        <v>25.208399999999997</v>
      </c>
      <c r="K26" s="249"/>
      <c r="L26" s="243"/>
    </row>
    <row r="27" spans="1:12">
      <c r="A27" s="434"/>
      <c r="B27" s="214">
        <v>414852</v>
      </c>
      <c r="C27" s="325" t="s">
        <v>385</v>
      </c>
      <c r="D27" s="22" t="s">
        <v>317</v>
      </c>
      <c r="E27" s="22">
        <v>60010792</v>
      </c>
      <c r="F27" s="262"/>
      <c r="G27" s="22"/>
      <c r="H27" s="148">
        <v>145.80000000000001</v>
      </c>
      <c r="I27" s="149">
        <f>(H27/12*3.5)*0.6</f>
        <v>25.514999999999997</v>
      </c>
      <c r="J27" s="251">
        <f t="shared" ref="J27:J52" si="1">I27</f>
        <v>25.514999999999997</v>
      </c>
      <c r="K27" s="250" t="s">
        <v>199</v>
      </c>
      <c r="L27" s="243"/>
    </row>
    <row r="28" spans="1:12">
      <c r="A28" s="434"/>
      <c r="B28" s="214">
        <v>813408</v>
      </c>
      <c r="C28" s="325" t="s">
        <v>380</v>
      </c>
      <c r="D28" s="22" t="s">
        <v>349</v>
      </c>
      <c r="E28" s="22">
        <v>20380382</v>
      </c>
      <c r="F28" s="262"/>
      <c r="G28" s="22"/>
      <c r="H28" s="148">
        <v>2089.09</v>
      </c>
      <c r="I28" s="149">
        <f>(800*0.06)+(800*0.07)+(489.09*0.08)</f>
        <v>143.12720000000002</v>
      </c>
      <c r="J28" s="251">
        <f t="shared" si="1"/>
        <v>143.12720000000002</v>
      </c>
      <c r="K28" s="250" t="s">
        <v>200</v>
      </c>
      <c r="L28" s="243"/>
    </row>
    <row r="29" spans="1:12">
      <c r="A29" s="434"/>
      <c r="B29" s="214">
        <v>797110</v>
      </c>
      <c r="C29" s="325" t="s">
        <v>381</v>
      </c>
      <c r="D29" s="22" t="s">
        <v>349</v>
      </c>
      <c r="E29" s="22">
        <v>20379837</v>
      </c>
      <c r="F29" s="262"/>
      <c r="G29" s="22"/>
      <c r="H29" s="148">
        <v>2217.1799999999998</v>
      </c>
      <c r="I29" s="149">
        <f>(800*0.06)+(800*0.07)+(617.18*0.08)</f>
        <v>153.37439999999998</v>
      </c>
      <c r="J29" s="251">
        <f t="shared" si="1"/>
        <v>153.37439999999998</v>
      </c>
      <c r="K29" s="250"/>
      <c r="L29" s="243"/>
    </row>
    <row r="30" spans="1:12">
      <c r="A30" s="434"/>
      <c r="B30" s="214">
        <v>843169</v>
      </c>
      <c r="C30" s="325" t="s">
        <v>378</v>
      </c>
      <c r="D30" s="22" t="s">
        <v>65</v>
      </c>
      <c r="E30" s="22">
        <v>20379488</v>
      </c>
      <c r="F30" s="262"/>
      <c r="G30" s="22"/>
      <c r="H30" s="148">
        <v>201.93</v>
      </c>
      <c r="I30" s="164">
        <f>H30*0.15</f>
        <v>30.2895</v>
      </c>
      <c r="J30" s="251">
        <f t="shared" si="1"/>
        <v>30.2895</v>
      </c>
      <c r="K30" s="250"/>
      <c r="L30" s="243"/>
    </row>
    <row r="31" spans="1:12" s="4" customFormat="1">
      <c r="A31" s="434"/>
      <c r="B31" s="214">
        <v>294016</v>
      </c>
      <c r="C31" s="325" t="s">
        <v>382</v>
      </c>
      <c r="D31" s="22" t="s">
        <v>5</v>
      </c>
      <c r="E31" s="22">
        <v>20380292</v>
      </c>
      <c r="F31" s="262"/>
      <c r="G31" s="22"/>
      <c r="H31" s="148">
        <v>298.23</v>
      </c>
      <c r="I31" s="164">
        <f>H31*0.12</f>
        <v>35.787599999999998</v>
      </c>
      <c r="J31" s="251">
        <f t="shared" si="1"/>
        <v>35.787599999999998</v>
      </c>
      <c r="K31" s="250"/>
      <c r="L31" s="243"/>
    </row>
    <row r="32" spans="1:12" s="4" customFormat="1">
      <c r="A32" s="434"/>
      <c r="B32" s="214">
        <v>294016</v>
      </c>
      <c r="C32" s="325" t="s">
        <v>382</v>
      </c>
      <c r="D32" s="22" t="s">
        <v>65</v>
      </c>
      <c r="E32" s="22">
        <v>20380292</v>
      </c>
      <c r="F32" s="262"/>
      <c r="G32" s="22"/>
      <c r="H32" s="148">
        <v>112.52</v>
      </c>
      <c r="I32" s="164">
        <f>H32*0.15</f>
        <v>16.878</v>
      </c>
      <c r="J32" s="251">
        <f t="shared" si="1"/>
        <v>16.878</v>
      </c>
      <c r="K32" s="250"/>
      <c r="L32" s="243"/>
    </row>
    <row r="33" spans="1:12" s="4" customFormat="1" ht="15" customHeight="1">
      <c r="A33" s="434"/>
      <c r="B33" s="214">
        <v>294016</v>
      </c>
      <c r="C33" s="325" t="s">
        <v>382</v>
      </c>
      <c r="D33" s="22" t="s">
        <v>379</v>
      </c>
      <c r="E33" s="22">
        <v>441468</v>
      </c>
      <c r="F33" s="259" t="s">
        <v>386</v>
      </c>
      <c r="G33" s="22">
        <v>2026</v>
      </c>
      <c r="H33" s="148">
        <v>600</v>
      </c>
      <c r="I33" s="164">
        <f>(H33*9*0.025*0.6)*0.5</f>
        <v>40.5</v>
      </c>
      <c r="J33" s="251">
        <f t="shared" si="1"/>
        <v>40.5</v>
      </c>
      <c r="K33" s="250"/>
      <c r="L33" s="243"/>
    </row>
    <row r="34" spans="1:12" s="4" customFormat="1">
      <c r="A34" s="434"/>
      <c r="B34" s="214">
        <v>751934</v>
      </c>
      <c r="C34" s="325" t="s">
        <v>383</v>
      </c>
      <c r="D34" s="22" t="s">
        <v>3</v>
      </c>
      <c r="E34" s="22">
        <v>20377707</v>
      </c>
      <c r="F34" s="262"/>
      <c r="G34" s="22"/>
      <c r="H34" s="148">
        <v>1075.8900000000001</v>
      </c>
      <c r="I34" s="149">
        <f>(800*0.06)+(275.89*0.07)</f>
        <v>67.312299999999993</v>
      </c>
      <c r="J34" s="251">
        <f t="shared" si="1"/>
        <v>67.312299999999993</v>
      </c>
      <c r="K34" s="250" t="s">
        <v>185</v>
      </c>
      <c r="L34" s="243"/>
    </row>
    <row r="35" spans="1:12" s="4" customFormat="1">
      <c r="A35" s="434"/>
      <c r="B35" s="214">
        <v>659424</v>
      </c>
      <c r="C35" s="325" t="s">
        <v>387</v>
      </c>
      <c r="D35" s="22" t="s">
        <v>310</v>
      </c>
      <c r="E35" s="22">
        <v>611437</v>
      </c>
      <c r="F35" s="262"/>
      <c r="G35" s="22">
        <v>2036</v>
      </c>
      <c r="H35" s="148">
        <v>1020</v>
      </c>
      <c r="I35" s="172">
        <f>(H35*22*0.02)*0.6</f>
        <v>269.27999999999997</v>
      </c>
      <c r="J35" s="251">
        <f t="shared" si="1"/>
        <v>269.27999999999997</v>
      </c>
      <c r="K35" s="252" t="s">
        <v>210</v>
      </c>
      <c r="L35" s="243"/>
    </row>
    <row r="36" spans="1:12" s="4" customFormat="1">
      <c r="A36" s="434"/>
      <c r="B36" s="214">
        <v>659426</v>
      </c>
      <c r="C36" s="325" t="s">
        <v>388</v>
      </c>
      <c r="D36" s="22" t="s">
        <v>310</v>
      </c>
      <c r="E36" s="22">
        <v>611438</v>
      </c>
      <c r="F36" s="262"/>
      <c r="G36" s="22">
        <v>2039</v>
      </c>
      <c r="H36" s="148">
        <v>720</v>
      </c>
      <c r="I36" s="172">
        <f>(H36*19*0.02)*0.6</f>
        <v>164.16</v>
      </c>
      <c r="J36" s="251">
        <f t="shared" si="1"/>
        <v>164.16</v>
      </c>
      <c r="K36" s="253" t="s">
        <v>212</v>
      </c>
      <c r="L36" s="243"/>
    </row>
    <row r="37" spans="1:12" s="4" customFormat="1">
      <c r="A37" s="434"/>
      <c r="B37" s="214">
        <v>611396</v>
      </c>
      <c r="C37" s="326" t="s">
        <v>389</v>
      </c>
      <c r="D37" s="22" t="s">
        <v>317</v>
      </c>
      <c r="E37" s="22">
        <v>61022044</v>
      </c>
      <c r="F37" s="262"/>
      <c r="G37" s="22"/>
      <c r="H37" s="148">
        <v>854.06</v>
      </c>
      <c r="I37" s="268">
        <f>(H37/12*3.5)*0.6</f>
        <v>149.4605</v>
      </c>
      <c r="J37" s="152">
        <f t="shared" si="1"/>
        <v>149.4605</v>
      </c>
      <c r="K37" s="253" t="s">
        <v>211</v>
      </c>
      <c r="L37" s="269"/>
    </row>
    <row r="38" spans="1:12" s="4" customFormat="1" ht="14.25" customHeight="1">
      <c r="A38" s="434"/>
      <c r="B38" s="214">
        <v>849012</v>
      </c>
      <c r="C38" s="327" t="s">
        <v>394</v>
      </c>
      <c r="D38" s="59" t="s">
        <v>5</v>
      </c>
      <c r="E38" s="59">
        <v>20288250</v>
      </c>
      <c r="F38" s="265" t="s">
        <v>393</v>
      </c>
      <c r="G38" s="59"/>
      <c r="H38" s="255">
        <v>241.33</v>
      </c>
      <c r="I38" s="164">
        <f>(H38*0.12)*0.5</f>
        <v>14.479800000000001</v>
      </c>
      <c r="J38" s="152">
        <f t="shared" si="1"/>
        <v>14.479800000000001</v>
      </c>
      <c r="K38" s="209"/>
      <c r="L38" s="245"/>
    </row>
    <row r="39" spans="1:12" s="4" customFormat="1" ht="14.25" customHeight="1">
      <c r="A39" s="434"/>
      <c r="B39" s="214">
        <v>849012</v>
      </c>
      <c r="C39" s="327" t="s">
        <v>394</v>
      </c>
      <c r="D39" s="59" t="s">
        <v>395</v>
      </c>
      <c r="E39" s="59">
        <v>425327</v>
      </c>
      <c r="F39" s="265" t="s">
        <v>393</v>
      </c>
      <c r="G39" s="59"/>
      <c r="H39" s="255">
        <v>1501</v>
      </c>
      <c r="I39" s="99">
        <f>((H39*0.075)*0.6)*0.5</f>
        <v>33.772500000000001</v>
      </c>
      <c r="J39" s="152">
        <f t="shared" si="1"/>
        <v>33.772500000000001</v>
      </c>
      <c r="K39" s="209"/>
      <c r="L39" s="245"/>
    </row>
    <row r="40" spans="1:12" s="4" customFormat="1" ht="14.25" customHeight="1">
      <c r="A40" s="434"/>
      <c r="B40" s="214">
        <v>848696</v>
      </c>
      <c r="C40" s="327" t="s">
        <v>396</v>
      </c>
      <c r="D40" s="59" t="s">
        <v>317</v>
      </c>
      <c r="E40" s="59">
        <v>61012022</v>
      </c>
      <c r="F40" s="265"/>
      <c r="G40" s="59"/>
      <c r="H40" s="255">
        <v>1423.56</v>
      </c>
      <c r="I40" s="164">
        <f>(H40/12*3.5)*0.6</f>
        <v>249.12299999999999</v>
      </c>
      <c r="J40" s="152">
        <f t="shared" si="1"/>
        <v>249.12299999999999</v>
      </c>
      <c r="K40" s="209"/>
      <c r="L40" s="245"/>
    </row>
    <row r="41" spans="1:12" s="4" customFormat="1" ht="14.25" customHeight="1">
      <c r="A41" s="434"/>
      <c r="B41" s="214">
        <v>848696</v>
      </c>
      <c r="C41" s="327" t="s">
        <v>396</v>
      </c>
      <c r="D41" s="59" t="s">
        <v>317</v>
      </c>
      <c r="E41" s="59">
        <v>61022036</v>
      </c>
      <c r="F41" s="265"/>
      <c r="G41" s="59"/>
      <c r="H41" s="255">
        <v>760.2</v>
      </c>
      <c r="I41" s="164">
        <f>(H41/12*3.5)*0.6</f>
        <v>133.035</v>
      </c>
      <c r="J41" s="152">
        <f t="shared" si="1"/>
        <v>133.035</v>
      </c>
      <c r="K41" s="209"/>
      <c r="L41" s="245"/>
    </row>
    <row r="42" spans="1:12" s="4" customFormat="1" ht="14.25" customHeight="1">
      <c r="A42" s="434"/>
      <c r="B42" s="214">
        <v>526276</v>
      </c>
      <c r="C42" s="327" t="s">
        <v>397</v>
      </c>
      <c r="D42" s="59" t="s">
        <v>317</v>
      </c>
      <c r="E42" s="59">
        <v>61022143</v>
      </c>
      <c r="F42" s="265"/>
      <c r="G42" s="59"/>
      <c r="H42" s="255">
        <v>1083.96</v>
      </c>
      <c r="I42" s="164">
        <f>(H42/12*3.5)*0.6</f>
        <v>189.69299999999998</v>
      </c>
      <c r="J42" s="152">
        <f t="shared" si="1"/>
        <v>189.69299999999998</v>
      </c>
      <c r="K42" s="209"/>
      <c r="L42" s="245"/>
    </row>
    <row r="43" spans="1:12" s="4" customFormat="1" ht="14.25" customHeight="1">
      <c r="A43" s="434"/>
      <c r="B43" s="214">
        <v>850489</v>
      </c>
      <c r="C43" s="327" t="s">
        <v>398</v>
      </c>
      <c r="D43" s="59" t="s">
        <v>317</v>
      </c>
      <c r="E43" s="59">
        <v>61022169</v>
      </c>
      <c r="F43" s="265"/>
      <c r="G43" s="59"/>
      <c r="H43" s="255">
        <v>709.99</v>
      </c>
      <c r="I43" s="164">
        <f>(H43/12*3.5)*0.6</f>
        <v>124.24824999999998</v>
      </c>
      <c r="J43" s="152">
        <f t="shared" si="1"/>
        <v>124.24824999999998</v>
      </c>
      <c r="K43" s="209"/>
      <c r="L43" s="245"/>
    </row>
    <row r="44" spans="1:12" s="4" customFormat="1" ht="14.25" customHeight="1">
      <c r="A44" s="434"/>
      <c r="B44" s="214">
        <v>839223</v>
      </c>
      <c r="C44" s="327" t="s">
        <v>399</v>
      </c>
      <c r="D44" s="59" t="s">
        <v>5</v>
      </c>
      <c r="E44" s="59">
        <v>20382192</v>
      </c>
      <c r="F44" s="265"/>
      <c r="G44" s="59"/>
      <c r="H44" s="255">
        <v>190.17</v>
      </c>
      <c r="I44" s="164">
        <f>H44*0.12</f>
        <v>22.820399999999999</v>
      </c>
      <c r="J44" s="152">
        <f t="shared" si="1"/>
        <v>22.820399999999999</v>
      </c>
      <c r="K44" s="209"/>
      <c r="L44" s="245"/>
    </row>
    <row r="45" spans="1:12" s="4" customFormat="1" ht="14.25" customHeight="1">
      <c r="A45" s="434"/>
      <c r="B45" s="214">
        <v>841184</v>
      </c>
      <c r="C45" s="327" t="s">
        <v>400</v>
      </c>
      <c r="D45" s="59" t="s">
        <v>3</v>
      </c>
      <c r="E45" s="59">
        <v>20381768</v>
      </c>
      <c r="F45" s="265"/>
      <c r="G45" s="59"/>
      <c r="H45" s="255">
        <v>1141.46</v>
      </c>
      <c r="I45" s="271">
        <f>(800*0.06)+(341.46*0.07)</f>
        <v>71.902199999999993</v>
      </c>
      <c r="J45" s="152">
        <f t="shared" si="1"/>
        <v>71.902199999999993</v>
      </c>
      <c r="K45" s="209"/>
      <c r="L45" s="245"/>
    </row>
    <row r="46" spans="1:12" s="4" customFormat="1" ht="14.25" customHeight="1">
      <c r="A46" s="434"/>
      <c r="B46" s="214">
        <v>841184</v>
      </c>
      <c r="C46" s="327" t="s">
        <v>400</v>
      </c>
      <c r="D46" s="59" t="s">
        <v>401</v>
      </c>
      <c r="E46" s="59"/>
      <c r="F46" s="265"/>
      <c r="G46" s="59"/>
      <c r="H46" s="255"/>
      <c r="I46" s="271"/>
      <c r="J46" s="152">
        <f t="shared" si="1"/>
        <v>0</v>
      </c>
      <c r="K46" s="209"/>
      <c r="L46" s="245"/>
    </row>
    <row r="47" spans="1:12" s="4" customFormat="1" ht="14.25" customHeight="1">
      <c r="A47" s="434"/>
      <c r="B47" s="214">
        <v>851740</v>
      </c>
      <c r="C47" s="327" t="s">
        <v>418</v>
      </c>
      <c r="D47" s="59" t="s">
        <v>5</v>
      </c>
      <c r="E47" s="59">
        <v>20382263</v>
      </c>
      <c r="F47" s="265"/>
      <c r="G47" s="59"/>
      <c r="H47" s="255">
        <v>200.81</v>
      </c>
      <c r="I47" s="164">
        <f>H47*0.12</f>
        <v>24.097200000000001</v>
      </c>
      <c r="J47" s="152">
        <f t="shared" si="1"/>
        <v>24.097200000000001</v>
      </c>
      <c r="K47" s="209"/>
      <c r="L47" s="245"/>
    </row>
    <row r="48" spans="1:12" s="4" customFormat="1" ht="14.25" customHeight="1">
      <c r="A48" s="434"/>
      <c r="B48" s="214">
        <v>715253</v>
      </c>
      <c r="C48" s="327" t="s">
        <v>402</v>
      </c>
      <c r="D48" s="59" t="s">
        <v>191</v>
      </c>
      <c r="E48" s="59">
        <v>20381465</v>
      </c>
      <c r="F48" s="265"/>
      <c r="G48" s="59"/>
      <c r="H48" s="255">
        <v>906.39</v>
      </c>
      <c r="I48" s="164">
        <f>H48*0.12</f>
        <v>108.76679999999999</v>
      </c>
      <c r="J48" s="152">
        <f t="shared" si="1"/>
        <v>108.76679999999999</v>
      </c>
      <c r="K48" s="209"/>
      <c r="L48" s="245"/>
    </row>
    <row r="49" spans="1:12" s="4" customFormat="1" ht="14.25" customHeight="1">
      <c r="A49" s="434"/>
      <c r="B49" s="214">
        <v>715253</v>
      </c>
      <c r="C49" s="327" t="s">
        <v>402</v>
      </c>
      <c r="D49" s="59" t="s">
        <v>191</v>
      </c>
      <c r="E49" s="59">
        <v>20381470</v>
      </c>
      <c r="F49" s="265"/>
      <c r="G49" s="59"/>
      <c r="H49" s="255">
        <v>447.08</v>
      </c>
      <c r="I49" s="164">
        <f>H49*0.12</f>
        <v>53.6496</v>
      </c>
      <c r="J49" s="152">
        <f t="shared" si="1"/>
        <v>53.6496</v>
      </c>
      <c r="K49" s="209"/>
      <c r="L49" s="245"/>
    </row>
    <row r="50" spans="1:12" s="4" customFormat="1" ht="12.75" customHeight="1">
      <c r="A50" s="434"/>
      <c r="B50" s="214"/>
      <c r="C50" s="327"/>
      <c r="D50" s="59"/>
      <c r="E50" s="59"/>
      <c r="F50" s="265"/>
      <c r="G50" s="59"/>
      <c r="H50" s="255"/>
      <c r="I50" s="271"/>
      <c r="J50" s="152">
        <f t="shared" si="1"/>
        <v>0</v>
      </c>
      <c r="K50" s="209"/>
      <c r="L50" s="245"/>
    </row>
    <row r="51" spans="1:12" s="4" customFormat="1" ht="12.75" customHeight="1">
      <c r="A51" s="434"/>
      <c r="B51" s="214"/>
      <c r="C51" s="327"/>
      <c r="D51" s="59"/>
      <c r="E51" s="59"/>
      <c r="F51" s="265"/>
      <c r="G51" s="59"/>
      <c r="H51" s="255"/>
      <c r="I51" s="271"/>
      <c r="J51" s="152">
        <f t="shared" si="1"/>
        <v>0</v>
      </c>
      <c r="K51" s="209"/>
      <c r="L51" s="245"/>
    </row>
    <row r="52" spans="1:12" s="4" customFormat="1" ht="12.75" customHeight="1">
      <c r="A52" s="434"/>
      <c r="B52" s="214"/>
      <c r="C52" s="327"/>
      <c r="D52" s="59"/>
      <c r="E52" s="59"/>
      <c r="F52" s="265"/>
      <c r="G52" s="59"/>
      <c r="H52" s="255"/>
      <c r="I52" s="271"/>
      <c r="J52" s="152">
        <f t="shared" si="1"/>
        <v>0</v>
      </c>
      <c r="K52" s="209"/>
      <c r="L52" s="245"/>
    </row>
    <row r="53" spans="1:12" ht="15.75" thickBot="1">
      <c r="A53" s="435"/>
      <c r="B53" s="313"/>
      <c r="C53" s="324" t="s">
        <v>390</v>
      </c>
      <c r="D53" s="45"/>
      <c r="E53" s="155"/>
      <c r="F53" s="264"/>
      <c r="G53" s="155"/>
      <c r="H53" s="156"/>
      <c r="I53" s="157"/>
      <c r="J53" s="298">
        <f>SUM(J25:J52)</f>
        <v>2211.2806500000006</v>
      </c>
      <c r="K53" s="299" t="s">
        <v>204</v>
      </c>
      <c r="L53" s="306"/>
    </row>
    <row r="54" spans="1:12" s="3" customFormat="1">
      <c r="A54" s="436" t="s">
        <v>78</v>
      </c>
      <c r="B54" s="335">
        <v>761980</v>
      </c>
      <c r="C54" s="211" t="s">
        <v>309</v>
      </c>
      <c r="D54" s="122" t="s">
        <v>3</v>
      </c>
      <c r="E54" s="122">
        <v>20083422</v>
      </c>
      <c r="F54" s="263"/>
      <c r="G54" s="122"/>
      <c r="H54" s="293">
        <v>1493.83</v>
      </c>
      <c r="I54" s="270">
        <f>(800*0.06)+(693.83*0.07)</f>
        <v>96.568100000000015</v>
      </c>
      <c r="J54" s="123">
        <f t="shared" ref="J54:J66" si="2">I54</f>
        <v>96.568100000000015</v>
      </c>
      <c r="K54" s="5" t="s">
        <v>202</v>
      </c>
      <c r="L54" s="256"/>
    </row>
    <row r="55" spans="1:12" ht="14.25" customHeight="1">
      <c r="A55" s="437"/>
      <c r="B55" s="214">
        <v>603592</v>
      </c>
      <c r="C55" s="212" t="s">
        <v>403</v>
      </c>
      <c r="D55" s="22" t="s">
        <v>191</v>
      </c>
      <c r="E55" s="28">
        <v>20370742</v>
      </c>
      <c r="F55" s="262"/>
      <c r="G55" s="28"/>
      <c r="H55" s="169">
        <v>552.97</v>
      </c>
      <c r="I55" s="170">
        <f>H55*0.12</f>
        <v>66.356400000000008</v>
      </c>
      <c r="J55" s="30">
        <f t="shared" si="2"/>
        <v>66.356400000000008</v>
      </c>
      <c r="L55" s="244">
        <v>20.079999999999998</v>
      </c>
    </row>
    <row r="56" spans="1:12" ht="14.25" customHeight="1">
      <c r="A56" s="437"/>
      <c r="B56" s="214">
        <v>951455</v>
      </c>
      <c r="C56" s="212" t="s">
        <v>404</v>
      </c>
      <c r="D56" s="22" t="s">
        <v>57</v>
      </c>
      <c r="E56" s="22">
        <v>20384573</v>
      </c>
      <c r="F56" s="262"/>
      <c r="G56" s="22"/>
      <c r="H56" s="148">
        <v>319.19</v>
      </c>
      <c r="I56" s="170">
        <f t="shared" ref="I56:I57" si="3">H56*0.12</f>
        <v>38.302799999999998</v>
      </c>
      <c r="J56" s="24">
        <f t="shared" si="2"/>
        <v>38.302799999999998</v>
      </c>
      <c r="K56" s="5" t="s">
        <v>219</v>
      </c>
      <c r="L56" s="243"/>
    </row>
    <row r="57" spans="1:12" ht="14.25" customHeight="1">
      <c r="A57" s="437"/>
      <c r="B57" s="214">
        <v>524936</v>
      </c>
      <c r="C57" s="213" t="s">
        <v>405</v>
      </c>
      <c r="D57" s="22" t="s">
        <v>57</v>
      </c>
      <c r="E57" s="25">
        <v>20360252</v>
      </c>
      <c r="F57" s="262"/>
      <c r="G57" s="33"/>
      <c r="H57" s="163">
        <v>1463.39</v>
      </c>
      <c r="I57" s="170">
        <f t="shared" si="3"/>
        <v>175.60679999999999</v>
      </c>
      <c r="J57" s="173">
        <f t="shared" si="2"/>
        <v>175.60679999999999</v>
      </c>
      <c r="K57" s="4" t="s">
        <v>213</v>
      </c>
      <c r="L57" s="246">
        <v>558.57000000000005</v>
      </c>
    </row>
    <row r="58" spans="1:12" ht="14.25" customHeight="1">
      <c r="A58" s="437"/>
      <c r="B58" s="214">
        <v>546111</v>
      </c>
      <c r="C58" s="213" t="s">
        <v>406</v>
      </c>
      <c r="D58" s="25" t="s">
        <v>3</v>
      </c>
      <c r="E58" s="25">
        <v>20385017</v>
      </c>
      <c r="F58" s="262"/>
      <c r="G58" s="25"/>
      <c r="H58" s="163">
        <v>1814.16</v>
      </c>
      <c r="I58" s="270">
        <f>(800*0.06)+(800*0.07)+(214.16*0.08)</f>
        <v>121.1328</v>
      </c>
      <c r="J58" s="41">
        <f t="shared" si="2"/>
        <v>121.1328</v>
      </c>
      <c r="K58" s="5" t="s">
        <v>214</v>
      </c>
      <c r="L58" s="246"/>
    </row>
    <row r="59" spans="1:12" ht="14.25" customHeight="1">
      <c r="A59" s="437"/>
      <c r="B59" s="214">
        <v>763711</v>
      </c>
      <c r="C59" s="213" t="s">
        <v>415</v>
      </c>
      <c r="D59" s="22" t="s">
        <v>317</v>
      </c>
      <c r="E59" s="25">
        <v>61022702</v>
      </c>
      <c r="F59" s="262"/>
      <c r="G59" s="25"/>
      <c r="H59" s="163">
        <v>688.32</v>
      </c>
      <c r="I59" s="164">
        <f>(H59/12*3.5)*0.6</f>
        <v>120.456</v>
      </c>
      <c r="J59" s="41">
        <f t="shared" si="2"/>
        <v>120.456</v>
      </c>
      <c r="K59" s="5"/>
      <c r="L59" s="243"/>
    </row>
    <row r="60" spans="1:12" ht="14.25" customHeight="1">
      <c r="A60" s="437"/>
      <c r="B60" s="214">
        <v>586459</v>
      </c>
      <c r="C60" s="213" t="s">
        <v>407</v>
      </c>
      <c r="D60" s="22" t="s">
        <v>317</v>
      </c>
      <c r="E60" s="25">
        <v>61022815</v>
      </c>
      <c r="F60" s="262"/>
      <c r="G60" s="25"/>
      <c r="H60" s="163">
        <v>2518.8000000000002</v>
      </c>
      <c r="I60" s="164">
        <f>(H60/12*3.5)*0.6</f>
        <v>440.78999999999996</v>
      </c>
      <c r="J60" s="41">
        <f t="shared" si="2"/>
        <v>440.78999999999996</v>
      </c>
      <c r="K60" s="5"/>
      <c r="L60" s="243"/>
    </row>
    <row r="61" spans="1:12" ht="14.25" customHeight="1">
      <c r="A61" s="437"/>
      <c r="B61" s="214">
        <v>526276</v>
      </c>
      <c r="C61" s="213" t="s">
        <v>397</v>
      </c>
      <c r="D61" s="22" t="s">
        <v>409</v>
      </c>
      <c r="E61" s="25">
        <v>807618</v>
      </c>
      <c r="F61" s="262"/>
      <c r="G61" s="25">
        <v>2033</v>
      </c>
      <c r="H61" s="163">
        <v>600</v>
      </c>
      <c r="I61" s="172">
        <f>(H61*16*0.02)*0.6</f>
        <v>115.19999999999999</v>
      </c>
      <c r="J61" s="41">
        <f t="shared" si="2"/>
        <v>115.19999999999999</v>
      </c>
      <c r="K61" s="5"/>
      <c r="L61" s="243"/>
    </row>
    <row r="62" spans="1:12" ht="14.25" customHeight="1">
      <c r="A62" s="437"/>
      <c r="B62" s="214">
        <v>855692</v>
      </c>
      <c r="C62" s="213" t="s">
        <v>408</v>
      </c>
      <c r="D62" s="22" t="s">
        <v>317</v>
      </c>
      <c r="E62" s="25">
        <v>61022909</v>
      </c>
      <c r="F62" s="262"/>
      <c r="G62" s="25"/>
      <c r="H62" s="163">
        <v>145.08000000000001</v>
      </c>
      <c r="I62" s="164">
        <f>(H62/12*3.5)*0.6</f>
        <v>25.389000000000003</v>
      </c>
      <c r="J62" s="41">
        <f>I62</f>
        <v>25.389000000000003</v>
      </c>
      <c r="K62" s="5"/>
      <c r="L62" s="243"/>
    </row>
    <row r="63" spans="1:12" ht="14.25" customHeight="1">
      <c r="A63" s="437"/>
      <c r="B63" s="214">
        <v>855692</v>
      </c>
      <c r="C63" s="213" t="s">
        <v>408</v>
      </c>
      <c r="D63" s="22" t="s">
        <v>310</v>
      </c>
      <c r="E63" s="25">
        <v>806101</v>
      </c>
      <c r="F63" s="262"/>
      <c r="G63" s="25">
        <v>2045</v>
      </c>
      <c r="H63" s="163">
        <v>1200</v>
      </c>
      <c r="I63" s="172">
        <f>(H63*28*0.02)*0.6</f>
        <v>403.2</v>
      </c>
      <c r="J63" s="41">
        <f t="shared" si="2"/>
        <v>403.2</v>
      </c>
      <c r="K63" s="5"/>
      <c r="L63" s="243"/>
    </row>
    <row r="64" spans="1:12" ht="14.25" customHeight="1">
      <c r="A64" s="437"/>
      <c r="B64" s="214">
        <v>789809</v>
      </c>
      <c r="C64" s="213" t="s">
        <v>410</v>
      </c>
      <c r="D64" s="22" t="s">
        <v>317</v>
      </c>
      <c r="E64" s="25">
        <v>61022957</v>
      </c>
      <c r="F64" s="262"/>
      <c r="G64" s="25"/>
      <c r="H64" s="163">
        <v>766.65</v>
      </c>
      <c r="I64" s="164">
        <f>(H64/12*3.5)*0.6</f>
        <v>134.16374999999999</v>
      </c>
      <c r="J64" s="41">
        <f t="shared" si="2"/>
        <v>134.16374999999999</v>
      </c>
      <c r="K64" s="5"/>
      <c r="L64" s="243"/>
    </row>
    <row r="65" spans="1:12" ht="14.25" customHeight="1">
      <c r="A65" s="437"/>
      <c r="B65" s="214">
        <v>261094</v>
      </c>
      <c r="C65" s="213" t="s">
        <v>411</v>
      </c>
      <c r="D65" s="22" t="s">
        <v>314</v>
      </c>
      <c r="E65" s="25">
        <v>20386931</v>
      </c>
      <c r="F65" s="262"/>
      <c r="G65" s="25"/>
      <c r="H65" s="163">
        <v>1228.42</v>
      </c>
      <c r="I65" s="164">
        <f>(800*0.06)+(428.43*0.07)</f>
        <v>77.990099999999998</v>
      </c>
      <c r="J65" s="41">
        <f t="shared" si="2"/>
        <v>77.990099999999998</v>
      </c>
      <c r="K65" s="5"/>
      <c r="L65" s="243"/>
    </row>
    <row r="66" spans="1:12" ht="14.25" customHeight="1">
      <c r="A66" s="437"/>
      <c r="B66" s="214">
        <v>583445</v>
      </c>
      <c r="C66" s="213" t="s">
        <v>189</v>
      </c>
      <c r="D66" s="22" t="s">
        <v>317</v>
      </c>
      <c r="E66" s="25">
        <v>61017866</v>
      </c>
      <c r="F66" s="262"/>
      <c r="G66" s="25"/>
      <c r="H66" s="163">
        <v>1056.3599999999999</v>
      </c>
      <c r="I66" s="164">
        <f>(H66/12*3.5)*0.6</f>
        <v>184.86299999999997</v>
      </c>
      <c r="J66" s="41">
        <f t="shared" si="2"/>
        <v>184.86299999999997</v>
      </c>
      <c r="K66" s="5"/>
      <c r="L66" s="243"/>
    </row>
    <row r="67" spans="1:12" ht="14.25" customHeight="1">
      <c r="A67" s="437"/>
      <c r="B67" s="89">
        <v>559803</v>
      </c>
      <c r="C67" s="336" t="s">
        <v>412</v>
      </c>
      <c r="D67" s="59" t="s">
        <v>5</v>
      </c>
      <c r="E67" s="59">
        <v>20388053</v>
      </c>
      <c r="F67" s="265"/>
      <c r="G67" s="114"/>
      <c r="H67" s="178">
        <v>201.3</v>
      </c>
      <c r="I67" s="170">
        <f t="shared" ref="I67" si="4">H67*0.12</f>
        <v>24.155999999999999</v>
      </c>
      <c r="J67" s="115">
        <f>I67</f>
        <v>24.155999999999999</v>
      </c>
      <c r="K67" s="5"/>
      <c r="L67" s="243"/>
    </row>
    <row r="68" spans="1:12" ht="14.25" customHeight="1">
      <c r="A68" s="437"/>
      <c r="B68" s="214">
        <v>707630</v>
      </c>
      <c r="C68" s="334" t="s">
        <v>416</v>
      </c>
      <c r="D68" s="59" t="s">
        <v>317</v>
      </c>
      <c r="E68" s="114">
        <v>60015776</v>
      </c>
      <c r="F68" s="265"/>
      <c r="G68" s="114"/>
      <c r="H68" s="178">
        <v>145.08000000000001</v>
      </c>
      <c r="I68" s="164">
        <f>(H68/12*3.5)*0.6</f>
        <v>25.389000000000003</v>
      </c>
      <c r="J68" s="115">
        <f>I68</f>
        <v>25.389000000000003</v>
      </c>
      <c r="K68" s="5"/>
      <c r="L68" s="243"/>
    </row>
    <row r="69" spans="1:12" ht="14.25" customHeight="1">
      <c r="A69" s="437"/>
      <c r="B69" s="214">
        <v>782333</v>
      </c>
      <c r="C69" s="334" t="s">
        <v>417</v>
      </c>
      <c r="D69" s="59" t="s">
        <v>310</v>
      </c>
      <c r="E69" s="114">
        <v>806102</v>
      </c>
      <c r="F69" s="265"/>
      <c r="G69" s="114">
        <v>2033</v>
      </c>
      <c r="H69" s="178">
        <v>1100</v>
      </c>
      <c r="I69" s="172">
        <f>(H69*16*0.02)*0.6</f>
        <v>211.2</v>
      </c>
      <c r="J69" s="115">
        <f t="shared" ref="J69:J73" si="5">I69</f>
        <v>211.2</v>
      </c>
      <c r="K69" s="5"/>
      <c r="L69" s="243"/>
    </row>
    <row r="70" spans="1:12" ht="14.25" customHeight="1">
      <c r="A70" s="437"/>
      <c r="B70" s="214">
        <v>782333</v>
      </c>
      <c r="C70" s="334" t="s">
        <v>417</v>
      </c>
      <c r="D70" s="59" t="s">
        <v>8</v>
      </c>
      <c r="E70" s="114" t="s">
        <v>413</v>
      </c>
      <c r="F70" s="265"/>
      <c r="G70" s="114"/>
      <c r="H70" s="178">
        <v>45000</v>
      </c>
      <c r="I70" s="151">
        <f>(H70*0.007)*0.6</f>
        <v>189</v>
      </c>
      <c r="J70" s="115">
        <f t="shared" si="5"/>
        <v>189</v>
      </c>
      <c r="K70" s="5"/>
      <c r="L70" s="243"/>
    </row>
    <row r="71" spans="1:12" ht="14.25" customHeight="1">
      <c r="A71" s="437"/>
      <c r="B71" s="214">
        <v>782329</v>
      </c>
      <c r="C71" s="334" t="s">
        <v>423</v>
      </c>
      <c r="D71" s="59" t="s">
        <v>310</v>
      </c>
      <c r="E71" s="114">
        <v>821833</v>
      </c>
      <c r="F71" s="265"/>
      <c r="G71" s="114">
        <v>2040</v>
      </c>
      <c r="H71" s="178">
        <v>1700</v>
      </c>
      <c r="I71" s="172">
        <f>(H71*23*0.02)*0.6</f>
        <v>469.2</v>
      </c>
      <c r="J71" s="115">
        <f t="shared" si="5"/>
        <v>469.2</v>
      </c>
      <c r="K71" s="5"/>
      <c r="L71" s="243"/>
    </row>
    <row r="72" spans="1:12" ht="14.25" customHeight="1">
      <c r="A72" s="437"/>
      <c r="B72" s="214">
        <v>782329</v>
      </c>
      <c r="C72" s="334" t="s">
        <v>423</v>
      </c>
      <c r="D72" s="59" t="s">
        <v>8</v>
      </c>
      <c r="E72" s="114" t="s">
        <v>414</v>
      </c>
      <c r="F72" s="265"/>
      <c r="G72" s="114"/>
      <c r="H72" s="178">
        <v>45000</v>
      </c>
      <c r="I72" s="151">
        <f>(H72*0.007)*0.6</f>
        <v>189</v>
      </c>
      <c r="J72" s="115">
        <f t="shared" si="5"/>
        <v>189</v>
      </c>
      <c r="K72" s="5"/>
      <c r="L72" s="243"/>
    </row>
    <row r="73" spans="1:12" ht="14.25" customHeight="1">
      <c r="A73" s="437"/>
      <c r="B73" s="214">
        <v>760929</v>
      </c>
      <c r="C73" s="334" t="s">
        <v>367</v>
      </c>
      <c r="D73" s="59" t="s">
        <v>3</v>
      </c>
      <c r="E73" s="114">
        <v>20388622</v>
      </c>
      <c r="F73" s="265"/>
      <c r="G73" s="114"/>
      <c r="H73" s="178">
        <v>1073.3</v>
      </c>
      <c r="I73" s="179">
        <f>(800*0.06)+(273.3*0.07)</f>
        <v>67.131</v>
      </c>
      <c r="J73" s="115">
        <f t="shared" si="5"/>
        <v>67.131</v>
      </c>
      <c r="K73" s="5"/>
      <c r="L73" s="243"/>
    </row>
    <row r="74" spans="1:12" ht="14.25" customHeight="1">
      <c r="A74" s="437"/>
      <c r="B74" s="214">
        <v>157437</v>
      </c>
      <c r="C74" s="334" t="s">
        <v>422</v>
      </c>
      <c r="D74" s="59" t="s">
        <v>3</v>
      </c>
      <c r="E74" s="114">
        <v>20388379</v>
      </c>
      <c r="F74" s="265"/>
      <c r="G74" s="114"/>
      <c r="H74" s="178">
        <v>93</v>
      </c>
      <c r="I74" s="179">
        <f>93*0.06</f>
        <v>5.58</v>
      </c>
      <c r="J74" s="115">
        <f>I74</f>
        <v>5.58</v>
      </c>
      <c r="K74" s="5"/>
      <c r="L74" s="243"/>
    </row>
    <row r="75" spans="1:12" ht="14.25" customHeight="1">
      <c r="A75" s="437"/>
      <c r="B75" s="214"/>
      <c r="C75" s="334"/>
      <c r="D75" s="59"/>
      <c r="E75" s="114"/>
      <c r="F75" s="265"/>
      <c r="G75" s="114"/>
      <c r="H75" s="178"/>
      <c r="I75" s="179"/>
      <c r="J75" s="115">
        <f>I75</f>
        <v>0</v>
      </c>
      <c r="K75" s="5"/>
      <c r="L75" s="243"/>
    </row>
    <row r="76" spans="1:12" ht="14.25" customHeight="1">
      <c r="A76" s="437"/>
      <c r="B76" s="214"/>
      <c r="C76" s="334"/>
      <c r="D76" s="59"/>
      <c r="E76" s="114"/>
      <c r="F76" s="265"/>
      <c r="G76" s="114"/>
      <c r="H76" s="178"/>
      <c r="I76" s="179"/>
      <c r="J76" s="115"/>
      <c r="K76" s="5"/>
      <c r="L76" s="243"/>
    </row>
    <row r="77" spans="1:12" s="75" customFormat="1" ht="14.25" customHeight="1" thickBot="1">
      <c r="A77" s="437"/>
      <c r="B77" s="214"/>
      <c r="C77" s="334"/>
      <c r="D77" s="59"/>
      <c r="E77" s="114"/>
      <c r="F77" s="265"/>
      <c r="G77" s="114"/>
      <c r="H77" s="178"/>
      <c r="I77" s="179"/>
      <c r="J77" s="115"/>
      <c r="K77" s="5"/>
      <c r="L77" s="247"/>
    </row>
    <row r="78" spans="1:12" s="71" customFormat="1" ht="15.75" thickBot="1">
      <c r="A78" s="438"/>
      <c r="B78" s="314"/>
      <c r="C78" s="320" t="s">
        <v>391</v>
      </c>
      <c r="D78" s="127"/>
      <c r="E78" s="300"/>
      <c r="F78" s="266"/>
      <c r="G78" s="300"/>
      <c r="H78" s="301"/>
      <c r="I78" s="302"/>
      <c r="J78" s="303">
        <f>SUM(J54:J77)</f>
        <v>3180.6747499999992</v>
      </c>
      <c r="K78" s="5"/>
      <c r="L78" s="305"/>
    </row>
    <row r="79" spans="1:12" s="71" customFormat="1" ht="15.75" thickBot="1">
      <c r="A79" s="304"/>
      <c r="B79" s="313"/>
      <c r="C79" s="328" t="s">
        <v>292</v>
      </c>
      <c r="D79" s="292"/>
      <c r="E79" s="288"/>
      <c r="F79" s="289"/>
      <c r="G79" s="288"/>
      <c r="H79" s="290"/>
      <c r="I79" s="146"/>
      <c r="J79" s="128">
        <f>SUM(J24,J53,J78)</f>
        <v>7433.7567499999996</v>
      </c>
      <c r="K79" s="5"/>
      <c r="L79"/>
    </row>
    <row r="80" spans="1:12" s="71" customFormat="1" ht="15.75" thickBot="1">
      <c r="B80" s="315"/>
      <c r="C80" s="329"/>
      <c r="D80" s="288"/>
      <c r="E80" s="288"/>
      <c r="F80" s="289"/>
      <c r="G80" s="288"/>
      <c r="H80" s="290"/>
      <c r="I80" s="291"/>
      <c r="J80" s="284"/>
      <c r="K80" s="5"/>
      <c r="L80"/>
    </row>
    <row r="81" spans="2:12" s="71" customFormat="1">
      <c r="B81" s="316"/>
      <c r="C81" s="330" t="s">
        <v>235</v>
      </c>
      <c r="D81" s="276"/>
      <c r="E81" s="276"/>
      <c r="F81" s="277"/>
      <c r="G81" s="276"/>
      <c r="H81" s="278"/>
      <c r="I81" s="279"/>
      <c r="J81" s="285">
        <f>J7</f>
        <v>5016.1000000000004</v>
      </c>
      <c r="K81" s="5"/>
      <c r="L81"/>
    </row>
    <row r="82" spans="2:12">
      <c r="B82" s="316"/>
      <c r="C82" s="331" t="s">
        <v>232</v>
      </c>
      <c r="D82" s="280"/>
      <c r="E82" s="280"/>
      <c r="F82" s="281"/>
      <c r="G82" s="280"/>
      <c r="H82" s="282"/>
      <c r="I82" s="275"/>
      <c r="J82" s="286">
        <f>SUM(J79,J81)</f>
        <v>12449.856749999999</v>
      </c>
      <c r="K82" s="5"/>
      <c r="L82" s="71"/>
    </row>
    <row r="83" spans="2:12" ht="15.75" thickBot="1">
      <c r="B83" s="316"/>
      <c r="C83" s="332" t="s">
        <v>236</v>
      </c>
      <c r="D83" s="272"/>
      <c r="E83" s="272"/>
      <c r="F83" s="273"/>
      <c r="G83" s="272"/>
      <c r="H83" s="274"/>
      <c r="I83" s="283"/>
      <c r="J83" s="287">
        <f>J82/3</f>
        <v>4149.9522499999994</v>
      </c>
      <c r="K83" s="75"/>
      <c r="L83" s="71"/>
    </row>
    <row r="84" spans="2:12">
      <c r="B84" s="316"/>
      <c r="C84" s="333"/>
      <c r="D84" s="307"/>
      <c r="E84" s="73"/>
      <c r="F84" s="267"/>
      <c r="G84" s="73"/>
      <c r="H84" s="142"/>
      <c r="I84" s="137"/>
      <c r="J84" s="74"/>
      <c r="K84" s="71"/>
      <c r="L84" s="71"/>
    </row>
    <row r="85" spans="2:12">
      <c r="B85" s="316"/>
      <c r="C85" s="333"/>
      <c r="D85" s="307"/>
      <c r="E85" s="73"/>
      <c r="F85" s="267"/>
      <c r="G85" s="73"/>
      <c r="H85" s="142"/>
      <c r="I85" s="137"/>
      <c r="J85" s="74"/>
      <c r="K85" s="71"/>
      <c r="L85" s="71"/>
    </row>
    <row r="86" spans="2:12">
      <c r="B86" s="316"/>
      <c r="C86" s="333"/>
      <c r="D86" s="307"/>
      <c r="E86" s="73"/>
      <c r="F86" s="267"/>
      <c r="G86" s="73"/>
      <c r="H86" s="142"/>
      <c r="I86" s="137"/>
      <c r="J86" s="74"/>
      <c r="K86" s="71"/>
      <c r="L86" s="71"/>
    </row>
    <row r="87" spans="2:12">
      <c r="B87" s="316"/>
      <c r="C87" s="333"/>
      <c r="D87" s="307"/>
      <c r="E87" s="73"/>
      <c r="F87" s="267"/>
      <c r="G87" s="73"/>
      <c r="H87" s="142"/>
      <c r="I87" s="137"/>
      <c r="J87" s="74"/>
      <c r="K87" s="71"/>
      <c r="L87" s="71"/>
    </row>
    <row r="88" spans="2:12">
      <c r="C88" s="333"/>
      <c r="D88" s="307"/>
      <c r="E88" s="73"/>
      <c r="F88" s="267"/>
      <c r="G88" s="73"/>
      <c r="H88" s="142"/>
      <c r="I88" s="137"/>
      <c r="J88" s="74"/>
    </row>
  </sheetData>
  <mergeCells count="3">
    <mergeCell ref="A10:A24"/>
    <mergeCell ref="A25:A53"/>
    <mergeCell ref="A54:A78"/>
  </mergeCells>
  <printOptions horizontalCentered="1" verticalCentered="1" gridLines="1"/>
  <pageMargins left="0.23622047244094491" right="0.23622047244094491" top="0.39370078740157483" bottom="0.39370078740157483" header="0.31496062992125984" footer="0.31496062992125984"/>
  <pageSetup paperSize="9" scale="81" orientation="landscape" r:id="rId1"/>
  <headerFooter>
    <oddHeader>&amp;C&amp;"-,Gras"&amp;14COMMISSION JEFF DERAPPE 2èmeTRIMESTRE 2017</oddHeader>
    <oddFooter xml:space="preserve">&amp;L&amp;8&amp;Z&amp;F&amp;C&amp;7&amp;P/&amp;N&amp;RModfié le &amp;D </oddFooter>
  </headerFooter>
  <rowBreaks count="2" manualBreakCount="2">
    <brk id="24" max="16383" man="1"/>
    <brk id="53" max="16383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N138"/>
  <sheetViews>
    <sheetView tabSelected="1" topLeftCell="D9" zoomScaleNormal="100" workbookViewId="0">
      <selection activeCell="M12" sqref="M12"/>
    </sheetView>
  </sheetViews>
  <sheetFormatPr defaultColWidth="11.42578125" defaultRowHeight="18.75"/>
  <cols>
    <col min="1" max="1" width="10.7109375" style="86" customWidth="1"/>
    <col min="2" max="2" width="14.140625" style="86" customWidth="1"/>
    <col min="3" max="3" width="28" style="7" customWidth="1"/>
    <col min="4" max="4" width="21.7109375" style="1" customWidth="1"/>
    <col min="5" max="5" width="24.7109375" style="1" customWidth="1"/>
    <col min="6" max="6" width="3.7109375" style="225" customWidth="1"/>
    <col min="7" max="7" width="10.5703125" style="1" customWidth="1"/>
    <col min="8" max="8" width="7.85546875" style="1" customWidth="1"/>
    <col min="9" max="9" width="13.28515625" style="138" customWidth="1"/>
    <col min="10" max="10" width="35.42578125" style="135" customWidth="1"/>
    <col min="11" max="11" width="14.7109375" style="135" customWidth="1"/>
    <col min="12" max="12" width="9.5703125" style="2" customWidth="1"/>
    <col min="13" max="13" width="21.85546875" bestFit="1" customWidth="1"/>
  </cols>
  <sheetData>
    <row r="1" spans="1:14">
      <c r="A1" s="86">
        <v>2017</v>
      </c>
      <c r="C1" s="7" t="s">
        <v>197</v>
      </c>
      <c r="G1" s="11"/>
      <c r="H1" s="11"/>
      <c r="I1" s="134"/>
      <c r="L1" s="10"/>
    </row>
    <row r="2" spans="1:14">
      <c r="G2" s="11"/>
      <c r="H2" s="11"/>
      <c r="I2" s="134"/>
      <c r="J2" s="134"/>
      <c r="K2" s="134"/>
      <c r="L2" s="10"/>
    </row>
    <row r="3" spans="1:14">
      <c r="C3" s="7" t="s">
        <v>76</v>
      </c>
      <c r="D3" s="1" t="s">
        <v>119</v>
      </c>
      <c r="G3" s="11"/>
      <c r="H3" s="11"/>
      <c r="I3" s="134" t="s">
        <v>430</v>
      </c>
      <c r="J3" s="134"/>
      <c r="K3" s="134"/>
      <c r="L3" s="10"/>
    </row>
    <row r="4" spans="1:14">
      <c r="C4" s="7" t="s">
        <v>76</v>
      </c>
      <c r="D4" s="1" t="s">
        <v>172</v>
      </c>
      <c r="G4" s="11"/>
      <c r="H4" s="11"/>
      <c r="I4" s="134"/>
      <c r="J4" s="134"/>
      <c r="K4" s="134"/>
      <c r="L4" s="10"/>
    </row>
    <row r="5" spans="1:14">
      <c r="C5" s="7" t="s">
        <v>76</v>
      </c>
      <c r="D5" s="1" t="s">
        <v>174</v>
      </c>
      <c r="G5" s="11"/>
      <c r="H5" s="11"/>
      <c r="I5" s="134"/>
      <c r="J5" s="134"/>
      <c r="K5" s="134"/>
      <c r="L5" s="10"/>
    </row>
    <row r="6" spans="1:14">
      <c r="G6" s="11"/>
      <c r="H6" s="11"/>
      <c r="I6" s="134"/>
      <c r="J6" s="134"/>
      <c r="K6" s="134"/>
      <c r="L6" s="10"/>
    </row>
    <row r="7" spans="1:14">
      <c r="C7" s="7" t="s">
        <v>234</v>
      </c>
      <c r="G7" s="11"/>
      <c r="H7" s="11"/>
      <c r="I7" s="134"/>
      <c r="J7" s="134"/>
      <c r="K7" s="134"/>
      <c r="L7" s="125"/>
    </row>
    <row r="8" spans="1:14" ht="19.5" thickBot="1"/>
    <row r="9" spans="1:14" ht="30.75" thickBot="1">
      <c r="A9" s="335" t="s">
        <v>426</v>
      </c>
      <c r="B9" s="335" t="s">
        <v>427</v>
      </c>
      <c r="C9" s="376" t="s">
        <v>0</v>
      </c>
      <c r="D9" s="396" t="s">
        <v>454</v>
      </c>
      <c r="E9" s="374" t="s">
        <v>425</v>
      </c>
      <c r="F9" s="377" t="s">
        <v>431</v>
      </c>
      <c r="G9" s="374" t="s">
        <v>59</v>
      </c>
      <c r="H9" s="378" t="s">
        <v>433</v>
      </c>
      <c r="I9" s="379" t="s">
        <v>80</v>
      </c>
      <c r="J9" s="397" t="s">
        <v>455</v>
      </c>
      <c r="K9" s="398" t="s">
        <v>476</v>
      </c>
      <c r="L9" s="380" t="s">
        <v>98</v>
      </c>
      <c r="M9" s="447" t="str">
        <f>D9</f>
        <v>PRODUIT Liste de choix</v>
      </c>
      <c r="N9" s="446" t="s">
        <v>476</v>
      </c>
    </row>
    <row r="10" spans="1:14">
      <c r="A10" s="439" t="s">
        <v>453</v>
      </c>
      <c r="B10" s="382"/>
      <c r="C10" s="383"/>
      <c r="D10" s="384" t="s">
        <v>443</v>
      </c>
      <c r="E10" s="383" t="s">
        <v>434</v>
      </c>
      <c r="F10" s="385"/>
      <c r="G10" s="383"/>
      <c r="H10" s="383"/>
      <c r="I10" s="386">
        <v>2350</v>
      </c>
      <c r="J10" s="387" t="s">
        <v>456</v>
      </c>
      <c r="K10" s="387">
        <f>(800*0.06)+(800*0.07)+(750*0.08)*0.6</f>
        <v>140</v>
      </c>
      <c r="L10" s="388">
        <f>K10</f>
        <v>140</v>
      </c>
    </row>
    <row r="11" spans="1:14">
      <c r="A11" s="440"/>
      <c r="B11" s="382"/>
      <c r="C11" s="383"/>
      <c r="D11" s="384" t="s">
        <v>450</v>
      </c>
      <c r="E11" s="383" t="s">
        <v>434</v>
      </c>
      <c r="F11" s="385"/>
      <c r="G11" s="383"/>
      <c r="H11" s="383"/>
      <c r="I11" s="386">
        <v>1500</v>
      </c>
      <c r="J11" s="387" t="s">
        <v>475</v>
      </c>
      <c r="K11" s="399">
        <f>(800*0.06)+(800*0.07)+(750*0.08)*0.6</f>
        <v>140</v>
      </c>
      <c r="L11" s="388">
        <f t="shared" ref="L11:L29" si="0">K11</f>
        <v>140</v>
      </c>
    </row>
    <row r="12" spans="1:14">
      <c r="A12" s="440"/>
      <c r="B12" s="382"/>
      <c r="C12" s="383"/>
      <c r="D12" s="384" t="s">
        <v>444</v>
      </c>
      <c r="E12" s="383" t="s">
        <v>434</v>
      </c>
      <c r="F12" s="385"/>
      <c r="G12" s="383"/>
      <c r="H12" s="383"/>
      <c r="I12" s="386">
        <v>100</v>
      </c>
      <c r="J12" s="387" t="s">
        <v>457</v>
      </c>
      <c r="K12" s="399">
        <f>I12*0.12</f>
        <v>12</v>
      </c>
      <c r="L12" s="388">
        <f t="shared" si="0"/>
        <v>12</v>
      </c>
      <c r="M12" s="373" t="s">
        <v>445</v>
      </c>
      <c r="N12" s="448">
        <f>INDEX(Référence!B:B,MATCH(M12,Référence!A:A,0))*I12</f>
        <v>15</v>
      </c>
    </row>
    <row r="13" spans="1:14">
      <c r="A13" s="440"/>
      <c r="B13" s="382"/>
      <c r="C13" s="383"/>
      <c r="D13" s="384" t="s">
        <v>445</v>
      </c>
      <c r="E13" s="383" t="s">
        <v>434</v>
      </c>
      <c r="F13" s="385"/>
      <c r="G13" s="383"/>
      <c r="H13" s="383"/>
      <c r="I13" s="386">
        <v>100</v>
      </c>
      <c r="J13" s="387" t="s">
        <v>458</v>
      </c>
      <c r="K13" s="387">
        <f>I13*0.15</f>
        <v>15</v>
      </c>
      <c r="L13" s="388">
        <f t="shared" si="0"/>
        <v>15</v>
      </c>
      <c r="M13" s="373" t="s">
        <v>445</v>
      </c>
      <c r="N13" s="448">
        <f>INDEX(Référence!B:B,MATCH(M13,Référence!A:A,0))*I13</f>
        <v>15</v>
      </c>
    </row>
    <row r="14" spans="1:14">
      <c r="A14" s="440"/>
      <c r="B14" s="382"/>
      <c r="C14" s="383"/>
      <c r="D14" s="384" t="s">
        <v>446</v>
      </c>
      <c r="E14" s="383" t="s">
        <v>434</v>
      </c>
      <c r="F14" s="385"/>
      <c r="G14" s="383"/>
      <c r="H14" s="383"/>
      <c r="I14" s="386">
        <v>100</v>
      </c>
      <c r="J14" s="387" t="s">
        <v>459</v>
      </c>
      <c r="K14" s="387">
        <f t="shared" ref="K14:K19" si="1">I14*0.12</f>
        <v>12</v>
      </c>
      <c r="L14" s="388">
        <f t="shared" si="0"/>
        <v>12</v>
      </c>
      <c r="M14" s="373" t="s">
        <v>446</v>
      </c>
      <c r="N14" s="448">
        <f>INDEX(Référence!B:B,MATCH(M14,Référence!A:A,0))*I14</f>
        <v>12</v>
      </c>
    </row>
    <row r="15" spans="1:14">
      <c r="A15" s="440"/>
      <c r="B15" s="382"/>
      <c r="C15" s="383"/>
      <c r="D15" s="384" t="s">
        <v>447</v>
      </c>
      <c r="E15" s="383" t="s">
        <v>434</v>
      </c>
      <c r="F15" s="385"/>
      <c r="G15" s="383"/>
      <c r="H15" s="383"/>
      <c r="I15" s="386">
        <v>100</v>
      </c>
      <c r="J15" s="387" t="s">
        <v>460</v>
      </c>
      <c r="K15" s="387">
        <f t="shared" si="1"/>
        <v>12</v>
      </c>
      <c r="L15" s="388">
        <f t="shared" si="0"/>
        <v>12</v>
      </c>
      <c r="M15" s="373" t="s">
        <v>447</v>
      </c>
      <c r="N15" s="448">
        <f>INDEX(Référence!B:B,MATCH(M15,Référence!A:A,0))*I15</f>
        <v>12</v>
      </c>
    </row>
    <row r="16" spans="1:14">
      <c r="A16" s="440"/>
      <c r="B16" s="382"/>
      <c r="C16" s="383"/>
      <c r="D16" s="384" t="s">
        <v>191</v>
      </c>
      <c r="E16" s="383" t="s">
        <v>434</v>
      </c>
      <c r="F16" s="385"/>
      <c r="G16" s="383"/>
      <c r="H16" s="383"/>
      <c r="I16" s="386">
        <v>100</v>
      </c>
      <c r="J16" s="387" t="s">
        <v>461</v>
      </c>
      <c r="K16" s="387">
        <f t="shared" si="1"/>
        <v>12</v>
      </c>
      <c r="L16" s="388">
        <f t="shared" si="0"/>
        <v>12</v>
      </c>
    </row>
    <row r="17" spans="1:12">
      <c r="A17" s="440"/>
      <c r="B17" s="382"/>
      <c r="C17" s="383"/>
      <c r="D17" s="384" t="s">
        <v>317</v>
      </c>
      <c r="E17" s="383" t="s">
        <v>434</v>
      </c>
      <c r="F17" s="385"/>
      <c r="G17" s="383"/>
      <c r="H17" s="383"/>
      <c r="I17" s="386">
        <v>100</v>
      </c>
      <c r="J17" s="387" t="s">
        <v>462</v>
      </c>
      <c r="K17" s="399">
        <f t="shared" si="1"/>
        <v>12</v>
      </c>
      <c r="L17" s="388">
        <f t="shared" si="0"/>
        <v>12</v>
      </c>
    </row>
    <row r="18" spans="1:12">
      <c r="A18" s="440"/>
      <c r="B18" s="382"/>
      <c r="C18" s="383"/>
      <c r="D18" s="384" t="s">
        <v>448</v>
      </c>
      <c r="E18" s="383" t="s">
        <v>434</v>
      </c>
      <c r="F18" s="385"/>
      <c r="G18" s="383"/>
      <c r="H18" s="383"/>
      <c r="I18" s="386">
        <v>100</v>
      </c>
      <c r="J18" s="387" t="s">
        <v>463</v>
      </c>
      <c r="K18" s="399">
        <f t="shared" si="1"/>
        <v>12</v>
      </c>
      <c r="L18" s="388">
        <f t="shared" si="0"/>
        <v>12</v>
      </c>
    </row>
    <row r="19" spans="1:12">
      <c r="A19" s="440"/>
      <c r="B19" s="382"/>
      <c r="C19" s="383"/>
      <c r="D19" s="384" t="s">
        <v>428</v>
      </c>
      <c r="E19" s="383" t="s">
        <v>434</v>
      </c>
      <c r="F19" s="385"/>
      <c r="G19" s="383"/>
      <c r="H19" s="383"/>
      <c r="I19" s="386">
        <v>100</v>
      </c>
      <c r="J19" s="387" t="s">
        <v>464</v>
      </c>
      <c r="K19" s="399">
        <f t="shared" si="1"/>
        <v>12</v>
      </c>
      <c r="L19" s="388">
        <f t="shared" si="0"/>
        <v>12</v>
      </c>
    </row>
    <row r="20" spans="1:12">
      <c r="A20" s="440"/>
      <c r="B20" s="382"/>
      <c r="C20" s="383"/>
      <c r="D20" s="384" t="s">
        <v>437</v>
      </c>
      <c r="E20" s="383" t="s">
        <v>434</v>
      </c>
      <c r="F20" s="385"/>
      <c r="G20" s="383">
        <v>2050</v>
      </c>
      <c r="H20" s="383">
        <f>G20-A1</f>
        <v>33</v>
      </c>
      <c r="I20" s="389">
        <v>1000</v>
      </c>
      <c r="J20" s="387" t="s">
        <v>465</v>
      </c>
      <c r="K20" s="387">
        <f>(I20*H20*0.027)*0.6</f>
        <v>534.6</v>
      </c>
      <c r="L20" s="388">
        <f t="shared" si="0"/>
        <v>534.6</v>
      </c>
    </row>
    <row r="21" spans="1:12">
      <c r="A21" s="440"/>
      <c r="B21" s="382"/>
      <c r="C21" s="383"/>
      <c r="D21" s="384" t="s">
        <v>451</v>
      </c>
      <c r="E21" s="383" t="s">
        <v>434</v>
      </c>
      <c r="F21" s="385"/>
      <c r="G21" s="383">
        <v>2050</v>
      </c>
      <c r="H21" s="383">
        <f>G21-A1</f>
        <v>33</v>
      </c>
      <c r="I21" s="389">
        <v>1000</v>
      </c>
      <c r="J21" s="387" t="s">
        <v>466</v>
      </c>
      <c r="K21" s="399">
        <f>(I21*H21*0.018)*0.6</f>
        <v>356.4</v>
      </c>
      <c r="L21" s="388">
        <f t="shared" si="0"/>
        <v>356.4</v>
      </c>
    </row>
    <row r="22" spans="1:12">
      <c r="A22" s="440"/>
      <c r="B22" s="382"/>
      <c r="C22" s="383"/>
      <c r="D22" s="384" t="s">
        <v>436</v>
      </c>
      <c r="E22" s="383" t="s">
        <v>434</v>
      </c>
      <c r="F22" s="385"/>
      <c r="G22" s="383">
        <v>2050</v>
      </c>
      <c r="H22" s="383">
        <f>G22-A1</f>
        <v>33</v>
      </c>
      <c r="I22" s="389">
        <v>1000</v>
      </c>
      <c r="J22" s="387" t="s">
        <v>467</v>
      </c>
      <c r="K22" s="399">
        <f>(I22*H22*0.02)*0.6</f>
        <v>396</v>
      </c>
      <c r="L22" s="388">
        <f t="shared" si="0"/>
        <v>396</v>
      </c>
    </row>
    <row r="23" spans="1:12">
      <c r="A23" s="440"/>
      <c r="B23" s="382"/>
      <c r="C23" s="383"/>
      <c r="D23" s="384" t="s">
        <v>439</v>
      </c>
      <c r="E23" s="383" t="s">
        <v>434</v>
      </c>
      <c r="F23" s="385"/>
      <c r="G23" s="383">
        <v>2050</v>
      </c>
      <c r="H23" s="383">
        <f>G23-A1</f>
        <v>33</v>
      </c>
      <c r="I23" s="389">
        <v>1000</v>
      </c>
      <c r="J23" s="387" t="s">
        <v>468</v>
      </c>
      <c r="K23" s="387">
        <f>(I23*H23*0.02)*0.6</f>
        <v>396</v>
      </c>
      <c r="L23" s="388">
        <f t="shared" si="0"/>
        <v>396</v>
      </c>
    </row>
    <row r="24" spans="1:12">
      <c r="A24" s="440"/>
      <c r="B24" s="382"/>
      <c r="C24" s="383"/>
      <c r="D24" s="384" t="s">
        <v>438</v>
      </c>
      <c r="E24" s="383" t="s">
        <v>434</v>
      </c>
      <c r="F24" s="385"/>
      <c r="G24" s="383">
        <v>2050</v>
      </c>
      <c r="H24" s="383">
        <f>G24-A1</f>
        <v>33</v>
      </c>
      <c r="I24" s="389">
        <v>1000</v>
      </c>
      <c r="J24" s="387" t="s">
        <v>469</v>
      </c>
      <c r="K24" s="387">
        <f>(I24*H24*0.02)*0.6</f>
        <v>396</v>
      </c>
      <c r="L24" s="388">
        <f t="shared" si="0"/>
        <v>396</v>
      </c>
    </row>
    <row r="25" spans="1:12">
      <c r="A25" s="440"/>
      <c r="B25" s="382"/>
      <c r="C25" s="383"/>
      <c r="D25" s="384" t="s">
        <v>440</v>
      </c>
      <c r="E25" s="383" t="s">
        <v>434</v>
      </c>
      <c r="F25" s="385"/>
      <c r="G25" s="383">
        <v>2050</v>
      </c>
      <c r="H25" s="383">
        <f>G25-A1</f>
        <v>33</v>
      </c>
      <c r="I25" s="389">
        <v>1000</v>
      </c>
      <c r="J25" s="387" t="s">
        <v>470</v>
      </c>
      <c r="K25" s="387">
        <f>(I25*H25*0.027)*0.6</f>
        <v>534.6</v>
      </c>
      <c r="L25" s="388">
        <f t="shared" si="0"/>
        <v>534.6</v>
      </c>
    </row>
    <row r="26" spans="1:12">
      <c r="A26" s="440"/>
      <c r="B26" s="382"/>
      <c r="C26" s="383"/>
      <c r="D26" s="384" t="s">
        <v>441</v>
      </c>
      <c r="E26" s="383" t="s">
        <v>434</v>
      </c>
      <c r="F26" s="385"/>
      <c r="G26" s="383">
        <v>2050</v>
      </c>
      <c r="H26" s="383">
        <f>G26-A1</f>
        <v>33</v>
      </c>
      <c r="I26" s="389">
        <v>1000</v>
      </c>
      <c r="J26" s="387" t="s">
        <v>471</v>
      </c>
      <c r="K26" s="387">
        <f>(I26*H26*0.026)*0.6</f>
        <v>514.79999999999995</v>
      </c>
      <c r="L26" s="388">
        <f t="shared" si="0"/>
        <v>514.79999999999995</v>
      </c>
    </row>
    <row r="27" spans="1:12">
      <c r="A27" s="440"/>
      <c r="B27" s="382"/>
      <c r="C27" s="383"/>
      <c r="D27" s="384" t="s">
        <v>442</v>
      </c>
      <c r="E27" s="383" t="s">
        <v>434</v>
      </c>
      <c r="F27" s="385"/>
      <c r="G27" s="383"/>
      <c r="H27" s="383"/>
      <c r="I27" s="389">
        <v>10000</v>
      </c>
      <c r="J27" s="387" t="s">
        <v>472</v>
      </c>
      <c r="K27" s="387">
        <f>I27*0.075*0.6</f>
        <v>450</v>
      </c>
      <c r="L27" s="388">
        <f t="shared" si="0"/>
        <v>450</v>
      </c>
    </row>
    <row r="28" spans="1:12">
      <c r="A28" s="440"/>
      <c r="B28" s="382"/>
      <c r="C28" s="383"/>
      <c r="D28" s="384" t="s">
        <v>379</v>
      </c>
      <c r="E28" s="383" t="s">
        <v>434</v>
      </c>
      <c r="F28" s="385"/>
      <c r="G28" s="383">
        <v>2050</v>
      </c>
      <c r="H28" s="383">
        <f>G28-A1</f>
        <v>33</v>
      </c>
      <c r="I28" s="389">
        <v>1000</v>
      </c>
      <c r="J28" s="387" t="s">
        <v>473</v>
      </c>
      <c r="K28" s="387">
        <f>(I28*H28*0.025)*0.6</f>
        <v>495</v>
      </c>
      <c r="L28" s="388">
        <f t="shared" si="0"/>
        <v>495</v>
      </c>
    </row>
    <row r="29" spans="1:12" ht="19.5" thickBot="1">
      <c r="A29" s="441"/>
      <c r="B29" s="390"/>
      <c r="C29" s="391"/>
      <c r="D29" s="392" t="s">
        <v>452</v>
      </c>
      <c r="E29" s="391" t="s">
        <v>434</v>
      </c>
      <c r="F29" s="393"/>
      <c r="G29" s="391"/>
      <c r="H29" s="391"/>
      <c r="I29" s="394">
        <v>150000</v>
      </c>
      <c r="J29" s="395" t="s">
        <v>474</v>
      </c>
      <c r="K29" s="395">
        <f>(I29*0.007)*0.6</f>
        <v>630</v>
      </c>
      <c r="L29" s="388">
        <f t="shared" si="0"/>
        <v>630</v>
      </c>
    </row>
    <row r="30" spans="1:12" ht="9.75" customHeight="1" thickTop="1" thickBot="1">
      <c r="A30" s="412"/>
      <c r="B30" s="413"/>
      <c r="C30" s="414"/>
      <c r="D30" s="411"/>
      <c r="E30" s="414"/>
      <c r="F30" s="415"/>
      <c r="G30" s="414"/>
      <c r="H30" s="414"/>
      <c r="I30" s="416"/>
      <c r="J30" s="417"/>
      <c r="K30" s="417"/>
      <c r="L30" s="418"/>
    </row>
    <row r="31" spans="1:12" ht="30.75" thickBot="1">
      <c r="A31" s="419" t="s">
        <v>426</v>
      </c>
      <c r="B31" s="420" t="s">
        <v>427</v>
      </c>
      <c r="C31" s="421" t="s">
        <v>0</v>
      </c>
      <c r="D31" s="422"/>
      <c r="E31" s="421" t="s">
        <v>425</v>
      </c>
      <c r="F31" s="423" t="s">
        <v>431</v>
      </c>
      <c r="G31" s="421" t="s">
        <v>59</v>
      </c>
      <c r="H31" s="424" t="s">
        <v>433</v>
      </c>
      <c r="I31" s="425" t="s">
        <v>80</v>
      </c>
      <c r="J31" s="426" t="s">
        <v>455</v>
      </c>
      <c r="K31" s="426" t="s">
        <v>476</v>
      </c>
      <c r="L31" s="427" t="s">
        <v>98</v>
      </c>
    </row>
    <row r="32" spans="1:12">
      <c r="A32" s="88" t="s">
        <v>119</v>
      </c>
      <c r="B32" s="89" t="s">
        <v>435</v>
      </c>
      <c r="C32" s="368" t="s">
        <v>435</v>
      </c>
      <c r="D32" s="122" t="s">
        <v>5</v>
      </c>
      <c r="E32" s="122" t="s">
        <v>434</v>
      </c>
      <c r="F32" s="369"/>
      <c r="G32" s="122"/>
      <c r="H32" s="122"/>
      <c r="I32" s="293">
        <v>204.72</v>
      </c>
      <c r="J32" s="270">
        <f>I32*0.12</f>
        <v>24.566399999999998</v>
      </c>
      <c r="K32" s="270"/>
      <c r="L32" s="381">
        <f>J32</f>
        <v>24.566399999999998</v>
      </c>
    </row>
    <row r="33" spans="1:12" ht="12.75" customHeight="1">
      <c r="A33" s="88"/>
      <c r="B33" s="89" t="s">
        <v>435</v>
      </c>
      <c r="C33" s="368" t="s">
        <v>435</v>
      </c>
      <c r="D33" s="22" t="s">
        <v>314</v>
      </c>
      <c r="E33" s="122" t="s">
        <v>434</v>
      </c>
      <c r="F33" s="259"/>
      <c r="G33" s="22"/>
      <c r="H33" s="22"/>
      <c r="I33" s="148">
        <v>1884.52</v>
      </c>
      <c r="J33" s="151">
        <f>(800*0.06)+(800*0.07)+(284*0.08)</f>
        <v>126.72</v>
      </c>
      <c r="K33" s="151"/>
      <c r="L33" s="150">
        <f t="shared" ref="L33:L54" si="2">J33</f>
        <v>126.72</v>
      </c>
    </row>
    <row r="34" spans="1:12" ht="12.75" customHeight="1">
      <c r="A34" s="88"/>
      <c r="B34" s="89" t="s">
        <v>435</v>
      </c>
      <c r="C34" s="368" t="s">
        <v>435</v>
      </c>
      <c r="D34" s="22" t="s">
        <v>428</v>
      </c>
      <c r="E34" s="122" t="s">
        <v>434</v>
      </c>
      <c r="F34" s="259"/>
      <c r="G34" s="22"/>
      <c r="H34" s="22"/>
      <c r="I34" s="148">
        <v>27.49</v>
      </c>
      <c r="J34" s="149">
        <f>I34*0.12</f>
        <v>3.2987999999999995</v>
      </c>
      <c r="K34" s="149"/>
      <c r="L34" s="150">
        <f t="shared" si="2"/>
        <v>3.2987999999999995</v>
      </c>
    </row>
    <row r="35" spans="1:12" ht="12.75" customHeight="1">
      <c r="A35" s="88"/>
      <c r="B35" s="89" t="s">
        <v>435</v>
      </c>
      <c r="C35" s="368" t="s">
        <v>435</v>
      </c>
      <c r="D35" s="22" t="s">
        <v>5</v>
      </c>
      <c r="E35" s="122" t="s">
        <v>434</v>
      </c>
      <c r="F35" s="259"/>
      <c r="G35" s="22"/>
      <c r="H35" s="22"/>
      <c r="I35" s="148">
        <v>247.54</v>
      </c>
      <c r="J35" s="149">
        <f>I35*0.12</f>
        <v>29.704799999999999</v>
      </c>
      <c r="K35" s="149"/>
      <c r="L35" s="150">
        <f t="shared" si="2"/>
        <v>29.704799999999999</v>
      </c>
    </row>
    <row r="36" spans="1:12" ht="12.75" customHeight="1">
      <c r="A36" s="88"/>
      <c r="B36" s="89" t="s">
        <v>435</v>
      </c>
      <c r="C36" s="368" t="s">
        <v>435</v>
      </c>
      <c r="D36" s="22" t="s">
        <v>314</v>
      </c>
      <c r="E36" s="122" t="s">
        <v>434</v>
      </c>
      <c r="F36" s="259"/>
      <c r="G36" s="22"/>
      <c r="H36" s="22"/>
      <c r="I36" s="148">
        <v>1920.78</v>
      </c>
      <c r="J36" s="151">
        <f>(800*0.06)+(800*0.07)+(320.78*0.08)</f>
        <v>129.66239999999999</v>
      </c>
      <c r="K36" s="151"/>
      <c r="L36" s="150">
        <f t="shared" si="2"/>
        <v>129.66239999999999</v>
      </c>
    </row>
    <row r="37" spans="1:12" ht="12.75" customHeight="1">
      <c r="A37" s="88"/>
      <c r="B37" s="89" t="s">
        <v>435</v>
      </c>
      <c r="C37" s="368" t="s">
        <v>435</v>
      </c>
      <c r="D37" s="22" t="s">
        <v>5</v>
      </c>
      <c r="E37" s="122" t="s">
        <v>434</v>
      </c>
      <c r="F37" s="259"/>
      <c r="G37" s="22"/>
      <c r="H37" s="22"/>
      <c r="I37" s="148">
        <v>298.55</v>
      </c>
      <c r="J37" s="149">
        <f>I37*0.12</f>
        <v>35.826000000000001</v>
      </c>
      <c r="K37" s="149"/>
      <c r="L37" s="150">
        <f t="shared" si="2"/>
        <v>35.826000000000001</v>
      </c>
    </row>
    <row r="38" spans="1:12" ht="12.75" customHeight="1">
      <c r="A38" s="88"/>
      <c r="B38" s="89" t="s">
        <v>435</v>
      </c>
      <c r="C38" s="368" t="s">
        <v>435</v>
      </c>
      <c r="D38" s="22" t="s">
        <v>317</v>
      </c>
      <c r="E38" s="122" t="s">
        <v>434</v>
      </c>
      <c r="F38" s="259"/>
      <c r="G38" s="22"/>
      <c r="H38" s="22"/>
      <c r="I38" s="148">
        <v>760.2</v>
      </c>
      <c r="J38" s="149">
        <f>(I38/12*3.5)*0.6</f>
        <v>133.035</v>
      </c>
      <c r="K38" s="149"/>
      <c r="L38" s="150">
        <f t="shared" si="2"/>
        <v>133.035</v>
      </c>
    </row>
    <row r="39" spans="1:12" ht="12.75" customHeight="1">
      <c r="A39" s="88"/>
      <c r="B39" s="89" t="s">
        <v>435</v>
      </c>
      <c r="C39" s="368" t="s">
        <v>435</v>
      </c>
      <c r="D39" s="22" t="s">
        <v>5</v>
      </c>
      <c r="E39" s="122" t="s">
        <v>434</v>
      </c>
      <c r="F39" s="259"/>
      <c r="G39" s="22"/>
      <c r="H39" s="22"/>
      <c r="I39" s="148">
        <v>229.08</v>
      </c>
      <c r="J39" s="149">
        <f>I39*0.12</f>
        <v>27.489599999999999</v>
      </c>
      <c r="K39" s="149"/>
      <c r="L39" s="150">
        <f t="shared" si="2"/>
        <v>27.489599999999999</v>
      </c>
    </row>
    <row r="40" spans="1:12" ht="12.75" customHeight="1">
      <c r="A40" s="88"/>
      <c r="B40" s="89" t="s">
        <v>435</v>
      </c>
      <c r="C40" s="368" t="s">
        <v>435</v>
      </c>
      <c r="D40" s="22" t="s">
        <v>429</v>
      </c>
      <c r="E40" s="122" t="s">
        <v>434</v>
      </c>
      <c r="F40" s="259"/>
      <c r="G40" s="22"/>
      <c r="H40" s="22"/>
      <c r="I40" s="148"/>
      <c r="J40" s="149"/>
      <c r="K40" s="149"/>
      <c r="L40" s="150">
        <f t="shared" si="2"/>
        <v>0</v>
      </c>
    </row>
    <row r="41" spans="1:12" ht="12.75" customHeight="1">
      <c r="A41" s="88"/>
      <c r="B41" s="89" t="s">
        <v>435</v>
      </c>
      <c r="C41" s="368" t="s">
        <v>435</v>
      </c>
      <c r="D41" s="22" t="s">
        <v>317</v>
      </c>
      <c r="E41" s="122" t="s">
        <v>434</v>
      </c>
      <c r="F41" s="259"/>
      <c r="G41" s="22"/>
      <c r="H41" s="22"/>
      <c r="I41" s="148">
        <v>145.08000000000001</v>
      </c>
      <c r="J41" s="149">
        <f>(I41/12*3.5)*0.6</f>
        <v>25.389000000000003</v>
      </c>
      <c r="K41" s="149"/>
      <c r="L41" s="150">
        <f t="shared" si="2"/>
        <v>25.389000000000003</v>
      </c>
    </row>
    <row r="42" spans="1:12" ht="12.75" customHeight="1">
      <c r="A42" s="88"/>
      <c r="B42" s="89" t="s">
        <v>435</v>
      </c>
      <c r="C42" s="368" t="s">
        <v>435</v>
      </c>
      <c r="D42" s="1" t="s">
        <v>310</v>
      </c>
      <c r="E42" s="122" t="s">
        <v>434</v>
      </c>
      <c r="F42" s="339"/>
      <c r="G42" s="22">
        <v>2041</v>
      </c>
      <c r="H42" s="22"/>
      <c r="I42" s="148">
        <v>1700</v>
      </c>
      <c r="J42" s="164">
        <f>(I42*19*0.02)*0.6</f>
        <v>387.59999999999997</v>
      </c>
      <c r="K42" s="164"/>
      <c r="L42" s="150">
        <f t="shared" si="2"/>
        <v>387.59999999999997</v>
      </c>
    </row>
    <row r="43" spans="1:12" ht="12.75" customHeight="1">
      <c r="A43" s="88"/>
      <c r="B43" s="89" t="s">
        <v>435</v>
      </c>
      <c r="C43" s="368" t="s">
        <v>435</v>
      </c>
      <c r="D43" s="1" t="s">
        <v>310</v>
      </c>
      <c r="E43" s="122" t="s">
        <v>434</v>
      </c>
      <c r="F43" s="259"/>
      <c r="G43" s="22">
        <v>2036</v>
      </c>
      <c r="H43" s="22"/>
      <c r="I43" s="148">
        <v>1100</v>
      </c>
      <c r="J43" s="164">
        <f>(I43*24*0.02)*0.6</f>
        <v>316.8</v>
      </c>
      <c r="K43" s="164"/>
      <c r="L43" s="150">
        <f t="shared" si="2"/>
        <v>316.8</v>
      </c>
    </row>
    <row r="44" spans="1:12" ht="12.75" customHeight="1">
      <c r="A44" s="88"/>
      <c r="B44" s="89" t="s">
        <v>435</v>
      </c>
      <c r="C44" s="368" t="s">
        <v>435</v>
      </c>
      <c r="D44" s="22" t="s">
        <v>75</v>
      </c>
      <c r="E44" s="122" t="s">
        <v>434</v>
      </c>
      <c r="F44" s="259"/>
      <c r="G44" s="22"/>
      <c r="H44" s="22"/>
      <c r="I44" s="148">
        <v>834</v>
      </c>
      <c r="J44" s="144">
        <f>((I44*0.075)*0.6)*0.5</f>
        <v>18.764999999999997</v>
      </c>
      <c r="K44" s="144"/>
      <c r="L44" s="150">
        <f t="shared" si="2"/>
        <v>18.764999999999997</v>
      </c>
    </row>
    <row r="45" spans="1:12" ht="12.75" customHeight="1">
      <c r="A45" s="88"/>
      <c r="B45" s="89" t="s">
        <v>435</v>
      </c>
      <c r="C45" s="368" t="s">
        <v>435</v>
      </c>
      <c r="D45" s="22" t="s">
        <v>266</v>
      </c>
      <c r="E45" s="122" t="s">
        <v>434</v>
      </c>
      <c r="F45" s="259"/>
      <c r="G45" s="22"/>
      <c r="H45" s="22"/>
      <c r="I45" s="148">
        <v>766.65</v>
      </c>
      <c r="J45" s="149">
        <f>(I45/12*3.5)*0.6</f>
        <v>134.16374999999999</v>
      </c>
      <c r="K45" s="149"/>
      <c r="L45" s="150">
        <f t="shared" si="2"/>
        <v>134.16374999999999</v>
      </c>
    </row>
    <row r="46" spans="1:12" ht="12.75" customHeight="1">
      <c r="A46" s="88"/>
      <c r="B46" s="89" t="s">
        <v>435</v>
      </c>
      <c r="C46" s="368" t="s">
        <v>435</v>
      </c>
      <c r="D46" s="22" t="s">
        <v>317</v>
      </c>
      <c r="E46" s="122" t="s">
        <v>434</v>
      </c>
      <c r="F46" s="259"/>
      <c r="G46" s="22"/>
      <c r="H46" s="22"/>
      <c r="I46" s="148">
        <v>1056.3599999999999</v>
      </c>
      <c r="J46" s="149">
        <f>(I46/12*3.5)*0.6</f>
        <v>184.86299999999997</v>
      </c>
      <c r="K46" s="149"/>
      <c r="L46" s="150">
        <f t="shared" si="2"/>
        <v>184.86299999999997</v>
      </c>
    </row>
    <row r="47" spans="1:12" ht="12.75" customHeight="1">
      <c r="A47" s="88"/>
      <c r="B47" s="89" t="s">
        <v>435</v>
      </c>
      <c r="C47" s="368" t="s">
        <v>435</v>
      </c>
      <c r="D47" s="22" t="s">
        <v>5</v>
      </c>
      <c r="E47" s="122" t="s">
        <v>434</v>
      </c>
      <c r="F47" s="259"/>
      <c r="G47" s="22"/>
      <c r="H47" s="22"/>
      <c r="I47" s="148">
        <v>171.79</v>
      </c>
      <c r="J47" s="149">
        <f>I47*0.12</f>
        <v>20.614799999999999</v>
      </c>
      <c r="K47" s="149"/>
      <c r="L47" s="150">
        <f t="shared" si="2"/>
        <v>20.614799999999999</v>
      </c>
    </row>
    <row r="48" spans="1:12" ht="12.75" customHeight="1">
      <c r="A48" s="88"/>
      <c r="B48" s="89" t="s">
        <v>435</v>
      </c>
      <c r="C48" s="368" t="s">
        <v>435</v>
      </c>
      <c r="D48" s="22" t="s">
        <v>65</v>
      </c>
      <c r="E48" s="122" t="s">
        <v>434</v>
      </c>
      <c r="F48" s="259"/>
      <c r="G48" s="22"/>
      <c r="H48" s="22"/>
      <c r="I48" s="148">
        <v>112.72</v>
      </c>
      <c r="J48" s="149">
        <f>I48*0.15</f>
        <v>16.907999999999998</v>
      </c>
      <c r="K48" s="149"/>
      <c r="L48" s="150">
        <f t="shared" si="2"/>
        <v>16.907999999999998</v>
      </c>
    </row>
    <row r="49" spans="1:12" ht="12.75" customHeight="1">
      <c r="A49" s="88"/>
      <c r="B49" s="89" t="s">
        <v>435</v>
      </c>
      <c r="C49" s="368" t="s">
        <v>435</v>
      </c>
      <c r="D49" s="22" t="s">
        <v>314</v>
      </c>
      <c r="E49" s="122" t="s">
        <v>434</v>
      </c>
      <c r="F49" s="259"/>
      <c r="G49" s="22"/>
      <c r="H49" s="22"/>
      <c r="I49" s="148">
        <v>1036.6099999999999</v>
      </c>
      <c r="J49" s="151">
        <f>(800*0.06)+(263.61*0.07)</f>
        <v>66.452700000000007</v>
      </c>
      <c r="K49" s="151"/>
      <c r="L49" s="150">
        <f t="shared" si="2"/>
        <v>66.452700000000007</v>
      </c>
    </row>
    <row r="50" spans="1:12" ht="12.75" customHeight="1">
      <c r="A50" s="88"/>
      <c r="B50" s="89" t="s">
        <v>435</v>
      </c>
      <c r="C50" s="368" t="s">
        <v>435</v>
      </c>
      <c r="D50" s="22" t="s">
        <v>226</v>
      </c>
      <c r="E50" s="122" t="s">
        <v>434</v>
      </c>
      <c r="F50" s="259" t="s">
        <v>393</v>
      </c>
      <c r="G50" s="22"/>
      <c r="H50" s="22"/>
      <c r="I50" s="148"/>
      <c r="J50" s="149">
        <f>I50*0.12*0.5</f>
        <v>0</v>
      </c>
      <c r="K50" s="149"/>
      <c r="L50" s="150">
        <f t="shared" si="2"/>
        <v>0</v>
      </c>
    </row>
    <row r="51" spans="1:12" ht="12.75" customHeight="1">
      <c r="A51" s="88"/>
      <c r="B51" s="88"/>
      <c r="C51" s="79"/>
      <c r="D51" s="22"/>
      <c r="E51" s="22"/>
      <c r="F51" s="259"/>
      <c r="G51" s="22"/>
      <c r="H51" s="22"/>
      <c r="I51" s="148"/>
      <c r="J51" s="149"/>
      <c r="K51" s="149"/>
      <c r="L51" s="150">
        <f t="shared" si="2"/>
        <v>0</v>
      </c>
    </row>
    <row r="52" spans="1:12" ht="12.75" customHeight="1">
      <c r="A52" s="88"/>
      <c r="B52" s="88"/>
      <c r="C52" s="79"/>
      <c r="D52" s="22"/>
      <c r="E52" s="22"/>
      <c r="F52" s="259"/>
      <c r="G52" s="22"/>
      <c r="H52" s="22"/>
      <c r="I52" s="148"/>
      <c r="J52" s="149"/>
      <c r="K52" s="149"/>
      <c r="L52" s="150">
        <f t="shared" si="2"/>
        <v>0</v>
      </c>
    </row>
    <row r="53" spans="1:12" ht="12.75" customHeight="1">
      <c r="A53" s="88"/>
      <c r="B53" s="88"/>
      <c r="C53" s="79"/>
      <c r="D53" s="22"/>
      <c r="E53" s="22"/>
      <c r="F53" s="259"/>
      <c r="G53" s="22"/>
      <c r="H53" s="22"/>
      <c r="I53" s="148"/>
      <c r="J53" s="149"/>
      <c r="K53" s="149"/>
      <c r="L53" s="150">
        <f t="shared" si="2"/>
        <v>0</v>
      </c>
    </row>
    <row r="54" spans="1:12" ht="12.75" customHeight="1">
      <c r="A54" s="88"/>
      <c r="B54" s="88"/>
      <c r="C54" s="79"/>
      <c r="D54" s="22"/>
      <c r="E54" s="22"/>
      <c r="F54" s="259"/>
      <c r="G54" s="22"/>
      <c r="H54" s="22"/>
      <c r="I54" s="148"/>
      <c r="J54" s="149"/>
      <c r="K54" s="149"/>
      <c r="L54" s="150">
        <f t="shared" si="2"/>
        <v>0</v>
      </c>
    </row>
    <row r="55" spans="1:12" s="70" customFormat="1" ht="12.75" customHeight="1" thickBot="1">
      <c r="A55" s="89"/>
      <c r="B55" s="89"/>
      <c r="C55" s="80"/>
      <c r="D55" s="22"/>
      <c r="E55" s="22"/>
      <c r="F55" s="259"/>
      <c r="G55" s="22"/>
      <c r="H55" s="22"/>
      <c r="I55" s="148"/>
      <c r="J55" s="151"/>
      <c r="K55" s="400"/>
      <c r="L55" s="158"/>
    </row>
    <row r="56" spans="1:12" s="6" customFormat="1" ht="19.5" thickBot="1">
      <c r="A56" s="88"/>
      <c r="B56" s="88"/>
      <c r="C56" s="153" t="s">
        <v>308</v>
      </c>
      <c r="D56" s="45"/>
      <c r="E56" s="155"/>
      <c r="F56" s="340"/>
      <c r="G56" s="155"/>
      <c r="H56" s="155"/>
      <c r="I56" s="156"/>
      <c r="J56" s="157"/>
      <c r="K56" s="401"/>
      <c r="L56" s="159">
        <f>SUM(L32:L55)</f>
        <v>1681.85925</v>
      </c>
    </row>
    <row r="57" spans="1:12">
      <c r="A57" s="96" t="s">
        <v>172</v>
      </c>
      <c r="B57" s="96"/>
      <c r="C57" s="78"/>
      <c r="D57" s="16"/>
      <c r="E57" s="16"/>
      <c r="F57" s="338"/>
      <c r="G57" s="16"/>
      <c r="H57" s="16"/>
      <c r="I57" s="160"/>
      <c r="J57" s="161"/>
      <c r="K57" s="402"/>
      <c r="L57" s="19">
        <f>J57</f>
        <v>0</v>
      </c>
    </row>
    <row r="58" spans="1:12">
      <c r="A58" s="88"/>
      <c r="B58" s="88"/>
      <c r="C58" s="79"/>
      <c r="D58" s="22"/>
      <c r="E58" s="22"/>
      <c r="F58" s="259"/>
      <c r="G58" s="22"/>
      <c r="H58" s="22"/>
      <c r="I58" s="148"/>
      <c r="J58" s="149"/>
      <c r="K58" s="403"/>
      <c r="L58" s="24"/>
    </row>
    <row r="59" spans="1:12">
      <c r="A59" s="88"/>
      <c r="B59" s="88"/>
      <c r="C59" s="79"/>
      <c r="D59" s="22"/>
      <c r="E59" s="22"/>
      <c r="F59" s="259"/>
      <c r="G59" s="22"/>
      <c r="H59" s="22"/>
      <c r="I59" s="148"/>
      <c r="J59" s="149"/>
      <c r="K59" s="403"/>
      <c r="L59" s="24">
        <f t="shared" ref="L59:L85" si="3">J59</f>
        <v>0</v>
      </c>
    </row>
    <row r="60" spans="1:12">
      <c r="A60" s="92"/>
      <c r="B60" s="92"/>
      <c r="C60" s="79"/>
      <c r="D60" s="22"/>
      <c r="E60" s="22"/>
      <c r="F60" s="259"/>
      <c r="G60" s="22"/>
      <c r="H60" s="22"/>
      <c r="I60" s="148"/>
      <c r="J60" s="149"/>
      <c r="K60" s="403"/>
      <c r="L60" s="24">
        <f t="shared" si="3"/>
        <v>0</v>
      </c>
    </row>
    <row r="61" spans="1:12">
      <c r="C61" s="79"/>
      <c r="D61" s="22"/>
      <c r="E61" s="22"/>
      <c r="F61" s="259"/>
      <c r="G61" s="22"/>
      <c r="H61" s="22"/>
      <c r="I61" s="162"/>
      <c r="J61" s="149"/>
      <c r="K61" s="403"/>
      <c r="L61" s="24">
        <f t="shared" si="3"/>
        <v>0</v>
      </c>
    </row>
    <row r="62" spans="1:12" s="4" customFormat="1">
      <c r="A62" s="92"/>
      <c r="B62" s="92"/>
      <c r="C62" s="79"/>
      <c r="D62" s="22"/>
      <c r="E62" s="22"/>
      <c r="F62" s="259"/>
      <c r="G62" s="22"/>
      <c r="H62" s="22"/>
      <c r="I62" s="148"/>
      <c r="J62" s="149"/>
      <c r="K62" s="403"/>
      <c r="L62" s="24">
        <f t="shared" si="3"/>
        <v>0</v>
      </c>
    </row>
    <row r="63" spans="1:12" s="4" customFormat="1">
      <c r="A63" s="88"/>
      <c r="B63" s="88"/>
      <c r="C63" s="79"/>
      <c r="D63" s="22"/>
      <c r="E63" s="25"/>
      <c r="F63" s="259"/>
      <c r="G63" s="25"/>
      <c r="H63" s="25"/>
      <c r="I63" s="163"/>
      <c r="J63" s="164"/>
      <c r="K63" s="404"/>
      <c r="L63" s="41">
        <f t="shared" si="3"/>
        <v>0</v>
      </c>
    </row>
    <row r="64" spans="1:12" s="4" customFormat="1">
      <c r="A64" s="88"/>
      <c r="B64" s="88"/>
      <c r="C64" s="79"/>
      <c r="D64" s="22"/>
      <c r="E64" s="25"/>
      <c r="F64" s="259"/>
      <c r="G64" s="25"/>
      <c r="H64" s="25"/>
      <c r="I64" s="163"/>
      <c r="J64" s="164"/>
      <c r="K64" s="404"/>
      <c r="L64" s="41">
        <f t="shared" si="3"/>
        <v>0</v>
      </c>
    </row>
    <row r="65" spans="1:12" s="4" customFormat="1">
      <c r="A65" s="88"/>
      <c r="B65" s="88"/>
      <c r="C65" s="79"/>
      <c r="D65" s="22"/>
      <c r="E65" s="25"/>
      <c r="F65" s="259"/>
      <c r="G65" s="25"/>
      <c r="H65" s="25"/>
      <c r="I65" s="163"/>
      <c r="J65" s="164"/>
      <c r="K65" s="404"/>
      <c r="L65" s="41">
        <f t="shared" si="3"/>
        <v>0</v>
      </c>
    </row>
    <row r="66" spans="1:12" s="4" customFormat="1" ht="19.5" thickBot="1">
      <c r="A66" s="88"/>
      <c r="B66" s="88"/>
      <c r="C66" s="79"/>
      <c r="D66" s="22"/>
      <c r="E66" s="25"/>
      <c r="F66" s="259"/>
      <c r="G66" s="25"/>
      <c r="H66" s="25"/>
      <c r="I66" s="148"/>
      <c r="J66" s="151"/>
      <c r="K66" s="271"/>
      <c r="L66" s="24">
        <f t="shared" si="3"/>
        <v>0</v>
      </c>
    </row>
    <row r="67" spans="1:12" s="4" customFormat="1">
      <c r="A67" s="96"/>
      <c r="B67" s="88"/>
      <c r="C67" s="79"/>
      <c r="D67" s="22"/>
      <c r="E67" s="22"/>
      <c r="F67" s="259"/>
      <c r="G67" s="22"/>
      <c r="H67" s="22"/>
      <c r="I67" s="148"/>
      <c r="J67" s="149"/>
      <c r="K67" s="403"/>
      <c r="L67" s="24">
        <f t="shared" si="3"/>
        <v>0</v>
      </c>
    </row>
    <row r="68" spans="1:12" s="4" customFormat="1">
      <c r="A68" s="88"/>
      <c r="B68" s="88"/>
      <c r="C68" s="79"/>
      <c r="D68" s="22"/>
      <c r="E68" s="25"/>
      <c r="F68" s="259"/>
      <c r="G68" s="25"/>
      <c r="H68" s="25"/>
      <c r="I68" s="148"/>
      <c r="J68" s="151"/>
      <c r="K68" s="271"/>
      <c r="L68" s="24">
        <f t="shared" si="3"/>
        <v>0</v>
      </c>
    </row>
    <row r="69" spans="1:12" s="4" customFormat="1">
      <c r="A69" s="88"/>
      <c r="B69" s="88"/>
      <c r="C69" s="79"/>
      <c r="D69" s="22"/>
      <c r="E69" s="25"/>
      <c r="F69" s="259"/>
      <c r="G69" s="25"/>
      <c r="H69" s="25"/>
      <c r="I69" s="148"/>
      <c r="J69" s="151"/>
      <c r="K69" s="271"/>
      <c r="L69" s="24">
        <f t="shared" si="3"/>
        <v>0</v>
      </c>
    </row>
    <row r="70" spans="1:12" s="4" customFormat="1">
      <c r="A70" s="88"/>
      <c r="B70" s="88"/>
      <c r="C70" s="79"/>
      <c r="D70" s="22"/>
      <c r="E70" s="25"/>
      <c r="F70" s="259"/>
      <c r="G70" s="25"/>
      <c r="H70" s="25"/>
      <c r="I70" s="148"/>
      <c r="J70" s="151"/>
      <c r="K70" s="271"/>
      <c r="L70" s="24">
        <f t="shared" si="3"/>
        <v>0</v>
      </c>
    </row>
    <row r="71" spans="1:12" s="4" customFormat="1">
      <c r="A71" s="88"/>
      <c r="B71" s="88"/>
      <c r="C71" s="79"/>
      <c r="D71" s="22"/>
      <c r="E71" s="25"/>
      <c r="F71" s="259"/>
      <c r="G71" s="25"/>
      <c r="H71" s="25"/>
      <c r="I71" s="148"/>
      <c r="J71" s="151"/>
      <c r="K71" s="271"/>
      <c r="L71" s="24">
        <f t="shared" si="3"/>
        <v>0</v>
      </c>
    </row>
    <row r="72" spans="1:12" s="4" customFormat="1">
      <c r="A72" s="88"/>
      <c r="B72" s="88"/>
      <c r="C72" s="79"/>
      <c r="D72" s="22"/>
      <c r="E72" s="25"/>
      <c r="F72" s="259"/>
      <c r="G72" s="25"/>
      <c r="H72" s="25"/>
      <c r="I72" s="148"/>
      <c r="J72" s="151"/>
      <c r="K72" s="271"/>
      <c r="L72" s="24">
        <f t="shared" si="3"/>
        <v>0</v>
      </c>
    </row>
    <row r="73" spans="1:12" s="4" customFormat="1">
      <c r="A73" s="88"/>
      <c r="B73" s="88"/>
      <c r="C73" s="79"/>
      <c r="D73" s="22"/>
      <c r="E73" s="25"/>
      <c r="F73" s="259"/>
      <c r="G73" s="25"/>
      <c r="H73" s="25"/>
      <c r="I73" s="148"/>
      <c r="J73" s="151"/>
      <c r="K73" s="271"/>
      <c r="L73" s="24">
        <f t="shared" si="3"/>
        <v>0</v>
      </c>
    </row>
    <row r="74" spans="1:12" s="4" customFormat="1">
      <c r="A74" s="88"/>
      <c r="B74" s="88"/>
      <c r="C74" s="79"/>
      <c r="D74" s="22"/>
      <c r="E74" s="25"/>
      <c r="F74" s="259"/>
      <c r="G74" s="25"/>
      <c r="H74" s="25"/>
      <c r="I74" s="148"/>
      <c r="J74" s="151"/>
      <c r="K74" s="271"/>
      <c r="L74" s="24">
        <f t="shared" si="3"/>
        <v>0</v>
      </c>
    </row>
    <row r="75" spans="1:12" s="4" customFormat="1">
      <c r="A75" s="88"/>
      <c r="B75" s="88"/>
      <c r="C75" s="79"/>
      <c r="D75" s="22"/>
      <c r="E75" s="25"/>
      <c r="F75" s="259"/>
      <c r="G75" s="25"/>
      <c r="H75" s="25"/>
      <c r="I75" s="148"/>
      <c r="J75" s="151"/>
      <c r="K75" s="271"/>
      <c r="L75" s="24">
        <f t="shared" si="3"/>
        <v>0</v>
      </c>
    </row>
    <row r="76" spans="1:12" s="4" customFormat="1">
      <c r="A76" s="88"/>
      <c r="B76" s="88"/>
      <c r="C76" s="79"/>
      <c r="D76" s="22"/>
      <c r="E76" s="25"/>
      <c r="F76" s="259"/>
      <c r="G76" s="25"/>
      <c r="H76" s="25"/>
      <c r="I76" s="148"/>
      <c r="J76" s="151"/>
      <c r="K76" s="271"/>
      <c r="L76" s="24">
        <f t="shared" si="3"/>
        <v>0</v>
      </c>
    </row>
    <row r="77" spans="1:12" s="4" customFormat="1">
      <c r="A77" s="88"/>
      <c r="B77" s="88"/>
      <c r="C77" s="79"/>
      <c r="D77" s="22"/>
      <c r="E77" s="25"/>
      <c r="F77" s="259"/>
      <c r="G77" s="25"/>
      <c r="H77" s="25"/>
      <c r="I77" s="148"/>
      <c r="J77" s="151"/>
      <c r="K77" s="271"/>
      <c r="L77" s="24">
        <f t="shared" si="3"/>
        <v>0</v>
      </c>
    </row>
    <row r="78" spans="1:12" s="4" customFormat="1">
      <c r="A78" s="88"/>
      <c r="B78" s="88"/>
      <c r="C78" s="79"/>
      <c r="D78" s="22"/>
      <c r="E78" s="25"/>
      <c r="F78" s="259"/>
      <c r="G78" s="25"/>
      <c r="H78" s="25"/>
      <c r="I78" s="148"/>
      <c r="J78" s="151"/>
      <c r="K78" s="271"/>
      <c r="L78" s="24">
        <f t="shared" si="3"/>
        <v>0</v>
      </c>
    </row>
    <row r="79" spans="1:12" s="4" customFormat="1">
      <c r="A79" s="88"/>
      <c r="B79" s="88"/>
      <c r="C79" s="79"/>
      <c r="D79" s="22"/>
      <c r="E79" s="25"/>
      <c r="F79" s="259"/>
      <c r="G79" s="25"/>
      <c r="H79" s="25"/>
      <c r="I79" s="148"/>
      <c r="J79" s="151"/>
      <c r="K79" s="271"/>
      <c r="L79" s="24">
        <f t="shared" si="3"/>
        <v>0</v>
      </c>
    </row>
    <row r="80" spans="1:12" s="4" customFormat="1">
      <c r="A80" s="88"/>
      <c r="B80" s="88"/>
      <c r="C80" s="79"/>
      <c r="D80" s="22"/>
      <c r="E80" s="25"/>
      <c r="F80" s="259"/>
      <c r="G80" s="25"/>
      <c r="H80" s="25"/>
      <c r="I80" s="148"/>
      <c r="J80" s="151"/>
      <c r="K80" s="271"/>
      <c r="L80" s="24">
        <f t="shared" si="3"/>
        <v>0</v>
      </c>
    </row>
    <row r="81" spans="1:12" s="4" customFormat="1">
      <c r="A81" s="88"/>
      <c r="B81" s="88"/>
      <c r="C81" s="79"/>
      <c r="D81" s="22"/>
      <c r="E81" s="25"/>
      <c r="F81" s="259"/>
      <c r="G81" s="25"/>
      <c r="H81" s="25"/>
      <c r="I81" s="148"/>
      <c r="J81" s="151"/>
      <c r="K81" s="271"/>
      <c r="L81" s="24">
        <f t="shared" si="3"/>
        <v>0</v>
      </c>
    </row>
    <row r="82" spans="1:12" s="4" customFormat="1">
      <c r="A82" s="88"/>
      <c r="B82" s="88"/>
      <c r="C82" s="79"/>
      <c r="D82" s="22"/>
      <c r="E82" s="25"/>
      <c r="F82" s="259"/>
      <c r="G82" s="33"/>
      <c r="H82" s="33"/>
      <c r="I82" s="25"/>
      <c r="J82" s="151"/>
      <c r="K82" s="271"/>
      <c r="L82" s="24">
        <f t="shared" si="3"/>
        <v>0</v>
      </c>
    </row>
    <row r="83" spans="1:12" s="4" customFormat="1">
      <c r="A83" s="88"/>
      <c r="B83" s="88"/>
      <c r="C83" s="79"/>
      <c r="D83" s="22"/>
      <c r="E83" s="25"/>
      <c r="F83" s="259"/>
      <c r="G83" s="25"/>
      <c r="H83" s="25"/>
      <c r="I83" s="148"/>
      <c r="J83" s="151"/>
      <c r="K83" s="271"/>
      <c r="L83" s="24">
        <f t="shared" si="3"/>
        <v>0</v>
      </c>
    </row>
    <row r="84" spans="1:12" s="4" customFormat="1">
      <c r="A84" s="88"/>
      <c r="B84" s="88"/>
      <c r="C84" s="79"/>
      <c r="D84" s="22"/>
      <c r="E84" s="25"/>
      <c r="F84" s="259"/>
      <c r="G84" s="25"/>
      <c r="H84" s="25"/>
      <c r="I84" s="148"/>
      <c r="J84" s="151"/>
      <c r="K84" s="271"/>
      <c r="L84" s="24">
        <f t="shared" si="3"/>
        <v>0</v>
      </c>
    </row>
    <row r="85" spans="1:12" s="4" customFormat="1">
      <c r="A85" s="88"/>
      <c r="B85" s="88"/>
      <c r="C85" s="79"/>
      <c r="D85" s="22"/>
      <c r="E85" s="25"/>
      <c r="F85" s="259"/>
      <c r="G85" s="25"/>
      <c r="H85" s="25"/>
      <c r="I85" s="148"/>
      <c r="J85" s="151"/>
      <c r="K85" s="271"/>
      <c r="L85" s="24">
        <f t="shared" si="3"/>
        <v>0</v>
      </c>
    </row>
    <row r="86" spans="1:12" s="4" customFormat="1">
      <c r="A86" s="88"/>
      <c r="B86" s="88"/>
      <c r="C86" s="79"/>
      <c r="D86" s="22"/>
      <c r="E86" s="25"/>
      <c r="F86" s="259"/>
      <c r="G86" s="25"/>
      <c r="H86" s="25"/>
      <c r="I86" s="148"/>
      <c r="J86" s="151"/>
      <c r="K86" s="271"/>
      <c r="L86" s="24"/>
    </row>
    <row r="87" spans="1:12" s="4" customFormat="1">
      <c r="A87" s="88"/>
      <c r="B87" s="88"/>
      <c r="C87" s="79"/>
      <c r="D87" s="22"/>
      <c r="E87" s="25"/>
      <c r="F87" s="259"/>
      <c r="G87" s="25"/>
      <c r="H87" s="25"/>
      <c r="I87" s="148"/>
      <c r="J87" s="151"/>
      <c r="K87" s="271"/>
      <c r="L87" s="24"/>
    </row>
    <row r="88" spans="1:12" s="4" customFormat="1">
      <c r="A88" s="88"/>
      <c r="B88" s="88"/>
      <c r="C88" s="79"/>
      <c r="D88" s="22"/>
      <c r="E88" s="25"/>
      <c r="F88" s="259"/>
      <c r="G88" s="25"/>
      <c r="H88" s="25"/>
      <c r="I88" s="148"/>
      <c r="J88" s="151"/>
      <c r="K88" s="271"/>
      <c r="L88" s="24"/>
    </row>
    <row r="89" spans="1:12" ht="19.5" thickBot="1">
      <c r="A89" s="88"/>
      <c r="B89" s="88"/>
      <c r="C89" s="153" t="s">
        <v>291</v>
      </c>
      <c r="D89" s="45"/>
      <c r="E89" s="45"/>
      <c r="F89" s="340"/>
      <c r="G89" s="45"/>
      <c r="H89" s="45"/>
      <c r="I89" s="165"/>
      <c r="J89" s="166"/>
      <c r="K89" s="215"/>
      <c r="L89" s="47">
        <f>SUM(L57:L88)</f>
        <v>0</v>
      </c>
    </row>
    <row r="90" spans="1:12">
      <c r="A90" s="96" t="s">
        <v>174</v>
      </c>
      <c r="B90" s="96"/>
      <c r="C90" s="78"/>
      <c r="D90" s="16"/>
      <c r="E90" s="16"/>
      <c r="F90" s="338"/>
      <c r="G90" s="16"/>
      <c r="H90" s="16"/>
      <c r="I90" s="160"/>
      <c r="J90" s="161"/>
      <c r="K90" s="402"/>
      <c r="L90" s="19">
        <f t="shared" ref="L90:L120" si="4">J90</f>
        <v>0</v>
      </c>
    </row>
    <row r="91" spans="1:12" s="4" customFormat="1">
      <c r="A91" s="88"/>
      <c r="B91" s="88"/>
      <c r="C91" s="79"/>
      <c r="D91" s="22"/>
      <c r="E91" s="167"/>
      <c r="F91" s="341"/>
      <c r="G91" s="22"/>
      <c r="H91" s="22"/>
      <c r="I91" s="148"/>
      <c r="J91" s="149"/>
      <c r="K91" s="403"/>
      <c r="L91" s="24">
        <f t="shared" si="4"/>
        <v>0</v>
      </c>
    </row>
    <row r="92" spans="1:12">
      <c r="A92" s="88"/>
      <c r="B92" s="88"/>
      <c r="C92" s="82"/>
      <c r="D92" s="22"/>
      <c r="E92" s="25"/>
      <c r="F92" s="259"/>
      <c r="G92" s="25"/>
      <c r="H92" s="25"/>
      <c r="I92" s="163"/>
      <c r="J92" s="164"/>
      <c r="K92" s="404"/>
      <c r="L92" s="41">
        <f t="shared" si="4"/>
        <v>0</v>
      </c>
    </row>
    <row r="93" spans="1:12">
      <c r="A93" s="88"/>
      <c r="B93" s="88"/>
      <c r="C93" s="79"/>
      <c r="D93" s="22"/>
      <c r="E93" s="22"/>
      <c r="F93" s="259"/>
      <c r="G93" s="22"/>
      <c r="H93" s="22"/>
      <c r="I93" s="148"/>
      <c r="J93" s="149"/>
      <c r="K93" s="403"/>
      <c r="L93" s="24">
        <f t="shared" si="4"/>
        <v>0</v>
      </c>
    </row>
    <row r="94" spans="1:12" s="6" customFormat="1">
      <c r="A94" s="88"/>
      <c r="B94" s="88"/>
      <c r="C94" s="79"/>
      <c r="D94" s="22"/>
      <c r="E94" s="22"/>
      <c r="F94" s="259"/>
      <c r="G94" s="22"/>
      <c r="H94" s="22"/>
      <c r="I94" s="168"/>
      <c r="J94" s="151"/>
      <c r="K94" s="271"/>
      <c r="L94" s="24">
        <f t="shared" si="4"/>
        <v>0</v>
      </c>
    </row>
    <row r="95" spans="1:12" s="6" customFormat="1">
      <c r="A95" s="88"/>
      <c r="B95" s="88"/>
      <c r="C95" s="79"/>
      <c r="D95" s="22"/>
      <c r="E95" s="28"/>
      <c r="F95" s="259"/>
      <c r="G95" s="28"/>
      <c r="H95" s="28"/>
      <c r="I95" s="169"/>
      <c r="J95" s="170"/>
      <c r="K95" s="405"/>
      <c r="L95" s="30">
        <f t="shared" si="4"/>
        <v>0</v>
      </c>
    </row>
    <row r="96" spans="1:12">
      <c r="A96" s="92"/>
      <c r="B96" s="92"/>
      <c r="C96" s="79"/>
      <c r="D96" s="22"/>
      <c r="E96" s="22"/>
      <c r="F96" s="259"/>
      <c r="G96" s="22"/>
      <c r="H96" s="22"/>
      <c r="I96" s="148"/>
      <c r="J96" s="149"/>
      <c r="K96" s="403"/>
      <c r="L96" s="24">
        <f t="shared" si="4"/>
        <v>0</v>
      </c>
    </row>
    <row r="97" spans="1:12" s="3" customFormat="1" ht="19.5" thickBot="1">
      <c r="A97" s="93"/>
      <c r="B97" s="93"/>
      <c r="C97" s="85"/>
      <c r="D97" s="22"/>
      <c r="E97" s="25"/>
      <c r="F97" s="259"/>
      <c r="G97" s="33"/>
      <c r="H97" s="33"/>
      <c r="I97" s="171"/>
      <c r="J97" s="172"/>
      <c r="K97" s="406"/>
      <c r="L97" s="173">
        <f t="shared" si="4"/>
        <v>0</v>
      </c>
    </row>
    <row r="98" spans="1:12" s="4" customFormat="1">
      <c r="A98" s="96"/>
      <c r="B98" s="88"/>
      <c r="C98" s="82"/>
      <c r="D98" s="22"/>
      <c r="E98" s="25"/>
      <c r="F98" s="259"/>
      <c r="G98" s="25"/>
      <c r="H98" s="25"/>
      <c r="I98" s="163"/>
      <c r="J98" s="164"/>
      <c r="K98" s="404"/>
      <c r="L98" s="41">
        <f t="shared" si="4"/>
        <v>0</v>
      </c>
    </row>
    <row r="99" spans="1:12">
      <c r="A99" s="88"/>
      <c r="B99" s="88"/>
      <c r="C99" s="85"/>
      <c r="D99" s="22"/>
      <c r="E99" s="25"/>
      <c r="F99" s="259"/>
      <c r="G99" s="36"/>
      <c r="H99" s="36"/>
      <c r="I99" s="163"/>
      <c r="J99" s="164"/>
      <c r="K99" s="404"/>
      <c r="L99" s="41">
        <f t="shared" si="4"/>
        <v>0</v>
      </c>
    </row>
    <row r="100" spans="1:12">
      <c r="A100" s="88"/>
      <c r="B100" s="88"/>
      <c r="C100" s="85"/>
      <c r="D100" s="22"/>
      <c r="E100" s="25"/>
      <c r="F100" s="259"/>
      <c r="G100" s="25"/>
      <c r="H100" s="25"/>
      <c r="I100" s="163"/>
      <c r="J100" s="164"/>
      <c r="K100" s="404"/>
      <c r="L100" s="41">
        <f t="shared" si="4"/>
        <v>0</v>
      </c>
    </row>
    <row r="101" spans="1:12">
      <c r="A101" s="88"/>
      <c r="B101" s="88"/>
      <c r="C101" s="85"/>
      <c r="D101" s="22"/>
      <c r="E101" s="25"/>
      <c r="F101" s="259"/>
      <c r="G101" s="25"/>
      <c r="H101" s="25"/>
      <c r="I101" s="163"/>
      <c r="J101" s="164"/>
      <c r="K101" s="404"/>
      <c r="L101" s="41">
        <f t="shared" si="4"/>
        <v>0</v>
      </c>
    </row>
    <row r="102" spans="1:12">
      <c r="A102" s="88"/>
      <c r="B102" s="88"/>
      <c r="C102" s="85"/>
      <c r="D102" s="22"/>
      <c r="E102" s="25"/>
      <c r="F102" s="259"/>
      <c r="G102" s="25"/>
      <c r="H102" s="25"/>
      <c r="I102" s="163"/>
      <c r="J102" s="164"/>
      <c r="K102" s="404"/>
      <c r="L102" s="41">
        <f t="shared" si="4"/>
        <v>0</v>
      </c>
    </row>
    <row r="103" spans="1:12">
      <c r="A103" s="88"/>
      <c r="B103" s="88"/>
      <c r="C103" s="85"/>
      <c r="D103" s="22"/>
      <c r="E103" s="25"/>
      <c r="F103" s="259"/>
      <c r="G103" s="25"/>
      <c r="H103" s="25"/>
      <c r="I103" s="163"/>
      <c r="J103" s="164"/>
      <c r="K103" s="404"/>
      <c r="L103" s="41">
        <f t="shared" si="4"/>
        <v>0</v>
      </c>
    </row>
    <row r="104" spans="1:12">
      <c r="A104" s="88"/>
      <c r="B104" s="88"/>
      <c r="C104" s="85"/>
      <c r="D104" s="22"/>
      <c r="E104" s="25"/>
      <c r="F104" s="259"/>
      <c r="G104" s="25"/>
      <c r="H104" s="25"/>
      <c r="I104" s="163"/>
      <c r="J104" s="164"/>
      <c r="K104" s="404"/>
      <c r="L104" s="41">
        <f t="shared" si="4"/>
        <v>0</v>
      </c>
    </row>
    <row r="105" spans="1:12">
      <c r="A105" s="88"/>
      <c r="B105" s="88"/>
      <c r="C105" s="85"/>
      <c r="D105" s="22"/>
      <c r="E105" s="25"/>
      <c r="F105" s="259"/>
      <c r="G105" s="25"/>
      <c r="H105" s="25"/>
      <c r="I105" s="163"/>
      <c r="J105" s="164"/>
      <c r="K105" s="404"/>
      <c r="L105" s="41">
        <f t="shared" si="4"/>
        <v>0</v>
      </c>
    </row>
    <row r="106" spans="1:12">
      <c r="A106" s="88"/>
      <c r="B106" s="88"/>
      <c r="C106" s="85"/>
      <c r="D106" s="22"/>
      <c r="E106" s="25"/>
      <c r="F106" s="259"/>
      <c r="G106" s="25"/>
      <c r="H106" s="25"/>
      <c r="I106" s="163"/>
      <c r="J106" s="164"/>
      <c r="K106" s="404"/>
      <c r="L106" s="41">
        <f t="shared" si="4"/>
        <v>0</v>
      </c>
    </row>
    <row r="107" spans="1:12">
      <c r="A107" s="88"/>
      <c r="B107" s="88"/>
      <c r="C107" s="85"/>
      <c r="D107" s="22"/>
      <c r="E107" s="25"/>
      <c r="F107" s="259"/>
      <c r="G107" s="25"/>
      <c r="H107" s="25"/>
      <c r="I107" s="163"/>
      <c r="J107" s="164"/>
      <c r="K107" s="404"/>
      <c r="L107" s="41">
        <f t="shared" si="4"/>
        <v>0</v>
      </c>
    </row>
    <row r="108" spans="1:12">
      <c r="A108" s="88"/>
      <c r="B108" s="88"/>
      <c r="C108" s="85"/>
      <c r="D108" s="22"/>
      <c r="E108" s="25"/>
      <c r="F108" s="259"/>
      <c r="G108" s="25"/>
      <c r="H108" s="25"/>
      <c r="I108" s="163"/>
      <c r="J108" s="164"/>
      <c r="K108" s="404"/>
      <c r="L108" s="41">
        <f t="shared" si="4"/>
        <v>0</v>
      </c>
    </row>
    <row r="109" spans="1:12">
      <c r="A109" s="88"/>
      <c r="B109" s="88"/>
      <c r="C109" s="85"/>
      <c r="D109" s="22"/>
      <c r="E109" s="25"/>
      <c r="F109" s="259"/>
      <c r="G109" s="25"/>
      <c r="H109" s="25"/>
      <c r="I109" s="163"/>
      <c r="J109" s="164"/>
      <c r="K109" s="404"/>
      <c r="L109" s="41">
        <f t="shared" si="4"/>
        <v>0</v>
      </c>
    </row>
    <row r="110" spans="1:12">
      <c r="A110" s="88"/>
      <c r="B110" s="88"/>
      <c r="C110" s="85"/>
      <c r="D110" s="22"/>
      <c r="E110" s="25"/>
      <c r="F110" s="259"/>
      <c r="G110" s="25"/>
      <c r="H110" s="25"/>
      <c r="I110" s="163"/>
      <c r="J110" s="164"/>
      <c r="K110" s="404"/>
      <c r="L110" s="41">
        <f t="shared" si="4"/>
        <v>0</v>
      </c>
    </row>
    <row r="111" spans="1:12">
      <c r="A111" s="88"/>
      <c r="B111" s="88"/>
      <c r="C111" s="85"/>
      <c r="D111" s="22"/>
      <c r="E111" s="25"/>
      <c r="F111" s="259"/>
      <c r="G111" s="25"/>
      <c r="H111" s="25"/>
      <c r="I111" s="163"/>
      <c r="J111" s="164"/>
      <c r="K111" s="404"/>
      <c r="L111" s="41">
        <f t="shared" si="4"/>
        <v>0</v>
      </c>
    </row>
    <row r="112" spans="1:12">
      <c r="A112" s="88"/>
      <c r="B112" s="88"/>
      <c r="C112" s="85"/>
      <c r="D112" s="22"/>
      <c r="E112" s="25"/>
      <c r="F112" s="259"/>
      <c r="G112" s="25"/>
      <c r="H112" s="25"/>
      <c r="I112" s="163"/>
      <c r="J112" s="164"/>
      <c r="K112" s="404"/>
      <c r="L112" s="41">
        <f t="shared" si="4"/>
        <v>0</v>
      </c>
    </row>
    <row r="113" spans="1:12">
      <c r="A113" s="88"/>
      <c r="B113" s="88"/>
      <c r="C113" s="85"/>
      <c r="D113" s="22"/>
      <c r="E113" s="25"/>
      <c r="F113" s="259"/>
      <c r="G113" s="25"/>
      <c r="H113" s="25"/>
      <c r="I113" s="163"/>
      <c r="J113" s="164"/>
      <c r="K113" s="404"/>
      <c r="L113" s="41">
        <f t="shared" si="4"/>
        <v>0</v>
      </c>
    </row>
    <row r="114" spans="1:12">
      <c r="A114" s="88"/>
      <c r="B114" s="88"/>
      <c r="C114" s="85"/>
      <c r="D114" s="22"/>
      <c r="E114" s="25"/>
      <c r="F114" s="259"/>
      <c r="G114" s="25"/>
      <c r="H114" s="25"/>
      <c r="I114" s="163"/>
      <c r="J114" s="164"/>
      <c r="K114" s="404"/>
      <c r="L114" s="41">
        <f t="shared" si="4"/>
        <v>0</v>
      </c>
    </row>
    <row r="115" spans="1:12">
      <c r="A115" s="88"/>
      <c r="B115" s="88"/>
      <c r="C115" s="85"/>
      <c r="D115" s="22"/>
      <c r="E115" s="25"/>
      <c r="F115" s="259"/>
      <c r="G115" s="25"/>
      <c r="H115" s="25"/>
      <c r="I115" s="163"/>
      <c r="J115" s="164"/>
      <c r="K115" s="404"/>
      <c r="L115" s="41">
        <f t="shared" si="4"/>
        <v>0</v>
      </c>
    </row>
    <row r="116" spans="1:12">
      <c r="A116" s="88"/>
      <c r="B116" s="88"/>
      <c r="C116" s="85"/>
      <c r="D116" s="22"/>
      <c r="E116" s="25"/>
      <c r="F116" s="259"/>
      <c r="G116" s="25"/>
      <c r="H116" s="25"/>
      <c r="I116" s="163"/>
      <c r="J116" s="164"/>
      <c r="K116" s="404"/>
      <c r="L116" s="41">
        <f>J116</f>
        <v>0</v>
      </c>
    </row>
    <row r="117" spans="1:12">
      <c r="A117" s="88"/>
      <c r="B117" s="88"/>
      <c r="C117" s="85"/>
      <c r="D117" s="22"/>
      <c r="E117" s="25"/>
      <c r="F117" s="259"/>
      <c r="G117" s="25"/>
      <c r="H117" s="25"/>
      <c r="I117" s="163"/>
      <c r="J117" s="164"/>
      <c r="K117" s="404"/>
      <c r="L117" s="41">
        <f t="shared" si="4"/>
        <v>0</v>
      </c>
    </row>
    <row r="118" spans="1:12">
      <c r="A118" s="88"/>
      <c r="B118" s="88"/>
      <c r="C118" s="85"/>
      <c r="D118" s="22"/>
      <c r="E118" s="25"/>
      <c r="F118" s="259"/>
      <c r="G118" s="25"/>
      <c r="H118" s="25"/>
      <c r="I118" s="163"/>
      <c r="J118" s="164"/>
      <c r="K118" s="404"/>
      <c r="L118" s="41">
        <f t="shared" si="4"/>
        <v>0</v>
      </c>
    </row>
    <row r="119" spans="1:12">
      <c r="A119" s="88"/>
      <c r="B119" s="88"/>
      <c r="C119" s="85"/>
      <c r="D119" s="22"/>
      <c r="E119" s="25"/>
      <c r="F119" s="259"/>
      <c r="G119" s="25"/>
      <c r="H119" s="25"/>
      <c r="I119" s="163"/>
      <c r="J119" s="164"/>
      <c r="K119" s="404"/>
      <c r="L119" s="41">
        <f t="shared" si="4"/>
        <v>0</v>
      </c>
    </row>
    <row r="120" spans="1:12">
      <c r="A120" s="88"/>
      <c r="B120" s="88"/>
      <c r="C120" s="85"/>
      <c r="D120" s="22"/>
      <c r="E120" s="25"/>
      <c r="F120" s="259"/>
      <c r="G120" s="25"/>
      <c r="H120" s="25"/>
      <c r="I120" s="163"/>
      <c r="J120" s="164"/>
      <c r="K120" s="404"/>
      <c r="L120" s="41">
        <f t="shared" si="4"/>
        <v>0</v>
      </c>
    </row>
    <row r="121" spans="1:12">
      <c r="A121" s="88"/>
      <c r="B121" s="88"/>
      <c r="C121" s="53"/>
      <c r="D121" s="22"/>
      <c r="E121" s="114"/>
      <c r="F121" s="342"/>
      <c r="G121" s="114"/>
      <c r="H121" s="114"/>
      <c r="I121" s="178"/>
      <c r="J121" s="179"/>
      <c r="K121" s="407"/>
      <c r="L121" s="115">
        <f>J121</f>
        <v>0</v>
      </c>
    </row>
    <row r="122" spans="1:12">
      <c r="A122" s="88"/>
      <c r="B122" s="88"/>
      <c r="C122" s="53"/>
      <c r="D122" s="22"/>
      <c r="E122" s="114"/>
      <c r="F122" s="342"/>
      <c r="G122" s="114"/>
      <c r="H122" s="114"/>
      <c r="I122" s="178"/>
      <c r="J122" s="179"/>
      <c r="K122" s="407"/>
      <c r="L122" s="115">
        <f>J122</f>
        <v>0</v>
      </c>
    </row>
    <row r="123" spans="1:12">
      <c r="A123" s="88"/>
      <c r="B123" s="88"/>
      <c r="C123" s="53"/>
      <c r="D123" s="22"/>
      <c r="E123" s="114"/>
      <c r="F123" s="342"/>
      <c r="G123" s="114"/>
      <c r="H123" s="114"/>
      <c r="I123" s="178"/>
      <c r="J123" s="179"/>
      <c r="K123" s="407"/>
      <c r="L123" s="115">
        <f>J123</f>
        <v>0</v>
      </c>
    </row>
    <row r="124" spans="1:12">
      <c r="A124" s="88"/>
      <c r="B124" s="88"/>
      <c r="C124" s="53"/>
      <c r="D124" s="22"/>
      <c r="E124" s="114"/>
      <c r="F124" s="342"/>
      <c r="G124" s="114"/>
      <c r="H124" s="114"/>
      <c r="I124" s="178"/>
      <c r="J124" s="179"/>
      <c r="K124" s="407"/>
      <c r="L124" s="115">
        <f>J124</f>
        <v>0</v>
      </c>
    </row>
    <row r="125" spans="1:12">
      <c r="A125" s="88"/>
      <c r="B125" s="88"/>
      <c r="C125" s="53"/>
      <c r="D125" s="22"/>
      <c r="E125" s="114"/>
      <c r="F125" s="342"/>
      <c r="G125" s="114"/>
      <c r="H125" s="114"/>
      <c r="I125" s="178"/>
      <c r="J125" s="179"/>
      <c r="K125" s="407"/>
      <c r="L125" s="115"/>
    </row>
    <row r="126" spans="1:12">
      <c r="A126" s="88"/>
      <c r="B126" s="88"/>
      <c r="C126" s="53"/>
      <c r="D126" s="22"/>
      <c r="E126" s="114"/>
      <c r="F126" s="342"/>
      <c r="G126" s="114"/>
      <c r="H126" s="114"/>
      <c r="I126" s="178"/>
      <c r="J126" s="179"/>
      <c r="K126" s="407"/>
      <c r="L126" s="115"/>
    </row>
    <row r="127" spans="1:12" ht="19.5" thickBot="1">
      <c r="A127" s="88"/>
      <c r="B127" s="88"/>
      <c r="C127" s="180" t="s">
        <v>291</v>
      </c>
      <c r="D127" s="45"/>
      <c r="E127" s="174"/>
      <c r="F127" s="340"/>
      <c r="G127" s="174"/>
      <c r="H127" s="174"/>
      <c r="I127" s="175"/>
      <c r="J127" s="176"/>
      <c r="K127" s="217"/>
      <c r="L127" s="177">
        <f>SUM(L90:L123)</f>
        <v>0</v>
      </c>
    </row>
    <row r="128" spans="1:12" ht="19.5" thickBot="1">
      <c r="A128" s="88"/>
      <c r="B128" s="88"/>
      <c r="C128" s="184"/>
      <c r="D128" s="375"/>
      <c r="E128" s="186"/>
      <c r="F128" s="343"/>
      <c r="G128" s="186"/>
      <c r="H128" s="370"/>
      <c r="I128" s="187"/>
      <c r="J128" s="188"/>
      <c r="K128" s="408"/>
      <c r="L128" s="189"/>
    </row>
    <row r="129" spans="1:12" ht="19.5" thickBot="1">
      <c r="A129" s="111"/>
      <c r="B129" s="111"/>
      <c r="C129" s="181" t="s">
        <v>292</v>
      </c>
      <c r="D129" s="127"/>
      <c r="E129" s="127"/>
      <c r="F129" s="344"/>
      <c r="G129" s="127"/>
      <c r="H129" s="292"/>
      <c r="I129" s="139"/>
      <c r="J129" s="146"/>
      <c r="K129" s="291"/>
      <c r="L129" s="128">
        <f>SUM(L56,L89,L127)</f>
        <v>1681.85925</v>
      </c>
    </row>
    <row r="130" spans="1:12">
      <c r="A130" s="91"/>
      <c r="B130" s="91"/>
      <c r="C130" s="117"/>
      <c r="D130" s="118"/>
      <c r="E130" s="118"/>
      <c r="F130" s="345"/>
      <c r="G130" s="118"/>
      <c r="H130" s="371"/>
      <c r="I130" s="140"/>
      <c r="J130" s="145"/>
      <c r="K130" s="409"/>
      <c r="L130" s="123"/>
    </row>
    <row r="131" spans="1:12">
      <c r="A131" s="91"/>
      <c r="B131" s="91"/>
      <c r="C131" s="117" t="s">
        <v>235</v>
      </c>
      <c r="D131" s="118"/>
      <c r="E131" s="118"/>
      <c r="F131" s="345"/>
      <c r="G131" s="118"/>
      <c r="H131" s="371"/>
      <c r="I131" s="140"/>
      <c r="J131" s="145"/>
      <c r="K131" s="409"/>
      <c r="L131" s="123">
        <f>L7</f>
        <v>0</v>
      </c>
    </row>
    <row r="132" spans="1:12">
      <c r="A132" s="91"/>
      <c r="B132" s="91"/>
      <c r="C132" s="117" t="s">
        <v>232</v>
      </c>
      <c r="D132" s="118"/>
      <c r="E132" s="118"/>
      <c r="F132" s="345"/>
      <c r="G132" s="118"/>
      <c r="H132" s="371"/>
      <c r="I132" s="140"/>
      <c r="J132" s="145"/>
      <c r="K132" s="409"/>
      <c r="L132" s="123">
        <f>SUM(L129:L131)</f>
        <v>1681.85925</v>
      </c>
    </row>
    <row r="133" spans="1:12" s="75" customFormat="1" ht="19.5" thickBot="1">
      <c r="A133" s="91"/>
      <c r="B133" s="91"/>
      <c r="C133" s="112" t="s">
        <v>236</v>
      </c>
      <c r="D133" s="45"/>
      <c r="E133" s="45"/>
      <c r="F133" s="340"/>
      <c r="G133" s="45"/>
      <c r="H133" s="372"/>
      <c r="I133" s="141"/>
      <c r="J133" s="144"/>
      <c r="K133" s="410"/>
      <c r="L133" s="24">
        <f>L132/3</f>
        <v>560.61974999999995</v>
      </c>
    </row>
    <row r="134" spans="1:12" s="71" customFormat="1">
      <c r="A134" s="91"/>
      <c r="B134" s="91"/>
      <c r="C134" s="72"/>
      <c r="D134" s="367"/>
      <c r="E134" s="73"/>
      <c r="F134" s="346"/>
      <c r="G134" s="73"/>
      <c r="H134" s="367"/>
      <c r="I134" s="142"/>
      <c r="J134" s="147"/>
      <c r="K134" s="147"/>
      <c r="L134" s="76"/>
    </row>
    <row r="135" spans="1:12" s="71" customFormat="1">
      <c r="A135" s="91"/>
      <c r="B135" s="91"/>
      <c r="C135" s="72"/>
      <c r="D135" s="367"/>
      <c r="E135" s="73"/>
      <c r="F135" s="346"/>
      <c r="G135" s="73"/>
      <c r="H135" s="367"/>
      <c r="I135" s="142"/>
      <c r="J135" s="137"/>
      <c r="K135" s="137"/>
      <c r="L135" s="74"/>
    </row>
    <row r="136" spans="1:12" s="71" customFormat="1">
      <c r="A136" s="91"/>
      <c r="B136" s="91"/>
      <c r="C136" s="72"/>
      <c r="D136" s="367"/>
      <c r="E136" s="73"/>
      <c r="F136" s="346"/>
      <c r="G136" s="73"/>
      <c r="H136" s="367"/>
      <c r="I136" s="142"/>
      <c r="J136" s="137"/>
      <c r="K136" s="137"/>
      <c r="L136" s="74"/>
    </row>
    <row r="137" spans="1:12" s="71" customFormat="1">
      <c r="A137" s="91"/>
      <c r="B137" s="91"/>
      <c r="C137" s="72"/>
      <c r="D137" s="367"/>
      <c r="E137" s="73"/>
      <c r="F137" s="346"/>
      <c r="G137" s="73"/>
      <c r="H137" s="367"/>
      <c r="I137" s="142"/>
      <c r="J137" s="137"/>
      <c r="K137" s="137"/>
      <c r="L137" s="74"/>
    </row>
    <row r="138" spans="1:12">
      <c r="C138" s="72"/>
      <c r="D138" s="367"/>
      <c r="E138" s="73"/>
      <c r="F138" s="346"/>
      <c r="G138" s="73"/>
      <c r="H138" s="367"/>
      <c r="I138" s="142"/>
      <c r="J138" s="137"/>
      <c r="K138" s="137"/>
      <c r="L138" s="74"/>
    </row>
  </sheetData>
  <mergeCells count="1">
    <mergeCell ref="A10:A29"/>
  </mergeCells>
  <dataValidations count="3">
    <dataValidation type="list" allowBlank="1" showInputMessage="1" showErrorMessage="1" prompt="CHOIX PRODUIT" sqref="D10:D31 M12:M15">
      <formula1>"MOBILE2016,MOBILE Regio,REEBOU Family,REEBOU Pack,REEBOU Pro,REEBOU Invest,LOGGIA,MEDICIS,RC,RC ENSEIGNANT,ZENITH60 Op100,ZENITH60 Op25,HORIZONT60Invest,HORIZONT60Protect,HORIZONT60Capi,HELIOS100Protect,HELIOS100Invest,FOCUS,NOVA,SCHWABISCHHALL"</formula1>
    </dataValidation>
    <dataValidation type="list" allowBlank="1" showInputMessage="1" showErrorMessage="1" sqref="D57:D88">
      <formula1>"REEBOU FAMILY,MOBILE 2016,PACK REEBOU FAMILY,MEDICIS,HORIZONT INVEST,RC ENSEIGNANT"</formula1>
    </dataValidation>
    <dataValidation type="list" allowBlank="1" showInputMessage="1" showErrorMessage="1" prompt="Liste choix" sqref="C138 D90:D126 D51:D55">
      <formula1>"REEBOU FAMILY,MOBILE 2016,PACK REEBOU FAMILY,MEDICIS,HORIZONT INVEST,RC ENSEIGNANT"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67" orientation="landscape" r:id="rId1"/>
  <headerFooter>
    <oddHeader xml:space="preserve">&amp;C&amp;"-,Gras"&amp;14COMMISSION JEFF DERAPPE 3èmeTRIMESTRE 2017
</oddHeader>
    <oddFooter xml:space="preserve">&amp;L&amp;8&amp;Z&amp;F&amp;C&amp;7&amp;P/&amp;N&amp;RModfié le &amp;D </oddFooter>
  </headerFooter>
  <rowBreaks count="3" manualBreakCount="3">
    <brk id="56" max="9" man="1"/>
    <brk id="89" max="9" man="1"/>
    <brk id="127" max="9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11">
    <tabColor rgb="FFFFFF00"/>
  </sheetPr>
  <dimension ref="A1:B22"/>
  <sheetViews>
    <sheetView workbookViewId="0"/>
  </sheetViews>
  <sheetFormatPr defaultRowHeight="15"/>
  <cols>
    <col min="1" max="1" width="21.140625" bestFit="1" customWidth="1"/>
    <col min="2" max="2" width="9.140625" style="11"/>
  </cols>
  <sheetData>
    <row r="1" spans="1:2" ht="21">
      <c r="A1" s="442" t="s">
        <v>477</v>
      </c>
      <c r="B1" s="442" t="s">
        <v>478</v>
      </c>
    </row>
    <row r="2" spans="1:2" ht="15.75">
      <c r="A2" s="443" t="s">
        <v>443</v>
      </c>
      <c r="B2" s="444">
        <v>0.12</v>
      </c>
    </row>
    <row r="3" spans="1:2" ht="15.75">
      <c r="A3" s="443" t="s">
        <v>450</v>
      </c>
      <c r="B3" s="444">
        <v>0.15</v>
      </c>
    </row>
    <row r="4" spans="1:2" ht="15.75">
      <c r="A4" s="443" t="s">
        <v>444</v>
      </c>
      <c r="B4" s="444">
        <v>0.12</v>
      </c>
    </row>
    <row r="5" spans="1:2" ht="15.75">
      <c r="A5" s="443" t="s">
        <v>445</v>
      </c>
      <c r="B5" s="444">
        <v>0.15</v>
      </c>
    </row>
    <row r="6" spans="1:2" ht="15.75">
      <c r="A6" s="443" t="s">
        <v>446</v>
      </c>
      <c r="B6" s="444">
        <v>0.12</v>
      </c>
    </row>
    <row r="7" spans="1:2" ht="15.75">
      <c r="A7" s="443" t="s">
        <v>447</v>
      </c>
      <c r="B7" s="444">
        <v>0.12</v>
      </c>
    </row>
    <row r="8" spans="1:2" ht="15.75">
      <c r="A8" s="443" t="s">
        <v>191</v>
      </c>
      <c r="B8" s="444"/>
    </row>
    <row r="9" spans="1:2" ht="15.75">
      <c r="A9" s="443" t="s">
        <v>317</v>
      </c>
      <c r="B9" s="444"/>
    </row>
    <row r="10" spans="1:2" ht="15.75">
      <c r="A10" s="443" t="s">
        <v>448</v>
      </c>
      <c r="B10" s="444"/>
    </row>
    <row r="11" spans="1:2" ht="15.75">
      <c r="A11" s="443" t="s">
        <v>428</v>
      </c>
      <c r="B11" s="444"/>
    </row>
    <row r="12" spans="1:2" ht="15.75">
      <c r="A12" s="443" t="s">
        <v>437</v>
      </c>
      <c r="B12" s="444"/>
    </row>
    <row r="13" spans="1:2" ht="15.75">
      <c r="A13" s="443" t="s">
        <v>451</v>
      </c>
      <c r="B13" s="444"/>
    </row>
    <row r="14" spans="1:2" ht="15.75">
      <c r="A14" s="443" t="s">
        <v>436</v>
      </c>
      <c r="B14" s="444"/>
    </row>
    <row r="15" spans="1:2" ht="15.75">
      <c r="A15" s="443" t="s">
        <v>439</v>
      </c>
      <c r="B15" s="444"/>
    </row>
    <row r="16" spans="1:2" ht="15.75">
      <c r="A16" s="443" t="s">
        <v>438</v>
      </c>
      <c r="B16" s="444"/>
    </row>
    <row r="17" spans="1:2" ht="15.75">
      <c r="A17" s="443" t="s">
        <v>440</v>
      </c>
      <c r="B17" s="444"/>
    </row>
    <row r="18" spans="1:2" ht="15.75">
      <c r="A18" s="443" t="s">
        <v>441</v>
      </c>
      <c r="B18" s="444"/>
    </row>
    <row r="19" spans="1:2" ht="15.75">
      <c r="A19" s="443" t="s">
        <v>442</v>
      </c>
      <c r="B19" s="444"/>
    </row>
    <row r="20" spans="1:2" ht="15.75">
      <c r="A20" s="443" t="s">
        <v>379</v>
      </c>
      <c r="B20" s="444"/>
    </row>
    <row r="21" spans="1:2" ht="16.5" thickBot="1">
      <c r="A21" s="445" t="s">
        <v>452</v>
      </c>
      <c r="B21" s="444"/>
    </row>
    <row r="22" spans="1:2" ht="15.75" thickTop="1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7"/>
  <dimension ref="A1:K111"/>
  <sheetViews>
    <sheetView topLeftCell="A75" zoomScale="150" zoomScaleNormal="150" workbookViewId="0">
      <selection activeCell="D88" sqref="D88"/>
    </sheetView>
  </sheetViews>
  <sheetFormatPr defaultColWidth="11.42578125" defaultRowHeight="15"/>
  <cols>
    <col min="1" max="1" width="13.7109375" style="86" customWidth="1"/>
    <col min="2" max="2" width="16" style="86" customWidth="1"/>
    <col min="3" max="3" width="28" style="70" customWidth="1"/>
    <col min="4" max="4" width="21.7109375" style="70" customWidth="1"/>
    <col min="5" max="5" width="24.7109375" style="1" customWidth="1"/>
    <col min="6" max="6" width="3.85546875" style="1" customWidth="1"/>
    <col min="7" max="7" width="13.28515625" style="138" customWidth="1"/>
    <col min="8" max="8" width="12.42578125" style="135" customWidth="1"/>
    <col min="9" max="9" width="12" style="2" customWidth="1"/>
    <col min="10" max="11" width="12" customWidth="1"/>
  </cols>
  <sheetData>
    <row r="1" spans="1:10" ht="18.75">
      <c r="C1" s="70" t="s">
        <v>197</v>
      </c>
      <c r="F1" s="225"/>
      <c r="G1" s="11"/>
      <c r="H1" s="134"/>
      <c r="I1" s="135"/>
      <c r="J1" s="10"/>
    </row>
    <row r="2" spans="1:10" ht="18.75">
      <c r="F2" s="225"/>
      <c r="G2" s="11"/>
      <c r="H2" s="134"/>
      <c r="I2" s="134"/>
      <c r="J2" s="10"/>
    </row>
    <row r="3" spans="1:10" ht="18.75">
      <c r="C3" s="70" t="s">
        <v>76</v>
      </c>
      <c r="D3" s="70" t="s">
        <v>239</v>
      </c>
      <c r="F3" s="225"/>
      <c r="G3" s="11"/>
      <c r="H3" s="134"/>
      <c r="I3" s="134"/>
      <c r="J3" s="10"/>
    </row>
    <row r="4" spans="1:10" ht="18.75">
      <c r="C4" s="70" t="s">
        <v>76</v>
      </c>
      <c r="D4" s="70" t="s">
        <v>240</v>
      </c>
      <c r="F4" s="225"/>
      <c r="G4" s="11"/>
      <c r="H4" s="134"/>
      <c r="I4" s="134"/>
      <c r="J4" s="10"/>
    </row>
    <row r="5" spans="1:10" ht="18.75">
      <c r="C5" s="70" t="s">
        <v>76</v>
      </c>
      <c r="D5" s="70" t="s">
        <v>241</v>
      </c>
      <c r="F5" s="225"/>
      <c r="G5" s="11"/>
      <c r="H5" s="134"/>
      <c r="I5" s="134"/>
      <c r="J5" s="10"/>
    </row>
    <row r="6" spans="1:10" ht="18.75">
      <c r="F6" s="225"/>
      <c r="G6" s="11"/>
      <c r="H6" s="134"/>
      <c r="I6" s="134"/>
      <c r="J6" s="10"/>
    </row>
    <row r="7" spans="1:10" ht="18.75">
      <c r="C7" s="70" t="s">
        <v>234</v>
      </c>
      <c r="F7" s="225"/>
      <c r="G7" s="11"/>
      <c r="H7" s="134"/>
      <c r="I7" s="134"/>
      <c r="J7" s="125"/>
    </row>
    <row r="8" spans="1:10" ht="19.5" thickBot="1">
      <c r="F8" s="225"/>
      <c r="G8" s="1"/>
      <c r="H8" s="138"/>
      <c r="I8" s="135"/>
      <c r="J8" s="2"/>
    </row>
    <row r="9" spans="1:10" ht="30">
      <c r="A9" s="337" t="s">
        <v>426</v>
      </c>
      <c r="B9" s="337" t="s">
        <v>427</v>
      </c>
      <c r="C9" s="348" t="s">
        <v>0</v>
      </c>
      <c r="D9" s="360" t="s">
        <v>56</v>
      </c>
      <c r="E9" s="16" t="s">
        <v>425</v>
      </c>
      <c r="F9" s="338" t="s">
        <v>431</v>
      </c>
      <c r="G9" s="16" t="s">
        <v>59</v>
      </c>
      <c r="H9" s="192" t="s">
        <v>80</v>
      </c>
      <c r="I9" s="347" t="s">
        <v>432</v>
      </c>
      <c r="J9" s="19" t="s">
        <v>98</v>
      </c>
    </row>
    <row r="10" spans="1:10" ht="18.75">
      <c r="A10" s="88" t="s">
        <v>239</v>
      </c>
      <c r="B10" s="88"/>
      <c r="C10" s="349"/>
      <c r="D10" s="20"/>
      <c r="E10" s="22"/>
      <c r="F10" s="259"/>
      <c r="G10" s="22"/>
      <c r="H10" s="148"/>
      <c r="I10" s="149"/>
      <c r="J10" s="150">
        <f>I10</f>
        <v>0</v>
      </c>
    </row>
    <row r="11" spans="1:10" ht="18.75">
      <c r="A11" s="88"/>
      <c r="B11" s="88"/>
      <c r="C11" s="349"/>
      <c r="D11" s="20"/>
      <c r="E11" s="22"/>
      <c r="F11" s="259"/>
      <c r="G11" s="22"/>
      <c r="H11" s="148"/>
      <c r="I11" s="151"/>
      <c r="J11" s="150">
        <f t="shared" ref="J11:J32" si="0">I11</f>
        <v>0</v>
      </c>
    </row>
    <row r="12" spans="1:10" ht="18.75">
      <c r="A12" s="88"/>
      <c r="B12" s="88"/>
      <c r="C12" s="349"/>
      <c r="D12" s="20"/>
      <c r="E12" s="22"/>
      <c r="F12" s="259"/>
      <c r="G12" s="22"/>
      <c r="H12" s="148"/>
      <c r="I12" s="149"/>
      <c r="J12" s="150">
        <f t="shared" si="0"/>
        <v>0</v>
      </c>
    </row>
    <row r="13" spans="1:10" ht="18.75">
      <c r="A13" s="88"/>
      <c r="B13" s="88"/>
      <c r="C13" s="349"/>
      <c r="D13" s="20"/>
      <c r="E13" s="22"/>
      <c r="F13" s="259"/>
      <c r="G13" s="22"/>
      <c r="H13" s="148"/>
      <c r="I13" s="149"/>
      <c r="J13" s="150">
        <f t="shared" si="0"/>
        <v>0</v>
      </c>
    </row>
    <row r="14" spans="1:10" ht="18.75">
      <c r="A14" s="88"/>
      <c r="B14" s="88"/>
      <c r="C14" s="349"/>
      <c r="D14" s="20"/>
      <c r="E14" s="22"/>
      <c r="F14" s="259"/>
      <c r="G14" s="22"/>
      <c r="H14" s="148"/>
      <c r="I14" s="151"/>
      <c r="J14" s="150">
        <f t="shared" si="0"/>
        <v>0</v>
      </c>
    </row>
    <row r="15" spans="1:10" ht="18.75">
      <c r="A15" s="88"/>
      <c r="B15" s="88"/>
      <c r="C15" s="349"/>
      <c r="D15" s="20"/>
      <c r="E15" s="22"/>
      <c r="F15" s="259"/>
      <c r="G15" s="22"/>
      <c r="H15" s="148"/>
      <c r="I15" s="149"/>
      <c r="J15" s="150">
        <f t="shared" si="0"/>
        <v>0</v>
      </c>
    </row>
    <row r="16" spans="1:10" s="70" customFormat="1" ht="18.75">
      <c r="A16" s="88"/>
      <c r="B16" s="88"/>
      <c r="C16" s="349"/>
      <c r="D16" s="20"/>
      <c r="E16" s="22"/>
      <c r="F16" s="259"/>
      <c r="G16" s="22"/>
      <c r="H16" s="148"/>
      <c r="I16" s="149"/>
      <c r="J16" s="150">
        <f t="shared" si="0"/>
        <v>0</v>
      </c>
    </row>
    <row r="17" spans="1:10" s="6" customFormat="1" ht="18.75">
      <c r="A17" s="88"/>
      <c r="B17" s="88"/>
      <c r="C17" s="349"/>
      <c r="D17" s="20"/>
      <c r="E17" s="22"/>
      <c r="F17" s="259"/>
      <c r="G17" s="22"/>
      <c r="H17" s="148"/>
      <c r="I17" s="149"/>
      <c r="J17" s="150">
        <f t="shared" si="0"/>
        <v>0</v>
      </c>
    </row>
    <row r="18" spans="1:10" ht="18.75">
      <c r="A18" s="88"/>
      <c r="B18" s="88"/>
      <c r="C18" s="349"/>
      <c r="D18" s="20"/>
      <c r="E18" s="22"/>
      <c r="F18" s="259"/>
      <c r="G18" s="22"/>
      <c r="H18" s="148"/>
      <c r="I18" s="149"/>
      <c r="J18" s="150">
        <f t="shared" si="0"/>
        <v>0</v>
      </c>
    </row>
    <row r="19" spans="1:10" ht="18.75">
      <c r="A19" s="88"/>
      <c r="B19" s="88"/>
      <c r="C19" s="349"/>
      <c r="D19" s="20"/>
      <c r="E19" s="22"/>
      <c r="F19" s="259"/>
      <c r="G19" s="22"/>
      <c r="H19" s="148"/>
      <c r="I19" s="149"/>
      <c r="J19" s="150">
        <f t="shared" si="0"/>
        <v>0</v>
      </c>
    </row>
    <row r="20" spans="1:10" ht="18.75">
      <c r="A20" s="88"/>
      <c r="B20" s="90"/>
      <c r="C20" s="349"/>
      <c r="D20" s="365"/>
      <c r="E20" s="366"/>
      <c r="F20" s="339"/>
      <c r="G20" s="22"/>
      <c r="H20" s="148"/>
      <c r="I20" s="164"/>
      <c r="J20" s="150">
        <f t="shared" si="0"/>
        <v>0</v>
      </c>
    </row>
    <row r="21" spans="1:10" ht="18.75">
      <c r="A21" s="88"/>
      <c r="B21" s="88"/>
      <c r="C21" s="349"/>
      <c r="D21" s="20"/>
      <c r="E21" s="22"/>
      <c r="F21" s="259"/>
      <c r="G21" s="22"/>
      <c r="H21" s="148"/>
      <c r="I21" s="164"/>
      <c r="J21" s="150">
        <f t="shared" si="0"/>
        <v>0</v>
      </c>
    </row>
    <row r="22" spans="1:10" ht="18.75">
      <c r="A22" s="88"/>
      <c r="B22" s="88"/>
      <c r="C22" s="349"/>
      <c r="D22" s="20"/>
      <c r="E22" s="22"/>
      <c r="F22" s="259"/>
      <c r="G22" s="22"/>
      <c r="H22" s="148"/>
      <c r="I22" s="144"/>
      <c r="J22" s="150">
        <f t="shared" si="0"/>
        <v>0</v>
      </c>
    </row>
    <row r="23" spans="1:10" s="4" customFormat="1" ht="18.75">
      <c r="A23" s="88"/>
      <c r="B23" s="88"/>
      <c r="C23" s="349"/>
      <c r="D23" s="20"/>
      <c r="E23" s="22"/>
      <c r="F23" s="259"/>
      <c r="G23" s="22"/>
      <c r="H23" s="148"/>
      <c r="I23" s="149"/>
      <c r="J23" s="150">
        <f t="shared" si="0"/>
        <v>0</v>
      </c>
    </row>
    <row r="24" spans="1:10" s="4" customFormat="1" ht="18.75">
      <c r="A24" s="88"/>
      <c r="B24" s="88"/>
      <c r="C24" s="349"/>
      <c r="D24" s="20"/>
      <c r="E24" s="22"/>
      <c r="F24" s="259"/>
      <c r="G24" s="22"/>
      <c r="H24" s="148"/>
      <c r="I24" s="149"/>
      <c r="J24" s="150">
        <f t="shared" si="0"/>
        <v>0</v>
      </c>
    </row>
    <row r="25" spans="1:10" s="4" customFormat="1" ht="18.75">
      <c r="A25" s="88"/>
      <c r="B25" s="88"/>
      <c r="C25" s="349"/>
      <c r="D25" s="20"/>
      <c r="E25" s="22"/>
      <c r="F25" s="259"/>
      <c r="G25" s="22"/>
      <c r="H25" s="148"/>
      <c r="I25" s="149"/>
      <c r="J25" s="150">
        <f t="shared" si="0"/>
        <v>0</v>
      </c>
    </row>
    <row r="26" spans="1:10" s="4" customFormat="1" ht="18.75">
      <c r="A26" s="88"/>
      <c r="B26" s="88"/>
      <c r="C26" s="349"/>
      <c r="D26" s="20"/>
      <c r="E26" s="22"/>
      <c r="F26" s="259"/>
      <c r="G26" s="22"/>
      <c r="H26" s="148"/>
      <c r="I26" s="149"/>
      <c r="J26" s="150">
        <f t="shared" si="0"/>
        <v>0</v>
      </c>
    </row>
    <row r="27" spans="1:10" s="4" customFormat="1" ht="18.75">
      <c r="A27" s="88"/>
      <c r="B27" s="88"/>
      <c r="C27" s="349"/>
      <c r="D27" s="20"/>
      <c r="E27" s="22"/>
      <c r="F27" s="259"/>
      <c r="G27" s="22"/>
      <c r="H27" s="148"/>
      <c r="I27" s="151"/>
      <c r="J27" s="150">
        <f t="shared" si="0"/>
        <v>0</v>
      </c>
    </row>
    <row r="28" spans="1:10" s="4" customFormat="1" ht="18.75">
      <c r="A28" s="88"/>
      <c r="B28" s="88"/>
      <c r="C28" s="349"/>
      <c r="D28" s="20"/>
      <c r="E28" s="22"/>
      <c r="F28" s="259"/>
      <c r="G28" s="22"/>
      <c r="H28" s="148"/>
      <c r="I28" s="149"/>
      <c r="J28" s="150">
        <f t="shared" si="0"/>
        <v>0</v>
      </c>
    </row>
    <row r="29" spans="1:10" s="4" customFormat="1" ht="18.75">
      <c r="A29" s="88"/>
      <c r="B29" s="88"/>
      <c r="C29" s="349"/>
      <c r="D29" s="20"/>
      <c r="E29" s="22"/>
      <c r="F29" s="259"/>
      <c r="G29" s="22"/>
      <c r="H29" s="148"/>
      <c r="I29" s="149"/>
      <c r="J29" s="150">
        <f t="shared" si="0"/>
        <v>0</v>
      </c>
    </row>
    <row r="30" spans="1:10" s="4" customFormat="1" ht="18.75">
      <c r="A30" s="88"/>
      <c r="B30" s="88"/>
      <c r="C30" s="349"/>
      <c r="D30" s="20"/>
      <c r="E30" s="22"/>
      <c r="F30" s="259"/>
      <c r="G30" s="22"/>
      <c r="H30" s="148"/>
      <c r="I30" s="149"/>
      <c r="J30" s="150">
        <f t="shared" si="0"/>
        <v>0</v>
      </c>
    </row>
    <row r="31" spans="1:10" s="4" customFormat="1" ht="18.75">
      <c r="A31" s="88"/>
      <c r="B31" s="88"/>
      <c r="C31" s="349"/>
      <c r="D31" s="20"/>
      <c r="E31" s="22"/>
      <c r="F31" s="259"/>
      <c r="G31" s="22"/>
      <c r="H31" s="148"/>
      <c r="I31" s="149"/>
      <c r="J31" s="150">
        <f t="shared" si="0"/>
        <v>0</v>
      </c>
    </row>
    <row r="32" spans="1:10" s="4" customFormat="1" ht="18.75">
      <c r="A32" s="88"/>
      <c r="B32" s="88"/>
      <c r="C32" s="349"/>
      <c r="D32" s="20"/>
      <c r="E32" s="22"/>
      <c r="F32" s="259"/>
      <c r="G32" s="22"/>
      <c r="H32" s="148"/>
      <c r="I32" s="149"/>
      <c r="J32" s="150">
        <f t="shared" si="0"/>
        <v>0</v>
      </c>
    </row>
    <row r="33" spans="1:10" s="4" customFormat="1" ht="19.5" thickBot="1">
      <c r="A33" s="89"/>
      <c r="B33" s="89"/>
      <c r="C33" s="350"/>
      <c r="D33" s="20"/>
      <c r="E33" s="22"/>
      <c r="F33" s="259"/>
      <c r="G33" s="22"/>
      <c r="H33" s="148"/>
      <c r="I33" s="151"/>
      <c r="J33" s="158"/>
    </row>
    <row r="34" spans="1:10" s="4" customFormat="1" ht="19.5" thickBot="1">
      <c r="A34" s="88"/>
      <c r="B34" s="88"/>
      <c r="C34" s="351" t="s">
        <v>308</v>
      </c>
      <c r="D34" s="361"/>
      <c r="E34" s="155"/>
      <c r="F34" s="340"/>
      <c r="G34" s="155"/>
      <c r="H34" s="156"/>
      <c r="I34" s="157"/>
      <c r="J34" s="159">
        <f>SUM(J10:J33)</f>
        <v>0</v>
      </c>
    </row>
    <row r="35" spans="1:10" s="4" customFormat="1" ht="18.75">
      <c r="A35" s="96" t="s">
        <v>240</v>
      </c>
      <c r="B35" s="96"/>
      <c r="C35" s="348"/>
      <c r="D35" s="20"/>
      <c r="E35" s="16"/>
      <c r="F35" s="338"/>
      <c r="G35" s="16"/>
      <c r="H35" s="160"/>
      <c r="I35" s="161"/>
      <c r="J35" s="19">
        <f>I35</f>
        <v>0</v>
      </c>
    </row>
    <row r="36" spans="1:10" s="4" customFormat="1" ht="18.75">
      <c r="A36" s="88"/>
      <c r="B36" s="88"/>
      <c r="C36" s="349"/>
      <c r="D36" s="20"/>
      <c r="E36" s="22"/>
      <c r="F36" s="259"/>
      <c r="G36" s="22"/>
      <c r="H36" s="148"/>
      <c r="I36" s="149"/>
      <c r="J36" s="24"/>
    </row>
    <row r="37" spans="1:10" s="4" customFormat="1" ht="18.75">
      <c r="A37" s="88"/>
      <c r="B37" s="88"/>
      <c r="C37" s="349"/>
      <c r="D37" s="20"/>
      <c r="E37" s="22"/>
      <c r="F37" s="259"/>
      <c r="G37" s="22"/>
      <c r="H37" s="148"/>
      <c r="I37" s="149"/>
      <c r="J37" s="24">
        <f t="shared" ref="J37:J63" si="1">I37</f>
        <v>0</v>
      </c>
    </row>
    <row r="38" spans="1:10" s="4" customFormat="1" ht="18.75">
      <c r="A38" s="92"/>
      <c r="B38" s="92"/>
      <c r="C38" s="349"/>
      <c r="D38" s="20"/>
      <c r="E38" s="22"/>
      <c r="F38" s="259"/>
      <c r="G38" s="22"/>
      <c r="H38" s="148"/>
      <c r="I38" s="149"/>
      <c r="J38" s="24">
        <f t="shared" si="1"/>
        <v>0</v>
      </c>
    </row>
    <row r="39" spans="1:10" s="4" customFormat="1" ht="18.75">
      <c r="A39" s="86"/>
      <c r="B39" s="86"/>
      <c r="C39" s="349"/>
      <c r="D39" s="20"/>
      <c r="E39" s="22"/>
      <c r="F39" s="259"/>
      <c r="G39" s="22"/>
      <c r="H39" s="162"/>
      <c r="I39" s="149"/>
      <c r="J39" s="24">
        <f t="shared" si="1"/>
        <v>0</v>
      </c>
    </row>
    <row r="40" spans="1:10" s="4" customFormat="1" ht="18.75">
      <c r="A40" s="92"/>
      <c r="B40" s="92"/>
      <c r="C40" s="349"/>
      <c r="D40" s="20"/>
      <c r="E40" s="22"/>
      <c r="F40" s="259"/>
      <c r="G40" s="22"/>
      <c r="H40" s="148"/>
      <c r="I40" s="149"/>
      <c r="J40" s="24">
        <f t="shared" si="1"/>
        <v>0</v>
      </c>
    </row>
    <row r="41" spans="1:10" s="4" customFormat="1" ht="18.75">
      <c r="A41" s="88"/>
      <c r="B41" s="88"/>
      <c r="C41" s="349"/>
      <c r="D41" s="20"/>
      <c r="E41" s="25"/>
      <c r="F41" s="259"/>
      <c r="G41" s="25"/>
      <c r="H41" s="163"/>
      <c r="I41" s="164"/>
      <c r="J41" s="41">
        <f t="shared" si="1"/>
        <v>0</v>
      </c>
    </row>
    <row r="42" spans="1:10" s="4" customFormat="1" ht="18.75">
      <c r="A42" s="88"/>
      <c r="B42" s="88"/>
      <c r="C42" s="349"/>
      <c r="D42" s="20"/>
      <c r="E42" s="25"/>
      <c r="F42" s="259"/>
      <c r="G42" s="25"/>
      <c r="H42" s="163"/>
      <c r="I42" s="164"/>
      <c r="J42" s="41">
        <f t="shared" si="1"/>
        <v>0</v>
      </c>
    </row>
    <row r="43" spans="1:10" s="4" customFormat="1" ht="18.75">
      <c r="A43" s="88"/>
      <c r="B43" s="88"/>
      <c r="C43" s="349"/>
      <c r="D43" s="20"/>
      <c r="E43" s="25"/>
      <c r="F43" s="259"/>
      <c r="G43" s="25"/>
      <c r="H43" s="163"/>
      <c r="I43" s="164"/>
      <c r="J43" s="41">
        <f t="shared" si="1"/>
        <v>0</v>
      </c>
    </row>
    <row r="44" spans="1:10" s="4" customFormat="1" ht="19.5" thickBot="1">
      <c r="A44" s="88"/>
      <c r="B44" s="88"/>
      <c r="C44" s="349"/>
      <c r="D44" s="20"/>
      <c r="E44" s="25"/>
      <c r="F44" s="259"/>
      <c r="G44" s="25"/>
      <c r="H44" s="148"/>
      <c r="I44" s="151"/>
      <c r="J44" s="24">
        <f t="shared" si="1"/>
        <v>0</v>
      </c>
    </row>
    <row r="45" spans="1:10" s="4" customFormat="1" ht="18.75">
      <c r="A45" s="96"/>
      <c r="B45" s="88"/>
      <c r="C45" s="349"/>
      <c r="D45" s="20"/>
      <c r="E45" s="22"/>
      <c r="F45" s="259"/>
      <c r="G45" s="22"/>
      <c r="H45" s="148"/>
      <c r="I45" s="149"/>
      <c r="J45" s="24">
        <f t="shared" si="1"/>
        <v>0</v>
      </c>
    </row>
    <row r="46" spans="1:10" s="4" customFormat="1" ht="18.75">
      <c r="A46" s="88"/>
      <c r="B46" s="88"/>
      <c r="C46" s="349"/>
      <c r="D46" s="20"/>
      <c r="E46" s="25"/>
      <c r="F46" s="259"/>
      <c r="G46" s="25"/>
      <c r="H46" s="148"/>
      <c r="I46" s="151"/>
      <c r="J46" s="24">
        <f t="shared" si="1"/>
        <v>0</v>
      </c>
    </row>
    <row r="47" spans="1:10" s="4" customFormat="1" ht="18.75">
      <c r="A47" s="88"/>
      <c r="B47" s="88"/>
      <c r="C47" s="349"/>
      <c r="D47" s="20"/>
      <c r="E47" s="25"/>
      <c r="F47" s="259"/>
      <c r="G47" s="25"/>
      <c r="H47" s="148"/>
      <c r="I47" s="151"/>
      <c r="J47" s="24">
        <f t="shared" si="1"/>
        <v>0</v>
      </c>
    </row>
    <row r="48" spans="1:10" s="4" customFormat="1" ht="18.75">
      <c r="A48" s="88"/>
      <c r="B48" s="88"/>
      <c r="C48" s="349"/>
      <c r="D48" s="20"/>
      <c r="E48" s="25"/>
      <c r="F48" s="259"/>
      <c r="G48" s="25"/>
      <c r="H48" s="148"/>
      <c r="I48" s="151"/>
      <c r="J48" s="24">
        <f t="shared" si="1"/>
        <v>0</v>
      </c>
    </row>
    <row r="49" spans="1:11" s="4" customFormat="1" ht="18.75">
      <c r="A49" s="88"/>
      <c r="B49" s="88"/>
      <c r="C49" s="349"/>
      <c r="D49" s="20"/>
      <c r="E49" s="25"/>
      <c r="F49" s="259"/>
      <c r="G49" s="25"/>
      <c r="H49" s="148"/>
      <c r="I49" s="151"/>
      <c r="J49" s="24">
        <f t="shared" si="1"/>
        <v>0</v>
      </c>
    </row>
    <row r="50" spans="1:11" ht="18.75">
      <c r="A50" s="88"/>
      <c r="B50" s="88"/>
      <c r="C50" s="349"/>
      <c r="D50" s="20"/>
      <c r="E50" s="25"/>
      <c r="F50" s="259"/>
      <c r="G50" s="25"/>
      <c r="H50" s="148"/>
      <c r="I50" s="151"/>
      <c r="J50" s="24">
        <f t="shared" si="1"/>
        <v>0</v>
      </c>
    </row>
    <row r="51" spans="1:11" ht="18.75">
      <c r="A51" s="88"/>
      <c r="B51" s="88"/>
      <c r="C51" s="349"/>
      <c r="D51" s="20"/>
      <c r="E51" s="25"/>
      <c r="F51" s="259"/>
      <c r="G51" s="25"/>
      <c r="H51" s="148"/>
      <c r="I51" s="151"/>
      <c r="J51" s="24">
        <f t="shared" si="1"/>
        <v>0</v>
      </c>
    </row>
    <row r="52" spans="1:11" s="4" customFormat="1" ht="18.75">
      <c r="A52" s="88"/>
      <c r="B52" s="88"/>
      <c r="C52" s="349"/>
      <c r="D52" s="20"/>
      <c r="E52" s="25"/>
      <c r="F52" s="259"/>
      <c r="G52" s="25"/>
      <c r="H52" s="148"/>
      <c r="I52" s="151"/>
      <c r="J52" s="24">
        <f t="shared" si="1"/>
        <v>0</v>
      </c>
    </row>
    <row r="53" spans="1:11" ht="18.75">
      <c r="A53" s="88"/>
      <c r="B53" s="88"/>
      <c r="C53" s="349"/>
      <c r="D53" s="20"/>
      <c r="E53" s="25"/>
      <c r="F53" s="259"/>
      <c r="G53" s="25"/>
      <c r="H53" s="148"/>
      <c r="I53" s="151"/>
      <c r="J53" s="24">
        <f t="shared" si="1"/>
        <v>0</v>
      </c>
    </row>
    <row r="54" spans="1:11" ht="18.75">
      <c r="A54" s="88"/>
      <c r="B54" s="88"/>
      <c r="C54" s="349"/>
      <c r="D54" s="20"/>
      <c r="E54" s="25"/>
      <c r="F54" s="259"/>
      <c r="G54" s="25"/>
      <c r="H54" s="148"/>
      <c r="I54" s="151"/>
      <c r="J54" s="24">
        <f t="shared" si="1"/>
        <v>0</v>
      </c>
    </row>
    <row r="55" spans="1:11" s="6" customFormat="1" ht="18.75">
      <c r="A55" s="88"/>
      <c r="B55" s="88"/>
      <c r="C55" s="349"/>
      <c r="D55" s="20"/>
      <c r="E55" s="25"/>
      <c r="F55" s="259"/>
      <c r="G55" s="25"/>
      <c r="H55" s="148"/>
      <c r="I55" s="151"/>
      <c r="J55" s="24">
        <f t="shared" si="1"/>
        <v>0</v>
      </c>
    </row>
    <row r="56" spans="1:11" s="6" customFormat="1" ht="18.75">
      <c r="A56" s="88"/>
      <c r="B56" s="88"/>
      <c r="C56" s="349"/>
      <c r="D56" s="20"/>
      <c r="E56" s="25"/>
      <c r="F56" s="259"/>
      <c r="G56" s="25"/>
      <c r="H56" s="148"/>
      <c r="I56" s="151"/>
      <c r="J56" s="24">
        <f t="shared" si="1"/>
        <v>0</v>
      </c>
    </row>
    <row r="57" spans="1:11" ht="18.75">
      <c r="A57" s="88"/>
      <c r="B57" s="88"/>
      <c r="C57" s="349"/>
      <c r="D57" s="20"/>
      <c r="E57" s="25"/>
      <c r="F57" s="259"/>
      <c r="G57" s="25"/>
      <c r="H57" s="148"/>
      <c r="I57" s="151"/>
      <c r="J57" s="24">
        <f t="shared" si="1"/>
        <v>0</v>
      </c>
    </row>
    <row r="58" spans="1:11" s="3" customFormat="1" ht="18.75">
      <c r="A58" s="88"/>
      <c r="B58" s="88"/>
      <c r="C58" s="349"/>
      <c r="D58" s="20"/>
      <c r="E58" s="25"/>
      <c r="F58" s="259"/>
      <c r="G58" s="25"/>
      <c r="H58" s="148"/>
      <c r="I58" s="151"/>
      <c r="J58" s="24">
        <f t="shared" si="1"/>
        <v>0</v>
      </c>
    </row>
    <row r="59" spans="1:11" s="4" customFormat="1" ht="18.75">
      <c r="A59" s="88"/>
      <c r="B59" s="88"/>
      <c r="C59" s="349"/>
      <c r="D59" s="20"/>
      <c r="E59" s="25"/>
      <c r="F59" s="259"/>
      <c r="G59" s="25"/>
      <c r="H59" s="148"/>
      <c r="I59" s="151"/>
      <c r="J59" s="24">
        <f t="shared" si="1"/>
        <v>0</v>
      </c>
      <c r="K59" s="3"/>
    </row>
    <row r="60" spans="1:11" ht="18.75">
      <c r="A60" s="88"/>
      <c r="B60" s="88"/>
      <c r="C60" s="349"/>
      <c r="D60" s="20"/>
      <c r="E60" s="25"/>
      <c r="F60" s="259"/>
      <c r="G60" s="33"/>
      <c r="H60" s="25"/>
      <c r="I60" s="151"/>
      <c r="J60" s="24">
        <f t="shared" si="1"/>
        <v>0</v>
      </c>
    </row>
    <row r="61" spans="1:11" ht="18.75">
      <c r="A61" s="88"/>
      <c r="B61" s="88"/>
      <c r="C61" s="349"/>
      <c r="D61" s="20"/>
      <c r="E61" s="25"/>
      <c r="F61" s="259"/>
      <c r="G61" s="25"/>
      <c r="H61" s="148"/>
      <c r="I61" s="151"/>
      <c r="J61" s="24">
        <f t="shared" si="1"/>
        <v>0</v>
      </c>
    </row>
    <row r="62" spans="1:11" ht="18.75">
      <c r="A62" s="88"/>
      <c r="B62" s="88"/>
      <c r="C62" s="349"/>
      <c r="D62" s="20"/>
      <c r="E62" s="25"/>
      <c r="F62" s="259"/>
      <c r="G62" s="25"/>
      <c r="H62" s="148"/>
      <c r="I62" s="151"/>
      <c r="J62" s="24">
        <f t="shared" si="1"/>
        <v>0</v>
      </c>
    </row>
    <row r="63" spans="1:11" ht="18.75">
      <c r="A63" s="88"/>
      <c r="B63" s="88"/>
      <c r="C63" s="349"/>
      <c r="D63" s="20"/>
      <c r="E63" s="25"/>
      <c r="F63" s="259"/>
      <c r="G63" s="25"/>
      <c r="H63" s="148"/>
      <c r="I63" s="151"/>
      <c r="J63" s="24">
        <f t="shared" si="1"/>
        <v>0</v>
      </c>
    </row>
    <row r="64" spans="1:11" ht="18.75">
      <c r="A64" s="88"/>
      <c r="B64" s="88"/>
      <c r="C64" s="349"/>
      <c r="D64" s="20"/>
      <c r="E64" s="25"/>
      <c r="F64" s="259"/>
      <c r="G64" s="25"/>
      <c r="H64" s="148"/>
      <c r="I64" s="151"/>
      <c r="J64" s="24"/>
    </row>
    <row r="65" spans="1:10" ht="18.75">
      <c r="A65" s="88"/>
      <c r="B65" s="88"/>
      <c r="C65" s="349"/>
      <c r="D65" s="20"/>
      <c r="E65" s="25"/>
      <c r="F65" s="259"/>
      <c r="G65" s="25"/>
      <c r="H65" s="148"/>
      <c r="I65" s="151"/>
      <c r="J65" s="24"/>
    </row>
    <row r="66" spans="1:10" ht="18.75">
      <c r="A66" s="88"/>
      <c r="B66" s="88"/>
      <c r="C66" s="349"/>
      <c r="D66" s="20"/>
      <c r="E66" s="25"/>
      <c r="F66" s="259"/>
      <c r="G66" s="25"/>
      <c r="H66" s="148"/>
      <c r="I66" s="151"/>
      <c r="J66" s="24"/>
    </row>
    <row r="67" spans="1:10" ht="19.5" thickBot="1">
      <c r="A67" s="88"/>
      <c r="B67" s="88"/>
      <c r="C67" s="351" t="s">
        <v>291</v>
      </c>
      <c r="D67" s="361"/>
      <c r="E67" s="45"/>
      <c r="F67" s="340"/>
      <c r="G67" s="45"/>
      <c r="H67" s="165"/>
      <c r="I67" s="166"/>
      <c r="J67" s="47">
        <f>SUM(J35:J66)</f>
        <v>0</v>
      </c>
    </row>
    <row r="68" spans="1:10" ht="18.75">
      <c r="A68" s="96" t="s">
        <v>241</v>
      </c>
      <c r="B68" s="96"/>
      <c r="C68" s="348"/>
      <c r="D68" s="20"/>
      <c r="E68" s="16"/>
      <c r="F68" s="338"/>
      <c r="G68" s="16"/>
      <c r="H68" s="160"/>
      <c r="I68" s="161"/>
      <c r="J68" s="19">
        <f t="shared" ref="J68:J98" si="2">I68</f>
        <v>0</v>
      </c>
    </row>
    <row r="69" spans="1:10" ht="18.75">
      <c r="A69" s="88"/>
      <c r="B69" s="88"/>
      <c r="C69" s="349"/>
      <c r="D69" s="20"/>
      <c r="E69" s="167"/>
      <c r="F69" s="341"/>
      <c r="G69" s="22"/>
      <c r="H69" s="148"/>
      <c r="I69" s="149"/>
      <c r="J69" s="24">
        <f t="shared" si="2"/>
        <v>0</v>
      </c>
    </row>
    <row r="70" spans="1:10" ht="18.75">
      <c r="A70" s="88"/>
      <c r="B70" s="88"/>
      <c r="C70" s="352"/>
      <c r="D70" s="20"/>
      <c r="E70" s="25"/>
      <c r="F70" s="259"/>
      <c r="G70" s="25"/>
      <c r="H70" s="163"/>
      <c r="I70" s="164"/>
      <c r="J70" s="41">
        <f t="shared" si="2"/>
        <v>0</v>
      </c>
    </row>
    <row r="71" spans="1:10" ht="18.75">
      <c r="A71" s="88"/>
      <c r="B71" s="88"/>
      <c r="C71" s="349"/>
      <c r="D71" s="20"/>
      <c r="E71" s="22"/>
      <c r="F71" s="259"/>
      <c r="G71" s="22"/>
      <c r="H71" s="148"/>
      <c r="I71" s="149"/>
      <c r="J71" s="24">
        <f t="shared" si="2"/>
        <v>0</v>
      </c>
    </row>
    <row r="72" spans="1:10" ht="18.75">
      <c r="A72" s="88"/>
      <c r="B72" s="88"/>
      <c r="C72" s="349"/>
      <c r="D72" s="20"/>
      <c r="E72" s="22"/>
      <c r="F72" s="259"/>
      <c r="G72" s="22"/>
      <c r="H72" s="168"/>
      <c r="I72" s="151"/>
      <c r="J72" s="24">
        <f t="shared" si="2"/>
        <v>0</v>
      </c>
    </row>
    <row r="73" spans="1:10" ht="18.75">
      <c r="A73" s="88"/>
      <c r="B73" s="88"/>
      <c r="C73" s="349"/>
      <c r="D73" s="20"/>
      <c r="E73" s="28"/>
      <c r="F73" s="259"/>
      <c r="G73" s="28"/>
      <c r="H73" s="169"/>
      <c r="I73" s="170"/>
      <c r="J73" s="30">
        <f t="shared" si="2"/>
        <v>0</v>
      </c>
    </row>
    <row r="74" spans="1:10" ht="18.75">
      <c r="A74" s="92"/>
      <c r="B74" s="92"/>
      <c r="C74" s="349"/>
      <c r="D74" s="20"/>
      <c r="E74" s="22"/>
      <c r="F74" s="259"/>
      <c r="G74" s="22"/>
      <c r="H74" s="148"/>
      <c r="I74" s="149"/>
      <c r="J74" s="24">
        <f t="shared" si="2"/>
        <v>0</v>
      </c>
    </row>
    <row r="75" spans="1:10" ht="19.5" thickBot="1">
      <c r="A75" s="93"/>
      <c r="B75" s="93"/>
      <c r="C75" s="353"/>
      <c r="D75" s="20"/>
      <c r="E75" s="25"/>
      <c r="F75" s="259"/>
      <c r="G75" s="33"/>
      <c r="H75" s="171"/>
      <c r="I75" s="172"/>
      <c r="J75" s="173">
        <f t="shared" si="2"/>
        <v>0</v>
      </c>
    </row>
    <row r="76" spans="1:10" ht="18.75">
      <c r="A76" s="96"/>
      <c r="B76" s="88"/>
      <c r="C76" s="352"/>
      <c r="D76" s="20"/>
      <c r="E76" s="25"/>
      <c r="F76" s="259"/>
      <c r="G76" s="25"/>
      <c r="H76" s="163"/>
      <c r="I76" s="164"/>
      <c r="J76" s="41">
        <f t="shared" si="2"/>
        <v>0</v>
      </c>
    </row>
    <row r="77" spans="1:10" ht="18.75">
      <c r="A77" s="88"/>
      <c r="B77" s="88"/>
      <c r="C77" s="353"/>
      <c r="D77" s="20"/>
      <c r="E77" s="25"/>
      <c r="F77" s="259"/>
      <c r="G77" s="36"/>
      <c r="H77" s="163"/>
      <c r="I77" s="164"/>
      <c r="J77" s="41">
        <f t="shared" si="2"/>
        <v>0</v>
      </c>
    </row>
    <row r="78" spans="1:10" ht="18.75">
      <c r="A78" s="88"/>
      <c r="B78" s="88"/>
      <c r="C78" s="353"/>
      <c r="D78" s="20"/>
      <c r="E78" s="25"/>
      <c r="F78" s="259"/>
      <c r="G78" s="25"/>
      <c r="H78" s="163"/>
      <c r="I78" s="164"/>
      <c r="J78" s="41">
        <f t="shared" si="2"/>
        <v>0</v>
      </c>
    </row>
    <row r="79" spans="1:10" ht="18.75">
      <c r="A79" s="88"/>
      <c r="B79" s="88"/>
      <c r="C79" s="353"/>
      <c r="D79" s="20"/>
      <c r="E79" s="25"/>
      <c r="F79" s="259"/>
      <c r="G79" s="25"/>
      <c r="H79" s="163"/>
      <c r="I79" s="164"/>
      <c r="J79" s="41">
        <f t="shared" si="2"/>
        <v>0</v>
      </c>
    </row>
    <row r="80" spans="1:10" ht="18.75">
      <c r="A80" s="88"/>
      <c r="B80" s="88"/>
      <c r="C80" s="353"/>
      <c r="D80" s="20"/>
      <c r="E80" s="25"/>
      <c r="F80" s="259"/>
      <c r="G80" s="25"/>
      <c r="H80" s="163"/>
      <c r="I80" s="164"/>
      <c r="J80" s="41">
        <f t="shared" si="2"/>
        <v>0</v>
      </c>
    </row>
    <row r="81" spans="1:10" ht="18.75">
      <c r="A81" s="88"/>
      <c r="B81" s="88"/>
      <c r="C81" s="353"/>
      <c r="D81" s="20"/>
      <c r="E81" s="25"/>
      <c r="F81" s="259"/>
      <c r="G81" s="25"/>
      <c r="H81" s="163"/>
      <c r="I81" s="164"/>
      <c r="J81" s="41">
        <f t="shared" si="2"/>
        <v>0</v>
      </c>
    </row>
    <row r="82" spans="1:10" ht="18.75">
      <c r="A82" s="88"/>
      <c r="B82" s="88"/>
      <c r="C82" s="353"/>
      <c r="D82" s="20"/>
      <c r="E82" s="25"/>
      <c r="F82" s="259"/>
      <c r="G82" s="25"/>
      <c r="H82" s="163"/>
      <c r="I82" s="164"/>
      <c r="J82" s="41">
        <f t="shared" si="2"/>
        <v>0</v>
      </c>
    </row>
    <row r="83" spans="1:10" ht="18.75">
      <c r="A83" s="88"/>
      <c r="B83" s="88"/>
      <c r="C83" s="353"/>
      <c r="D83" s="20"/>
      <c r="E83" s="25"/>
      <c r="F83" s="259"/>
      <c r="G83" s="25"/>
      <c r="H83" s="163"/>
      <c r="I83" s="164"/>
      <c r="J83" s="41">
        <f t="shared" si="2"/>
        <v>0</v>
      </c>
    </row>
    <row r="84" spans="1:10" ht="18.75">
      <c r="A84" s="88"/>
      <c r="B84" s="88"/>
      <c r="C84" s="353"/>
      <c r="D84" s="20"/>
      <c r="E84" s="25"/>
      <c r="F84" s="259"/>
      <c r="G84" s="25"/>
      <c r="H84" s="163"/>
      <c r="I84" s="164"/>
      <c r="J84" s="41">
        <f t="shared" si="2"/>
        <v>0</v>
      </c>
    </row>
    <row r="85" spans="1:10" ht="18.75">
      <c r="A85" s="88"/>
      <c r="B85" s="88"/>
      <c r="C85" s="353"/>
      <c r="D85" s="20"/>
      <c r="E85" s="25"/>
      <c r="F85" s="259"/>
      <c r="G85" s="25"/>
      <c r="H85" s="163"/>
      <c r="I85" s="164"/>
      <c r="J85" s="41">
        <f t="shared" si="2"/>
        <v>0</v>
      </c>
    </row>
    <row r="86" spans="1:10" ht="18.75">
      <c r="A86" s="88"/>
      <c r="B86" s="88"/>
      <c r="C86" s="353"/>
      <c r="D86" s="20"/>
      <c r="E86" s="25"/>
      <c r="F86" s="259"/>
      <c r="G86" s="25"/>
      <c r="H86" s="163"/>
      <c r="I86" s="164"/>
      <c r="J86" s="41">
        <f t="shared" si="2"/>
        <v>0</v>
      </c>
    </row>
    <row r="87" spans="1:10" ht="18.75">
      <c r="A87" s="88"/>
      <c r="B87" s="88"/>
      <c r="C87" s="353"/>
      <c r="D87" s="20"/>
      <c r="E87" s="25"/>
      <c r="F87" s="259"/>
      <c r="G87" s="25"/>
      <c r="H87" s="163"/>
      <c r="I87" s="164"/>
      <c r="J87" s="41">
        <f t="shared" si="2"/>
        <v>0</v>
      </c>
    </row>
    <row r="88" spans="1:10" ht="18.75">
      <c r="A88" s="88"/>
      <c r="B88" s="88"/>
      <c r="C88" s="353"/>
      <c r="D88" s="20"/>
      <c r="E88" s="25"/>
      <c r="F88" s="259"/>
      <c r="G88" s="25"/>
      <c r="H88" s="163"/>
      <c r="I88" s="164"/>
      <c r="J88" s="41">
        <f t="shared" si="2"/>
        <v>0</v>
      </c>
    </row>
    <row r="89" spans="1:10" ht="18.75">
      <c r="A89" s="88"/>
      <c r="B89" s="88"/>
      <c r="C89" s="353"/>
      <c r="D89" s="20"/>
      <c r="E89" s="25"/>
      <c r="F89" s="259"/>
      <c r="G89" s="25"/>
      <c r="H89" s="163"/>
      <c r="I89" s="164"/>
      <c r="J89" s="41">
        <f t="shared" si="2"/>
        <v>0</v>
      </c>
    </row>
    <row r="90" spans="1:10" ht="18.75">
      <c r="A90" s="88"/>
      <c r="B90" s="88"/>
      <c r="C90" s="353"/>
      <c r="D90" s="20"/>
      <c r="E90" s="25"/>
      <c r="F90" s="259"/>
      <c r="G90" s="25"/>
      <c r="H90" s="163"/>
      <c r="I90" s="164"/>
      <c r="J90" s="41">
        <f t="shared" si="2"/>
        <v>0</v>
      </c>
    </row>
    <row r="91" spans="1:10" ht="18.75">
      <c r="A91" s="88"/>
      <c r="B91" s="88"/>
      <c r="C91" s="353"/>
      <c r="D91" s="20"/>
      <c r="E91" s="25"/>
      <c r="F91" s="259"/>
      <c r="G91" s="25"/>
      <c r="H91" s="163"/>
      <c r="I91" s="164"/>
      <c r="J91" s="41">
        <f t="shared" si="2"/>
        <v>0</v>
      </c>
    </row>
    <row r="92" spans="1:10" ht="18.75">
      <c r="A92" s="88"/>
      <c r="B92" s="88"/>
      <c r="C92" s="353"/>
      <c r="D92" s="20"/>
      <c r="E92" s="25"/>
      <c r="F92" s="259"/>
      <c r="G92" s="25"/>
      <c r="H92" s="163"/>
      <c r="I92" s="164"/>
      <c r="J92" s="41">
        <f t="shared" si="2"/>
        <v>0</v>
      </c>
    </row>
    <row r="93" spans="1:10" ht="18.75">
      <c r="A93" s="88"/>
      <c r="B93" s="88"/>
      <c r="C93" s="353"/>
      <c r="D93" s="20"/>
      <c r="E93" s="25"/>
      <c r="F93" s="259"/>
      <c r="G93" s="25"/>
      <c r="H93" s="163"/>
      <c r="I93" s="164"/>
      <c r="J93" s="41">
        <f t="shared" si="2"/>
        <v>0</v>
      </c>
    </row>
    <row r="94" spans="1:10" s="75" customFormat="1" ht="18.75">
      <c r="A94" s="88"/>
      <c r="B94" s="88"/>
      <c r="C94" s="353"/>
      <c r="D94" s="20"/>
      <c r="E94" s="25"/>
      <c r="F94" s="259"/>
      <c r="G94" s="25"/>
      <c r="H94" s="163"/>
      <c r="I94" s="164"/>
      <c r="J94" s="41">
        <f>I94</f>
        <v>0</v>
      </c>
    </row>
    <row r="95" spans="1:10" s="71" customFormat="1" ht="18.75">
      <c r="A95" s="88"/>
      <c r="B95" s="88"/>
      <c r="C95" s="353"/>
      <c r="D95" s="20"/>
      <c r="E95" s="25"/>
      <c r="F95" s="259"/>
      <c r="G95" s="25"/>
      <c r="H95" s="163"/>
      <c r="I95" s="164"/>
      <c r="J95" s="41">
        <f t="shared" si="2"/>
        <v>0</v>
      </c>
    </row>
    <row r="96" spans="1:10" s="71" customFormat="1" ht="18.75">
      <c r="A96" s="88"/>
      <c r="B96" s="88"/>
      <c r="C96" s="353"/>
      <c r="D96" s="20"/>
      <c r="E96" s="25"/>
      <c r="F96" s="259"/>
      <c r="G96" s="25"/>
      <c r="H96" s="163"/>
      <c r="I96" s="164"/>
      <c r="J96" s="41">
        <f t="shared" si="2"/>
        <v>0</v>
      </c>
    </row>
    <row r="97" spans="1:10" s="71" customFormat="1" ht="18.75">
      <c r="A97" s="88"/>
      <c r="B97" s="88"/>
      <c r="C97" s="353"/>
      <c r="D97" s="20"/>
      <c r="E97" s="25"/>
      <c r="F97" s="259"/>
      <c r="G97" s="25"/>
      <c r="H97" s="163"/>
      <c r="I97" s="164"/>
      <c r="J97" s="41">
        <f t="shared" si="2"/>
        <v>0</v>
      </c>
    </row>
    <row r="98" spans="1:10" s="71" customFormat="1" ht="18.75">
      <c r="A98" s="88"/>
      <c r="B98" s="88"/>
      <c r="C98" s="353"/>
      <c r="D98" s="20"/>
      <c r="E98" s="25"/>
      <c r="F98" s="259"/>
      <c r="G98" s="25"/>
      <c r="H98" s="163"/>
      <c r="I98" s="164"/>
      <c r="J98" s="41">
        <f t="shared" si="2"/>
        <v>0</v>
      </c>
    </row>
    <row r="99" spans="1:10" ht="18.75">
      <c r="A99" s="88"/>
      <c r="B99" s="88"/>
      <c r="C99" s="354"/>
      <c r="D99" s="20"/>
      <c r="E99" s="114"/>
      <c r="F99" s="342"/>
      <c r="G99" s="114"/>
      <c r="H99" s="178"/>
      <c r="I99" s="179"/>
      <c r="J99" s="115">
        <f>I99</f>
        <v>0</v>
      </c>
    </row>
    <row r="100" spans="1:10" ht="18.75">
      <c r="A100" s="88"/>
      <c r="B100" s="88"/>
      <c r="C100" s="354"/>
      <c r="D100" s="20"/>
      <c r="E100" s="114"/>
      <c r="F100" s="342"/>
      <c r="G100" s="114"/>
      <c r="H100" s="178"/>
      <c r="I100" s="179"/>
      <c r="J100" s="115">
        <f>I100</f>
        <v>0</v>
      </c>
    </row>
    <row r="101" spans="1:10" ht="18.75">
      <c r="A101" s="88"/>
      <c r="B101" s="88"/>
      <c r="C101" s="354"/>
      <c r="D101" s="20"/>
      <c r="E101" s="114"/>
      <c r="F101" s="342"/>
      <c r="G101" s="114"/>
      <c r="H101" s="178"/>
      <c r="I101" s="179"/>
      <c r="J101" s="115">
        <f>I101</f>
        <v>0</v>
      </c>
    </row>
    <row r="102" spans="1:10" ht="18.75">
      <c r="A102" s="88"/>
      <c r="B102" s="88"/>
      <c r="C102" s="354"/>
      <c r="D102" s="20"/>
      <c r="E102" s="114"/>
      <c r="F102" s="342"/>
      <c r="G102" s="114"/>
      <c r="H102" s="178"/>
      <c r="I102" s="179"/>
      <c r="J102" s="115">
        <f>I102</f>
        <v>0</v>
      </c>
    </row>
    <row r="103" spans="1:10" ht="18.75">
      <c r="A103" s="88"/>
      <c r="B103" s="88"/>
      <c r="C103" s="354"/>
      <c r="D103" s="20"/>
      <c r="E103" s="114"/>
      <c r="F103" s="342"/>
      <c r="G103" s="114"/>
      <c r="H103" s="178"/>
      <c r="I103" s="179"/>
      <c r="J103" s="115"/>
    </row>
    <row r="104" spans="1:10" ht="18.75">
      <c r="A104" s="88"/>
      <c r="B104" s="88"/>
      <c r="C104" s="354"/>
      <c r="D104" s="20"/>
      <c r="E104" s="114"/>
      <c r="F104" s="342"/>
      <c r="G104" s="114"/>
      <c r="H104" s="178"/>
      <c r="I104" s="179"/>
      <c r="J104" s="115"/>
    </row>
    <row r="105" spans="1:10" ht="19.5" thickBot="1">
      <c r="A105" s="88"/>
      <c r="B105" s="88"/>
      <c r="C105" s="355" t="s">
        <v>291</v>
      </c>
      <c r="D105" s="361"/>
      <c r="E105" s="174"/>
      <c r="F105" s="340"/>
      <c r="G105" s="174"/>
      <c r="H105" s="175"/>
      <c r="I105" s="176"/>
      <c r="J105" s="177">
        <f>SUM(J68:J101)</f>
        <v>0</v>
      </c>
    </row>
    <row r="106" spans="1:10" ht="19.5" thickBot="1">
      <c r="A106" s="88"/>
      <c r="B106" s="88"/>
      <c r="C106" s="356"/>
      <c r="D106" s="362"/>
      <c r="E106" s="186"/>
      <c r="F106" s="343"/>
      <c r="G106" s="186"/>
      <c r="H106" s="187"/>
      <c r="I106" s="188"/>
      <c r="J106" s="189"/>
    </row>
    <row r="107" spans="1:10" ht="19.5" thickBot="1">
      <c r="A107" s="111"/>
      <c r="B107" s="111"/>
      <c r="C107" s="357" t="s">
        <v>292</v>
      </c>
      <c r="D107" s="363"/>
      <c r="E107" s="127"/>
      <c r="F107" s="344"/>
      <c r="G107" s="127"/>
      <c r="H107" s="139"/>
      <c r="I107" s="146"/>
      <c r="J107" s="128">
        <f>SUM(J34,J67,J105)</f>
        <v>0</v>
      </c>
    </row>
    <row r="108" spans="1:10" ht="18.75">
      <c r="A108" s="91"/>
      <c r="B108" s="91"/>
      <c r="C108" s="358"/>
      <c r="D108" s="364"/>
      <c r="E108" s="118"/>
      <c r="F108" s="345"/>
      <c r="G108" s="118"/>
      <c r="H108" s="140"/>
      <c r="I108" s="145"/>
      <c r="J108" s="123"/>
    </row>
    <row r="109" spans="1:10" ht="18.75">
      <c r="A109" s="91"/>
      <c r="B109" s="91"/>
      <c r="C109" s="358" t="s">
        <v>235</v>
      </c>
      <c r="D109" s="364"/>
      <c r="E109" s="118"/>
      <c r="F109" s="345"/>
      <c r="G109" s="118"/>
      <c r="H109" s="140"/>
      <c r="I109" s="145"/>
      <c r="J109" s="123">
        <f>J7</f>
        <v>0</v>
      </c>
    </row>
    <row r="110" spans="1:10" ht="18.75">
      <c r="A110" s="91"/>
      <c r="B110" s="91"/>
      <c r="C110" s="358" t="s">
        <v>232</v>
      </c>
      <c r="D110" s="364"/>
      <c r="E110" s="118"/>
      <c r="F110" s="345"/>
      <c r="G110" s="118"/>
      <c r="H110" s="140"/>
      <c r="I110" s="145"/>
      <c r="J110" s="123">
        <f>SUM(J107:J109)</f>
        <v>0</v>
      </c>
    </row>
    <row r="111" spans="1:10" ht="19.5" thickBot="1">
      <c r="A111" s="91"/>
      <c r="B111" s="91"/>
      <c r="C111" s="359" t="s">
        <v>236</v>
      </c>
      <c r="D111" s="361"/>
      <c r="E111" s="45"/>
      <c r="F111" s="340"/>
      <c r="G111" s="45"/>
      <c r="H111" s="141"/>
      <c r="I111" s="144"/>
      <c r="J111" s="24">
        <f>J110/3</f>
        <v>0</v>
      </c>
    </row>
  </sheetData>
  <dataValidations count="1">
    <dataValidation type="list" allowBlank="1" showInputMessage="1" showErrorMessage="1" prompt="Liste choix" sqref="D35:D66 D10:D33 D68:D104">
      <formula1>"REEBOU FAMILY,MOBILE 2016,PACK REEBOU FAMILY,MEDICIS,HORIZONT INVEST,RC ENSEIGNANT"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73" orientation="landscape" r:id="rId1"/>
  <headerFooter>
    <oddHeader>&amp;C&amp;"-,Gras"&amp;14COMMISSION JEFF DERAPPE 4èmeTRIMESTRE 2017</oddHeader>
    <oddFooter xml:space="preserve">&amp;L&amp;8&amp;Z&amp;F&amp;C&amp;7&amp;P/&amp;N&amp;RModfié le &amp;D </oddFooter>
  </headerFooter>
  <rowBreaks count="2" manualBreakCount="2">
    <brk id="34" max="9" man="1"/>
    <brk id="67" max="9" man="1"/>
  </rowBreaks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/>
  <dimension ref="A1:C31"/>
  <sheetViews>
    <sheetView workbookViewId="0"/>
  </sheetViews>
  <sheetFormatPr defaultColWidth="11.42578125" defaultRowHeight="15"/>
  <cols>
    <col min="1" max="1" width="18.140625" customWidth="1"/>
    <col min="2" max="2" width="26.85546875" customWidth="1"/>
    <col min="3" max="3" width="15" customWidth="1"/>
  </cols>
  <sheetData>
    <row r="1" spans="1:3">
      <c r="A1" t="s">
        <v>137</v>
      </c>
    </row>
    <row r="3" spans="1:3">
      <c r="A3" s="69" t="s">
        <v>303</v>
      </c>
      <c r="B3" s="68">
        <v>0.35</v>
      </c>
    </row>
    <row r="5" spans="1:3">
      <c r="A5" s="69" t="s">
        <v>138</v>
      </c>
      <c r="B5" t="s">
        <v>139</v>
      </c>
      <c r="C5" t="s">
        <v>180</v>
      </c>
    </row>
    <row r="7" spans="1:3">
      <c r="A7" s="69" t="s">
        <v>8</v>
      </c>
      <c r="B7" t="s">
        <v>176</v>
      </c>
      <c r="C7" t="s">
        <v>180</v>
      </c>
    </row>
    <row r="9" spans="1:3">
      <c r="A9" s="69" t="s">
        <v>151</v>
      </c>
    </row>
    <row r="10" spans="1:3">
      <c r="A10" t="s">
        <v>143</v>
      </c>
      <c r="B10" s="68">
        <v>0.04</v>
      </c>
    </row>
    <row r="11" spans="1:3">
      <c r="A11" t="s">
        <v>144</v>
      </c>
    </row>
    <row r="12" spans="1:3">
      <c r="A12" t="s">
        <v>140</v>
      </c>
      <c r="B12" s="68">
        <v>0.06</v>
      </c>
    </row>
    <row r="13" spans="1:3">
      <c r="A13" t="s">
        <v>141</v>
      </c>
      <c r="B13" s="68">
        <v>7.0000000000000007E-2</v>
      </c>
    </row>
    <row r="14" spans="1:3">
      <c r="A14" t="s">
        <v>142</v>
      </c>
      <c r="B14" s="68">
        <v>0.08</v>
      </c>
    </row>
    <row r="16" spans="1:3">
      <c r="A16" s="69" t="s">
        <v>145</v>
      </c>
      <c r="B16" s="68">
        <v>0.12</v>
      </c>
    </row>
    <row r="17" spans="1:2">
      <c r="A17" t="s">
        <v>182</v>
      </c>
      <c r="B17" s="68">
        <v>0.15</v>
      </c>
    </row>
    <row r="18" spans="1:2">
      <c r="A18" t="s">
        <v>299</v>
      </c>
      <c r="B18" s="68">
        <v>0.1</v>
      </c>
    </row>
    <row r="19" spans="1:2">
      <c r="A19" t="s">
        <v>300</v>
      </c>
      <c r="B19" s="68">
        <v>0.1</v>
      </c>
    </row>
    <row r="21" spans="1:2">
      <c r="A21" s="69" t="s">
        <v>146</v>
      </c>
      <c r="B21" s="68">
        <v>0.5</v>
      </c>
    </row>
    <row r="23" spans="1:2">
      <c r="A23" s="69" t="s">
        <v>147</v>
      </c>
      <c r="B23" s="183" t="s">
        <v>301</v>
      </c>
    </row>
    <row r="24" spans="1:2">
      <c r="A24" t="s">
        <v>180</v>
      </c>
      <c r="B24" t="s">
        <v>181</v>
      </c>
    </row>
    <row r="25" spans="1:2">
      <c r="A25" t="s">
        <v>148</v>
      </c>
      <c r="B25" t="s">
        <v>177</v>
      </c>
    </row>
    <row r="26" spans="1:2">
      <c r="A26" t="s">
        <v>149</v>
      </c>
      <c r="B26" t="s">
        <v>178</v>
      </c>
    </row>
    <row r="27" spans="1:2">
      <c r="A27" t="s">
        <v>150</v>
      </c>
      <c r="B27" t="s">
        <v>179</v>
      </c>
    </row>
    <row r="29" spans="1:2" ht="18.75">
      <c r="A29" s="77" t="s">
        <v>183</v>
      </c>
    </row>
    <row r="31" spans="1:2">
      <c r="A31" s="134" t="s">
        <v>449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0"/>
  <dimension ref="A1"/>
  <sheetViews>
    <sheetView workbookViewId="0">
      <selection activeCell="B32" sqref="B32"/>
    </sheetView>
  </sheetViews>
  <sheetFormatPr defaultColWidth="11.42578125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14</vt:i4>
      </vt:variant>
    </vt:vector>
  </HeadingPairs>
  <TitlesOfParts>
    <vt:vector size="24" baseType="lpstr">
      <vt:lpstr>2e trim 2016</vt:lpstr>
      <vt:lpstr>3ème trim 2016</vt:lpstr>
      <vt:lpstr>4ème trim 2016</vt:lpstr>
      <vt:lpstr>1er trim 2017</vt:lpstr>
      <vt:lpstr>2eme trim 2017 </vt:lpstr>
      <vt:lpstr>3eme trim 2017  </vt:lpstr>
      <vt:lpstr>Référence</vt:lpstr>
      <vt:lpstr>4eme trim 2017  </vt:lpstr>
      <vt:lpstr>méth.Calcul</vt:lpstr>
      <vt:lpstr>bareme com</vt:lpstr>
      <vt:lpstr>'1er trim 2017'!Print_Area</vt:lpstr>
      <vt:lpstr>'2e trim 2016'!Print_Area</vt:lpstr>
      <vt:lpstr>'2eme trim 2017 '!Print_Area</vt:lpstr>
      <vt:lpstr>'3ème trim 2016'!Print_Area</vt:lpstr>
      <vt:lpstr>'3eme trim 2017  '!Print_Area</vt:lpstr>
      <vt:lpstr>'4ème trim 2016'!Print_Area</vt:lpstr>
      <vt:lpstr>'4eme trim 2017  '!Print_Area</vt:lpstr>
      <vt:lpstr>'1er trim 2017'!Print_Titles</vt:lpstr>
      <vt:lpstr>'2e trim 2016'!Print_Titles</vt:lpstr>
      <vt:lpstr>'2eme trim 2017 '!Print_Titles</vt:lpstr>
      <vt:lpstr>'3ème trim 2016'!Print_Titles</vt:lpstr>
      <vt:lpstr>'3eme trim 2017  '!Print_Titles</vt:lpstr>
      <vt:lpstr>'4ème trim 2016'!Print_Titles</vt:lpstr>
      <vt:lpstr>'4eme trim 2017  '!Print_Titles</vt:lpstr>
    </vt:vector>
  </TitlesOfParts>
  <Company>Foyer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Carim</cp:lastModifiedBy>
  <cp:lastPrinted>2017-08-21T12:23:46Z</cp:lastPrinted>
  <dcterms:created xsi:type="dcterms:W3CDTF">2016-06-22T13:44:03Z</dcterms:created>
  <dcterms:modified xsi:type="dcterms:W3CDTF">2017-08-30T11:51:16Z</dcterms:modified>
</cp:coreProperties>
</file>