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21720" windowHeight="12435" tabRatio="780" activeTab="1"/>
  </bookViews>
  <sheets>
    <sheet name="Feuil1" sheetId="13" r:id="rId1"/>
    <sheet name="info bulletin" sheetId="11" r:id="rId2"/>
    <sheet name="Modèle Non Cadre" sheetId="1" r:id="rId3"/>
    <sheet name="Modèle Simplifié" sheetId="2" r:id="rId4"/>
    <sheet name="H SUP" sheetId="5" r:id="rId5"/>
    <sheet name="Abs_NR" sheetId="12" r:id="rId6"/>
    <sheet name="Abs_CP" sheetId="4" r:id="rId7"/>
    <sheet name="CP" sheetId="3" r:id="rId8"/>
    <sheet name="AN" sheetId="6" r:id="rId9"/>
    <sheet name="SAISIE" sheetId="9" r:id="rId10"/>
    <sheet name="divers" sheetId="7" r:id="rId11"/>
  </sheets>
  <definedNames>
    <definedName name="ABO_TR">AN!$B$58</definedName>
    <definedName name="ABS">Abs_CP!$A$1</definedName>
    <definedName name="ABS_CP">Abs_CP!$D$19</definedName>
    <definedName name="ABS_NR">Abs_NR!$A$1</definedName>
    <definedName name="ABSNR">Abs_NR!$D$19</definedName>
    <definedName name="ACOMPTE">'info bulletin'!$C$37</definedName>
    <definedName name="AN_ABO">'info bulletin'!$C$130</definedName>
    <definedName name="AN_EF">AN!$E$20</definedName>
    <definedName name="AN_LOG">AN!$E$27</definedName>
    <definedName name="AN_REPAS">'Modèle Non Cadre'!$F$26</definedName>
    <definedName name="AN_TECH">'info bulletin'!$C$129</definedName>
    <definedName name="AN_TECH_ABO">'Modèle Non Cadre'!$F$29</definedName>
    <definedName name="AN_TR">AN!$E$11</definedName>
    <definedName name="AN_VEH">'Modèle Non Cadre'!$F$28</definedName>
    <definedName name="AN_VEH_HA">AN!$B$50</definedName>
    <definedName name="AN_VEH_LOA">AN!$E$45</definedName>
    <definedName name="ANLOGEMENT">AN!$A$23</definedName>
    <definedName name="ANREPAS">AN!$A$13</definedName>
    <definedName name="ANTR">AN!$A$1</definedName>
    <definedName name="ANVEHICULE">AN!$A$34</definedName>
    <definedName name="BAREMES">SAISIE!$L$5:$L$15</definedName>
    <definedName name="BASE_HOR">'Modèle Non Cadre'!$D$17</definedName>
    <definedName name="BASE_SMIC">'info bulletin'!$F$18</definedName>
    <definedName name="BULLETIN">'Modèle Non Cadre'!$A$1</definedName>
    <definedName name="cODES">SAISIE!$J$5:$J$15</definedName>
    <definedName name="COT_TR">'info bulletin'!$C$30</definedName>
    <definedName name="CP">CP!$A$1</definedName>
    <definedName name="CP_JOUR">'info bulletin'!$C$63</definedName>
    <definedName name="CP_R_M">'info bulletin'!$C$64</definedName>
    <definedName name="CRDSND">'Modèle Non Cadre'!$F$74</definedName>
    <definedName name="CSGD">'Modèle Non Cadre'!$F$46</definedName>
    <definedName name="CSGND">'Modèle Non Cadre'!$F$73</definedName>
    <definedName name="D_ABS_CP">'info bulletin'!$C$56</definedName>
    <definedName name="D_ABS_NR">'info bulletin'!$C$49</definedName>
    <definedName name="EF_SAL">AN!$E$19</definedName>
    <definedName name="EVAL_FOR_REPAS">'info bulletin'!$C$95</definedName>
    <definedName name="F_ABS_CP">'info bulletin'!$C$57</definedName>
    <definedName name="F_ABS_NR">'info bulletin'!$C$50</definedName>
    <definedName name="FERIES">divers!$F$3:$F$15</definedName>
    <definedName name="H_10">'H SUP'!$D$3</definedName>
    <definedName name="H_25">'H SUP'!$D$4</definedName>
    <definedName name="H_50">'H SUP'!$D$5</definedName>
    <definedName name="H_ABS_CP">'info bulletin'!$C$58</definedName>
    <definedName name="H_ABS_NR">'info bulletin'!$C$51</definedName>
    <definedName name="H_R_W_M">'info bulletin'!$C$59</definedName>
    <definedName name="HS">'H SUP'!$A$1</definedName>
    <definedName name="ICCP">CP!$E$11</definedName>
    <definedName name="ICCPFRACT">CP!$E$34</definedName>
    <definedName name="INFO">'info bulletin'!$A$3</definedName>
    <definedName name="J_CP">CP!$B$5</definedName>
    <definedName name="J_EF">'info bulletin'!$C$96</definedName>
    <definedName name="J_PAQUES">divers!$F$4</definedName>
    <definedName name="J_TR">'info bulletin'!$C$86</definedName>
    <definedName name="MOIS_BULLETIN">'info bulletin'!$C$3</definedName>
    <definedName name="MUTUELLE">'info bulletin'!$C$31</definedName>
    <definedName name="NAP">'Modèle Non Cadre'!$F$100</definedName>
    <definedName name="NBRE_H_MOIS">'info bulletin'!$F$15</definedName>
    <definedName name="NBRE_H_SEM">'info bulletin'!$C$14</definedName>
    <definedName name="NBRE_J_SEM">'info bulletin'!$C$15</definedName>
    <definedName name="NBRE_PERS_CHAR">'info bulletin'!$F$10</definedName>
    <definedName name="NBRE_PIECES">'info bulletin'!$C$101</definedName>
    <definedName name="NBRE_SALARIES">'info bulletin'!$J$10</definedName>
    <definedName name="NetImposable">'Modèle Non Cadre'!$I$114</definedName>
    <definedName name="paques">CP!#REF!</definedName>
    <definedName name="PPAT_PREV_DC">'info bulletin'!$C$34</definedName>
    <definedName name="PPAT_TR">'info bulletin'!$C$90</definedName>
    <definedName name="PPMUT">'Modèle Non Cadre'!$I$66</definedName>
    <definedName name="PPPREVDC">'Modèle Non Cadre'!$I$67</definedName>
    <definedName name="PS">'info bulletin'!$C$17</definedName>
    <definedName name="PSAL_EF_REPAS">'info bulletin'!$C$94</definedName>
    <definedName name="PSAL_MUT">'info bulletin'!$C$32</definedName>
    <definedName name="PSAL_PREV_DC">'info bulletin'!$C$33</definedName>
    <definedName name="PSAL_TR">'info bulletin'!$C$89</definedName>
    <definedName name="PSS">'Modèle Non Cadre'!$B$13</definedName>
    <definedName name="qs">SAISIE!$B$8</definedName>
    <definedName name="qsp">SAISIE!$I$13</definedName>
    <definedName name="rmi">'info bulletin'!$C$140</definedName>
    <definedName name="RSA_Calcule">SAISIE!$N$5:$N$15</definedName>
    <definedName name="rsa_Insaisissable">SAISIE!$C$5</definedName>
    <definedName name="S_RTT">'info bulletin'!$C$25</definedName>
    <definedName name="SAISIE">SAISIE!$A$3</definedName>
    <definedName name="SAISIE_SAL">SAISIE!$I$15</definedName>
    <definedName name="salmensu">SAISIE!$B$4</definedName>
    <definedName name="SALREFANLOGEMENT">'info bulletin'!#REF!</definedName>
    <definedName name="SBASE">'info bulletin'!$C$16</definedName>
    <definedName name="SBRUT">'Modèle Non Cadre'!$F$43</definedName>
    <definedName name="SMIC_M">'info bulletin'!$C$18</definedName>
    <definedName name="SNAR">'Modèle Non Cadre'!$F$82</definedName>
    <definedName name="SoldeICCPMaintien">CP!$C$28</definedName>
    <definedName name="SoldeICCPN">'Modèle Non Cadre'!$F$35</definedName>
    <definedName name="SoldeICCPN1">CP!$B$20</definedName>
    <definedName name="SoldeICCPNR10">CP!$B$28</definedName>
    <definedName name="TAT">'info bulletin'!$C$28</definedName>
    <definedName name="TATD">'info bulletin'!$C$27</definedName>
    <definedName name="TATM">'info bulletin'!$C$26</definedName>
    <definedName name="totcotpat">'Modèle Non Cadre'!$I$81</definedName>
    <definedName name="totcotsal">'Modèle Non Cadre'!$F$81</definedName>
    <definedName name="TotMajo">SAISIE!$C$6</definedName>
    <definedName name="TOTRET">'Modèle Non Cadre'!$F$98</definedName>
    <definedName name="TR_SAL">AN!$E$10</definedName>
    <definedName name="TX_10">'info bulletin'!$C$21</definedName>
    <definedName name="TX_25">'info bulletin'!$C$22</definedName>
    <definedName name="TX_50">'info bulletin'!$C$23</definedName>
    <definedName name="TX_CHOM">'info bulletin'!$C$29</definedName>
    <definedName name="TX_HOR">'info bulletin'!$C$20</definedName>
    <definedName name="V_F_TR">'info bulletin'!$C$87</definedName>
    <definedName name="vMax_PP_TR">'info bulletin'!$C$88</definedName>
  </definedNames>
  <calcPr calcId="125725"/>
  <fileRecoveryPr autoRecover="0"/>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F95" i="1"/>
  <c r="B3" i="4"/>
  <c r="C18" i="11"/>
  <c r="D102"/>
  <c r="C103" s="1"/>
  <c r="A27" i="6" s="1"/>
  <c r="B33" i="3"/>
  <c r="B32"/>
  <c r="B26"/>
  <c r="C24"/>
  <c r="B24"/>
  <c r="B25" s="1"/>
  <c r="C23"/>
  <c r="B19"/>
  <c r="B16"/>
  <c r="B7"/>
  <c r="B6"/>
  <c r="B20" l="1"/>
  <c r="C72" i="11" s="1"/>
  <c r="F34" i="1"/>
  <c r="E42" i="11" l="1"/>
  <c r="F15"/>
  <c r="D7" i="12" l="1"/>
  <c r="D7" i="4"/>
  <c r="F3" i="3"/>
  <c r="F2" i="7"/>
  <c r="F12" s="1"/>
  <c r="F15" l="1"/>
  <c r="F4"/>
  <c r="F13"/>
  <c r="F14"/>
  <c r="F6"/>
  <c r="F3"/>
  <c r="F7"/>
  <c r="F11"/>
  <c r="B17" i="3"/>
  <c r="B18" s="1"/>
  <c r="D20" i="1"/>
  <c r="B4" i="6"/>
  <c r="F9" i="7" l="1"/>
  <c r="F10"/>
  <c r="F8"/>
  <c r="F5"/>
  <c r="A19" i="1"/>
  <c r="C90" i="11"/>
  <c r="C28"/>
  <c r="C4" i="7"/>
  <c r="C29" i="11"/>
  <c r="H58" i="1" s="1"/>
  <c r="B57" i="5" l="1"/>
  <c r="B58"/>
  <c r="C60"/>
  <c r="C61" s="1"/>
  <c r="H67" i="1" l="1"/>
  <c r="E67"/>
  <c r="C3" i="7" l="1"/>
  <c r="C2"/>
  <c r="D27" i="6" l="1"/>
  <c r="B27"/>
  <c r="A31" i="1" l="1"/>
  <c r="D19"/>
  <c r="D18" i="12"/>
  <c r="B12"/>
  <c r="B11"/>
  <c r="B8"/>
  <c r="B7"/>
  <c r="C11" s="1"/>
  <c r="B3"/>
  <c r="F4"/>
  <c r="C13" s="1"/>
  <c r="F3"/>
  <c r="B13" s="1"/>
  <c r="D13" l="1"/>
  <c r="E13"/>
  <c r="E11"/>
  <c r="D11"/>
  <c r="B17"/>
  <c r="B16"/>
  <c r="D19" s="1"/>
  <c r="F19" i="1" s="1"/>
  <c r="D43" i="6"/>
  <c r="A43"/>
  <c r="B43" s="1"/>
  <c r="D8" i="12" l="1"/>
  <c r="C12" s="1"/>
  <c r="B23"/>
  <c r="B21"/>
  <c r="I12" i="1"/>
  <c r="H12" i="2" s="1"/>
  <c r="F11" i="1"/>
  <c r="F11" i="2" s="1"/>
  <c r="F12" i="1"/>
  <c r="F12" i="2" s="1"/>
  <c r="H10" i="1"/>
  <c r="G10" i="2" s="1"/>
  <c r="F10" i="1"/>
  <c r="F10" i="2" s="1"/>
  <c r="H6" i="1"/>
  <c r="F6" i="2" s="1"/>
  <c r="H5" i="1"/>
  <c r="H5" i="2" s="1"/>
  <c r="F5" i="1"/>
  <c r="F5" i="2" s="1"/>
  <c r="F3" i="1"/>
  <c r="F3" i="2" s="1"/>
  <c r="F4" i="1"/>
  <c r="F4" i="2" s="1"/>
  <c r="F2" i="1"/>
  <c r="F2" i="2" s="1"/>
  <c r="B4" i="1"/>
  <c r="B4" i="2" s="1"/>
  <c r="B12" i="1"/>
  <c r="B11" i="2" s="1"/>
  <c r="B11" i="1"/>
  <c r="B10" i="2" s="1"/>
  <c r="B10" i="1"/>
  <c r="B9" i="2" s="1"/>
  <c r="B9" i="1"/>
  <c r="B8" i="2" s="1"/>
  <c r="B8" i="1"/>
  <c r="B7" i="2" s="1"/>
  <c r="B7" i="1"/>
  <c r="B6" i="2" s="1"/>
  <c r="B56" i="6"/>
  <c r="B55"/>
  <c r="C58" s="1"/>
  <c r="C139" i="11"/>
  <c r="B6" i="9"/>
  <c r="F96" i="1"/>
  <c r="D25"/>
  <c r="D24"/>
  <c r="D23"/>
  <c r="C130" i="11"/>
  <c r="C129"/>
  <c r="B48" i="6"/>
  <c r="B47"/>
  <c r="E37"/>
  <c r="E38"/>
  <c r="E39"/>
  <c r="E36"/>
  <c r="B37"/>
  <c r="B38"/>
  <c r="B39"/>
  <c r="B36"/>
  <c r="C27"/>
  <c r="E27" s="1"/>
  <c r="C104" i="11" s="1"/>
  <c r="H75" i="1"/>
  <c r="H66"/>
  <c r="E66"/>
  <c r="D66"/>
  <c r="B17" i="6"/>
  <c r="B16"/>
  <c r="B15"/>
  <c r="B7"/>
  <c r="B6"/>
  <c r="E7"/>
  <c r="B5"/>
  <c r="F37" i="1"/>
  <c r="E4" i="3"/>
  <c r="E3"/>
  <c r="D31" i="1"/>
  <c r="B4" i="3"/>
  <c r="B3"/>
  <c r="B12" i="4"/>
  <c r="B11"/>
  <c r="F4"/>
  <c r="D13" s="1"/>
  <c r="F3"/>
  <c r="B8"/>
  <c r="B7"/>
  <c r="D18"/>
  <c r="D21" i="1"/>
  <c r="F22"/>
  <c r="F30"/>
  <c r="F21"/>
  <c r="H53"/>
  <c r="F17"/>
  <c r="D17"/>
  <c r="F18" i="11" s="1"/>
  <c r="F18" i="1" l="1"/>
  <c r="E10" i="6"/>
  <c r="C91" i="11" s="1"/>
  <c r="B16" i="4"/>
  <c r="D19" s="1"/>
  <c r="C61" i="11" s="1"/>
  <c r="F17"/>
  <c r="B13" i="1" s="1"/>
  <c r="B12" i="2" s="1"/>
  <c r="B5" i="3"/>
  <c r="C11" i="4"/>
  <c r="D11"/>
  <c r="E12" i="12"/>
  <c r="B22" s="1"/>
  <c r="D12"/>
  <c r="B20" s="1"/>
  <c r="B11" i="3"/>
  <c r="B10"/>
  <c r="C25" s="1"/>
  <c r="C28" s="1"/>
  <c r="B27"/>
  <c r="B28" s="1"/>
  <c r="F29" i="1"/>
  <c r="F91" s="1"/>
  <c r="C20" i="11"/>
  <c r="B58" i="6"/>
  <c r="F94" i="1" s="1"/>
  <c r="F66"/>
  <c r="H79"/>
  <c r="D77"/>
  <c r="I77" s="1"/>
  <c r="H70"/>
  <c r="E10" i="3" l="1"/>
  <c r="E9"/>
  <c r="F35" i="1"/>
  <c r="C78" i="11" s="1"/>
  <c r="C21"/>
  <c r="E23" i="1" s="1"/>
  <c r="F23" s="1"/>
  <c r="E20"/>
  <c r="F20" s="1"/>
  <c r="C23" i="11"/>
  <c r="E25" i="1" s="1"/>
  <c r="C22" i="11"/>
  <c r="E24" i="1" s="1"/>
  <c r="I66"/>
  <c r="G6" i="9" l="1"/>
  <c r="G7"/>
  <c r="G8"/>
  <c r="G9"/>
  <c r="G5"/>
  <c r="G4"/>
  <c r="G10"/>
  <c r="D10"/>
  <c r="D9"/>
  <c r="D8"/>
  <c r="D7"/>
  <c r="D6"/>
  <c r="D5"/>
  <c r="F4"/>
  <c r="F6" l="1"/>
  <c r="F10"/>
  <c r="F8"/>
  <c r="F9"/>
  <c r="F5"/>
  <c r="F7"/>
  <c r="K13" i="5" l="1"/>
  <c r="M16" l="1"/>
  <c r="M17"/>
  <c r="M18"/>
  <c r="M19"/>
  <c r="M20"/>
  <c r="M21"/>
  <c r="M22"/>
  <c r="M23"/>
  <c r="M24"/>
  <c r="M25"/>
  <c r="M26"/>
  <c r="M27"/>
  <c r="L16"/>
  <c r="L17"/>
  <c r="L18"/>
  <c r="L19"/>
  <c r="L20"/>
  <c r="L21"/>
  <c r="L22"/>
  <c r="L23"/>
  <c r="L24"/>
  <c r="L25"/>
  <c r="L26"/>
  <c r="L27"/>
  <c r="K12"/>
  <c r="K14"/>
  <c r="K15"/>
  <c r="K16"/>
  <c r="K17"/>
  <c r="K18"/>
  <c r="K19"/>
  <c r="K20"/>
  <c r="K21"/>
  <c r="K22"/>
  <c r="K23"/>
  <c r="K24"/>
  <c r="K25"/>
  <c r="K26"/>
  <c r="K27"/>
  <c r="K11"/>
  <c r="L11" l="1"/>
  <c r="L13" s="1"/>
  <c r="L15" s="1"/>
  <c r="M15" s="1"/>
  <c r="L12"/>
  <c r="L14" s="1"/>
  <c r="M14" s="1"/>
  <c r="M11" l="1"/>
  <c r="M13"/>
  <c r="M12"/>
  <c r="B21" i="4"/>
  <c r="C13"/>
  <c r="B34" i="3" l="1"/>
  <c r="E34" s="1"/>
  <c r="F36" i="1" l="1"/>
  <c r="C82" i="11"/>
  <c r="F33" i="1"/>
  <c r="E20" i="6"/>
  <c r="C98" i="11" s="1"/>
  <c r="E19" i="6"/>
  <c r="C97" i="11" s="1"/>
  <c r="F92" i="1"/>
  <c r="B45" i="6"/>
  <c r="B50" s="1"/>
  <c r="E8"/>
  <c r="E11" s="1"/>
  <c r="F26" i="1" s="1"/>
  <c r="E43" i="6"/>
  <c r="E45" s="1"/>
  <c r="C124" i="11" s="1"/>
  <c r="B8" i="7"/>
  <c r="B12"/>
  <c r="A33" i="5"/>
  <c r="G31"/>
  <c r="H31" s="1"/>
  <c r="F31"/>
  <c r="G30"/>
  <c r="F30"/>
  <c r="G29"/>
  <c r="F29"/>
  <c r="G28"/>
  <c r="H28" s="1"/>
  <c r="F28"/>
  <c r="G27"/>
  <c r="F27"/>
  <c r="G26"/>
  <c r="H26" s="1"/>
  <c r="F26"/>
  <c r="G25"/>
  <c r="F25"/>
  <c r="G24"/>
  <c r="F24"/>
  <c r="G23"/>
  <c r="F23"/>
  <c r="G22"/>
  <c r="F22"/>
  <c r="G21"/>
  <c r="F21"/>
  <c r="G20"/>
  <c r="H20" s="1"/>
  <c r="F20"/>
  <c r="G19"/>
  <c r="F19"/>
  <c r="G18"/>
  <c r="H18" s="1"/>
  <c r="F18"/>
  <c r="G17"/>
  <c r="F17"/>
  <c r="G16"/>
  <c r="H16" s="1"/>
  <c r="F16"/>
  <c r="G15"/>
  <c r="F15"/>
  <c r="G14"/>
  <c r="H14" s="1"/>
  <c r="F14"/>
  <c r="G13"/>
  <c r="F13"/>
  <c r="G12"/>
  <c r="H12" s="1"/>
  <c r="F12"/>
  <c r="G11"/>
  <c r="F11"/>
  <c r="G10"/>
  <c r="H10" s="1"/>
  <c r="F10"/>
  <c r="G9"/>
  <c r="F9"/>
  <c r="D35" i="1"/>
  <c r="D34"/>
  <c r="E13" i="4"/>
  <c r="B13"/>
  <c r="B17" s="1"/>
  <c r="E11"/>
  <c r="H27" i="5" l="1"/>
  <c r="H30"/>
  <c r="B23" i="4"/>
  <c r="C114" i="11"/>
  <c r="F28" i="1"/>
  <c r="F90" s="1"/>
  <c r="C92" i="11"/>
  <c r="F87" i="1"/>
  <c r="F86"/>
  <c r="H13" i="5"/>
  <c r="H29"/>
  <c r="F27" i="1"/>
  <c r="F89" s="1"/>
  <c r="B59" i="6"/>
  <c r="H9" i="5"/>
  <c r="H11"/>
  <c r="H15"/>
  <c r="H17"/>
  <c r="H21"/>
  <c r="H24"/>
  <c r="H19"/>
  <c r="H23"/>
  <c r="H25"/>
  <c r="F33"/>
  <c r="H22"/>
  <c r="F4" i="3"/>
  <c r="B8" s="1"/>
  <c r="D8" i="4"/>
  <c r="H4" s="1"/>
  <c r="L28" i="5"/>
  <c r="L30" s="1"/>
  <c r="G33"/>
  <c r="E17" i="1"/>
  <c r="E12" i="4" l="1"/>
  <c r="B22" s="1"/>
  <c r="D12"/>
  <c r="B20" s="1"/>
  <c r="C12"/>
  <c r="B9" i="3"/>
  <c r="F88" i="1"/>
  <c r="H33" i="5"/>
  <c r="H35" s="1"/>
  <c r="M28"/>
  <c r="M30" s="1"/>
  <c r="F24" i="1"/>
  <c r="F25"/>
  <c r="B18" i="12" l="1"/>
  <c r="D32" i="1"/>
  <c r="B19" i="12" l="1"/>
  <c r="C67" i="11"/>
  <c r="B18" i="4"/>
  <c r="B19"/>
  <c r="D43" i="1"/>
  <c r="F31" l="1"/>
  <c r="E11" i="3"/>
  <c r="F32" i="1" l="1"/>
  <c r="F43" s="1"/>
  <c r="K2" s="1"/>
  <c r="C68" i="11"/>
  <c r="D50" i="1" l="1"/>
  <c r="F50" s="1"/>
  <c r="D67"/>
  <c r="D52"/>
  <c r="D76"/>
  <c r="I76" s="1"/>
  <c r="D75"/>
  <c r="I75" s="1"/>
  <c r="D62"/>
  <c r="I62" s="1"/>
  <c r="D49"/>
  <c r="F49" s="1"/>
  <c r="D70"/>
  <c r="I70" s="1"/>
  <c r="D79"/>
  <c r="I79" s="1"/>
  <c r="D65"/>
  <c r="I65" s="1"/>
  <c r="D58"/>
  <c r="I58" s="1"/>
  <c r="H52"/>
  <c r="D55"/>
  <c r="I55" s="1"/>
  <c r="D72"/>
  <c r="I72" s="1"/>
  <c r="D78"/>
  <c r="I78" s="1"/>
  <c r="D64"/>
  <c r="I64" s="1"/>
  <c r="D71"/>
  <c r="I71" s="1"/>
  <c r="D63"/>
  <c r="I63" s="1"/>
  <c r="D51"/>
  <c r="I51" s="1"/>
  <c r="D53"/>
  <c r="I53" s="1"/>
  <c r="D59"/>
  <c r="I59" s="1"/>
  <c r="I67" l="1"/>
  <c r="D54" s="1"/>
  <c r="F67"/>
  <c r="I52"/>
  <c r="F58"/>
  <c r="F62"/>
  <c r="I50"/>
  <c r="F51"/>
  <c r="F63"/>
  <c r="F64"/>
  <c r="F65"/>
  <c r="I49"/>
  <c r="I54" l="1"/>
  <c r="I81" s="1"/>
  <c r="D46"/>
  <c r="F46" s="1"/>
  <c r="D74"/>
  <c r="F74" s="1"/>
  <c r="D73"/>
  <c r="F73" s="1"/>
  <c r="I100" l="1"/>
  <c r="K4"/>
  <c r="F81"/>
  <c r="K3" s="1"/>
  <c r="F82" l="1"/>
  <c r="B4" i="9"/>
  <c r="I7" s="1"/>
  <c r="K5" i="1" l="1"/>
  <c r="B8" i="9"/>
  <c r="I13" s="1"/>
  <c r="I4"/>
  <c r="K4" s="1"/>
  <c r="I5"/>
  <c r="I6"/>
  <c r="I10"/>
  <c r="I8"/>
  <c r="K9"/>
  <c r="K7"/>
  <c r="K10"/>
  <c r="K8"/>
  <c r="K5"/>
  <c r="I9"/>
  <c r="K6"/>
  <c r="I12" l="1"/>
  <c r="B10"/>
  <c r="B9"/>
  <c r="I11"/>
  <c r="I15" l="1"/>
  <c r="F85" i="1" s="1"/>
  <c r="C141" i="11" l="1"/>
  <c r="F98" i="1"/>
  <c r="F100" l="1"/>
  <c r="K6"/>
  <c r="H114" l="1"/>
  <c r="I114"/>
  <c r="K8" s="1"/>
  <c r="H104"/>
  <c r="K7"/>
</calcChain>
</file>

<file path=xl/comments1.xml><?xml version="1.0" encoding="utf-8"?>
<comments xmlns="http://schemas.openxmlformats.org/spreadsheetml/2006/main">
  <authors>
    <author>Sandrine MORALES</author>
    <author>cl104188</author>
  </authors>
  <commentList>
    <comment ref="L53" authorId="0">
      <text>
        <r>
          <rPr>
            <b/>
            <sz val="9"/>
            <color indexed="81"/>
            <rFont val="Tahoma"/>
            <family val="2"/>
          </rPr>
          <t>Sandrine MORALES:</t>
        </r>
        <r>
          <rPr>
            <sz val="9"/>
            <color indexed="81"/>
            <rFont val="Tahoma"/>
            <family val="2"/>
          </rPr>
          <t xml:space="preserve">
Méthode qui a fait JURISPRUDENCE3
(h ABS * SB ) / h réèlles</t>
        </r>
      </text>
    </comment>
    <comment ref="L54" authorId="1">
      <text>
        <r>
          <rPr>
            <b/>
            <sz val="9"/>
            <color indexed="81"/>
            <rFont val="Tahoma"/>
            <family val="2"/>
          </rPr>
          <t>cl104188:</t>
        </r>
        <r>
          <rPr>
            <sz val="9"/>
            <color indexed="81"/>
            <rFont val="Tahoma"/>
            <family val="2"/>
          </rPr>
          <t xml:space="preserve">
(h abs * SB ) / h mensuel moyen -&gt; 35h =151,67)</t>
        </r>
      </text>
    </comment>
    <comment ref="L55" authorId="1">
      <text>
        <r>
          <rPr>
            <b/>
            <sz val="9"/>
            <color indexed="81"/>
            <rFont val="Tahoma"/>
            <family val="2"/>
          </rPr>
          <t>cl104188:</t>
        </r>
        <r>
          <rPr>
            <sz val="9"/>
            <color indexed="81"/>
            <rFont val="Tahoma"/>
            <family val="2"/>
          </rPr>
          <t xml:space="preserve">
(j abs * SB ) / nbre jours réèls</t>
        </r>
      </text>
    </comment>
    <comment ref="L56" authorId="1">
      <text>
        <r>
          <rPr>
            <b/>
            <sz val="9"/>
            <color indexed="81"/>
            <rFont val="Tahoma"/>
            <family val="2"/>
          </rPr>
          <t>cl104188:</t>
        </r>
        <r>
          <rPr>
            <sz val="9"/>
            <color indexed="81"/>
            <rFont val="Tahoma"/>
            <family val="2"/>
          </rPr>
          <t xml:space="preserve">
(j abs * SB) / nbre jours moyen (35h-&gt;21,67)
</t>
        </r>
      </text>
    </comment>
    <comment ref="L57" authorId="1">
      <text>
        <r>
          <rPr>
            <b/>
            <sz val="9"/>
            <color indexed="81"/>
            <rFont val="Tahoma"/>
            <family val="2"/>
          </rPr>
          <t>cl104188:</t>
        </r>
        <r>
          <rPr>
            <sz val="9"/>
            <color indexed="81"/>
            <rFont val="Tahoma"/>
            <family val="2"/>
          </rPr>
          <t xml:space="preserve">
( J abs * SB ) / j ouvrables réèls</t>
        </r>
      </text>
    </comment>
    <comment ref="L58" authorId="1">
      <text>
        <r>
          <rPr>
            <b/>
            <sz val="9"/>
            <color indexed="81"/>
            <rFont val="Tahoma"/>
            <family val="2"/>
          </rPr>
          <t xml:space="preserve">cl104188:
</t>
        </r>
        <r>
          <rPr>
            <sz val="9"/>
            <color indexed="81"/>
            <rFont val="Tahoma"/>
            <family val="2"/>
          </rPr>
          <t>( J abs / sb ) / Nbre J ouvrables ( 35h-&gt; 26</t>
        </r>
        <r>
          <rPr>
            <b/>
            <sz val="9"/>
            <color indexed="81"/>
            <rFont val="Tahoma"/>
            <family val="2"/>
          </rPr>
          <t xml:space="preserve">)
</t>
        </r>
      </text>
    </comment>
    <comment ref="B75" authorId="0">
      <text>
        <r>
          <rPr>
            <b/>
            <sz val="9"/>
            <color indexed="81"/>
            <rFont val="Tahoma"/>
            <family val="2"/>
          </rPr>
          <t>Sandrine MORALES:</t>
        </r>
        <r>
          <rPr>
            <sz val="9"/>
            <color indexed="81"/>
            <rFont val="Tahoma"/>
            <family val="2"/>
          </rPr>
          <t xml:space="preserve">
Prendre le mois en cours avec le solde des CP de N-1, on prends la prime de précarité dans le calcul du solde des CP
</t>
        </r>
      </text>
    </comment>
    <comment ref="B77" authorId="0">
      <text>
        <r>
          <rPr>
            <b/>
            <sz val="9"/>
            <color indexed="81"/>
            <rFont val="Tahoma"/>
            <family val="2"/>
          </rPr>
          <t>Sandrine MORALES:</t>
        </r>
        <r>
          <rPr>
            <sz val="9"/>
            <color indexed="81"/>
            <rFont val="Tahoma"/>
            <family val="2"/>
          </rPr>
          <t xml:space="preserve">
L'Ets peut parfois offrir 1 ou 2 jours de plus aux salariés, il faut donc recalculer l'ICCP </t>
        </r>
      </text>
    </comment>
    <comment ref="B80" authorId="0">
      <text>
        <r>
          <rPr>
            <b/>
            <sz val="9"/>
            <color indexed="81"/>
            <rFont val="Tahoma"/>
            <family val="2"/>
          </rPr>
          <t>Sandrine MORALES:</t>
        </r>
        <r>
          <rPr>
            <sz val="9"/>
            <color indexed="81"/>
            <rFont val="Tahoma"/>
            <family val="2"/>
          </rPr>
          <t xml:space="preserve">
1ou 2 jours de fractionnement
</t>
        </r>
      </text>
    </comment>
    <comment ref="B91" authorId="1">
      <text>
        <r>
          <rPr>
            <b/>
            <sz val="9"/>
            <color indexed="81"/>
            <rFont val="Tahoma"/>
            <family val="2"/>
          </rPr>
          <t>cl104188:</t>
        </r>
        <r>
          <rPr>
            <sz val="9"/>
            <color indexed="81"/>
            <rFont val="Tahoma"/>
            <family val="2"/>
          </rPr>
          <t xml:space="preserve">
Nbre de jours * Valeur faciale * Part salariale en %
</t>
        </r>
      </text>
    </comment>
    <comment ref="B97" authorId="1">
      <text>
        <r>
          <rPr>
            <b/>
            <sz val="9"/>
            <color indexed="81"/>
            <rFont val="Tahoma"/>
            <family val="2"/>
          </rPr>
          <t>cl104188:</t>
        </r>
        <r>
          <rPr>
            <sz val="9"/>
            <color indexed="81"/>
            <rFont val="Tahoma"/>
            <family val="2"/>
          </rPr>
          <t xml:space="preserve">
nbre de jours * part salariale
</t>
        </r>
      </text>
    </comment>
    <comment ref="B98" authorId="0">
      <text>
        <r>
          <rPr>
            <b/>
            <sz val="9"/>
            <color indexed="81"/>
            <rFont val="Tahoma"/>
            <family val="2"/>
          </rPr>
          <t>Sandrine MORALES:</t>
        </r>
        <r>
          <rPr>
            <sz val="9"/>
            <color indexed="81"/>
            <rFont val="Tahoma"/>
            <family val="2"/>
          </rPr>
          <t xml:space="preserve">
Si part salariale &gt; 50% de l'évaluation forfaitaire alors je dois faire remonter : 
( Evaluation forfaitaire - Part salariale) * nbre de jours</t>
        </r>
      </text>
    </comment>
    <comment ref="L108" authorId="0">
      <text>
        <r>
          <rPr>
            <b/>
            <sz val="9"/>
            <color indexed="81"/>
            <rFont val="Tahoma"/>
            <family val="2"/>
          </rPr>
          <t>Sandrine MORALES:</t>
        </r>
        <r>
          <rPr>
            <sz val="9"/>
            <color indexed="81"/>
            <rFont val="Tahoma"/>
            <family val="2"/>
          </rPr>
          <t xml:space="preserve">
Pour le forfait on ne prends que le prix d'achat du véhicule</t>
        </r>
      </text>
    </comment>
    <comment ref="B112" authorId="1">
      <text>
        <r>
          <rPr>
            <b/>
            <sz val="9"/>
            <color indexed="81"/>
            <rFont val="Tahoma"/>
            <family val="2"/>
          </rPr>
          <t>cl104188:</t>
        </r>
        <r>
          <rPr>
            <sz val="9"/>
            <color indexed="81"/>
            <rFont val="Tahoma"/>
            <family val="2"/>
          </rPr>
          <t xml:space="preserve">
UNIQUEMENT SUR LA METHODE AU REEL </t>
        </r>
      </text>
    </comment>
    <comment ref="L118" authorId="0">
      <text>
        <r>
          <rPr>
            <b/>
            <sz val="9"/>
            <color indexed="81"/>
            <rFont val="Tahoma"/>
            <family val="2"/>
          </rPr>
          <t>Sandrine MORALES:</t>
        </r>
        <r>
          <rPr>
            <sz val="9"/>
            <color indexed="81"/>
            <rFont val="Tahoma"/>
            <family val="2"/>
          </rPr>
          <t xml:space="preserve">
On prends la totalite du cout global (loc + assurance + frais ) que l'on ramène au mois</t>
        </r>
      </text>
    </comment>
    <comment ref="L119" authorId="0">
      <text>
        <r>
          <rPr>
            <b/>
            <sz val="9"/>
            <color indexed="81"/>
            <rFont val="Tahoma"/>
            <family val="2"/>
          </rPr>
          <t>Sandrine MORALES:</t>
        </r>
        <r>
          <rPr>
            <sz val="9"/>
            <color indexed="81"/>
            <rFont val="Tahoma"/>
            <family val="2"/>
          </rPr>
          <t xml:space="preserve">
On prends un % du cout global ( loc + assuance + frais ) que l'on ramène au mois
</t>
        </r>
      </text>
    </comment>
  </commentList>
</comments>
</file>

<file path=xl/comments2.xml><?xml version="1.0" encoding="utf-8"?>
<comments xmlns="http://schemas.openxmlformats.org/spreadsheetml/2006/main">
  <authors>
    <author>cl104188</author>
    <author>Sandrine MORALES</author>
  </authors>
  <commentList>
    <comment ref="A50" authorId="0">
      <text>
        <r>
          <rPr>
            <b/>
            <sz val="9"/>
            <color indexed="81"/>
            <rFont val="Tahoma"/>
            <family val="2"/>
          </rPr>
          <t>cl104188:</t>
        </r>
        <r>
          <rPr>
            <sz val="9"/>
            <color indexed="81"/>
            <rFont val="Tahoma"/>
            <family val="2"/>
          </rPr>
          <t xml:space="preserve">
Limité à la tranche 1 </t>
        </r>
      </text>
    </comment>
    <comment ref="H53" authorId="0">
      <text>
        <r>
          <rPr>
            <b/>
            <sz val="9"/>
            <color indexed="81"/>
            <rFont val="Tahoma"/>
            <family val="2"/>
          </rPr>
          <t>cl104188:</t>
        </r>
        <r>
          <rPr>
            <sz val="9"/>
            <color indexed="81"/>
            <rFont val="Tahoma"/>
            <family val="2"/>
          </rPr>
          <t xml:space="preserve">
Taux propre à l'Entreprise</t>
        </r>
      </text>
    </comment>
    <comment ref="A54" authorId="0">
      <text>
        <r>
          <rPr>
            <b/>
            <sz val="9"/>
            <color indexed="81"/>
            <rFont val="Tahoma"/>
            <family val="2"/>
          </rPr>
          <t>cl104188:</t>
        </r>
        <r>
          <rPr>
            <sz val="9"/>
            <color indexed="81"/>
            <rFont val="Tahoma"/>
            <family val="2"/>
          </rPr>
          <t xml:space="preserve">
Cotisation patronale de la complémentaire santé + Cotisation patronale de la complémentaire décés 
</t>
        </r>
      </text>
    </comment>
    <comment ref="A58" authorId="0">
      <text>
        <r>
          <rPr>
            <b/>
            <sz val="9"/>
            <color indexed="81"/>
            <rFont val="Tahoma"/>
            <family val="2"/>
          </rPr>
          <t>cl104188:</t>
        </r>
        <r>
          <rPr>
            <sz val="9"/>
            <color indexed="81"/>
            <rFont val="Tahoma"/>
            <family val="2"/>
          </rPr>
          <t xml:space="preserve">
Limité à 4 PPS ou sup à 100% du SBRUT
</t>
        </r>
      </text>
    </comment>
    <comment ref="A62" authorId="0">
      <text>
        <r>
          <rPr>
            <b/>
            <sz val="9"/>
            <color indexed="81"/>
            <rFont val="Tahoma"/>
            <family val="2"/>
          </rPr>
          <t>cl104188:</t>
        </r>
        <r>
          <rPr>
            <sz val="9"/>
            <color indexed="81"/>
            <rFont val="Tahoma"/>
            <family val="2"/>
          </rPr>
          <t xml:space="preserve">
Limité à 1*PSS</t>
        </r>
      </text>
    </comment>
    <comment ref="A70" authorId="0">
      <text>
        <r>
          <rPr>
            <b/>
            <sz val="9"/>
            <color indexed="81"/>
            <rFont val="Tahoma"/>
            <family val="2"/>
          </rPr>
          <t>cl104188:</t>
        </r>
        <r>
          <rPr>
            <sz val="9"/>
            <color indexed="81"/>
            <rFont val="Tahoma"/>
            <family val="2"/>
          </rPr>
          <t xml:space="preserve">
2 taux en fonction du nbre de salariés</t>
        </r>
      </text>
    </comment>
    <comment ref="H70" authorId="1">
      <text>
        <r>
          <rPr>
            <b/>
            <sz val="9"/>
            <color indexed="81"/>
            <rFont val="Tahoma"/>
            <family val="2"/>
          </rPr>
          <t>Sandrine MORALES:</t>
        </r>
        <r>
          <rPr>
            <sz val="9"/>
            <color indexed="81"/>
            <rFont val="Tahoma"/>
            <family val="2"/>
          </rPr>
          <t xml:space="preserve">
S i Ets &gt; 20 salariés alors tx =0,5% , sinon 0,10%</t>
        </r>
      </text>
    </comment>
    <comment ref="H75" authorId="0">
      <text>
        <r>
          <rPr>
            <b/>
            <sz val="9"/>
            <color indexed="81"/>
            <rFont val="Tahoma"/>
            <family val="2"/>
          </rPr>
          <t>cl104188:</t>
        </r>
        <r>
          <rPr>
            <sz val="9"/>
            <color indexed="81"/>
            <rFont val="Tahoma"/>
            <family val="2"/>
          </rPr>
          <t xml:space="preserve">
Taux propre à la localité</t>
        </r>
      </text>
    </comment>
    <comment ref="A77" authorId="0">
      <text>
        <r>
          <rPr>
            <b/>
            <sz val="9"/>
            <color indexed="81"/>
            <rFont val="Tahoma"/>
            <family val="2"/>
          </rPr>
          <t>cl104188:</t>
        </r>
        <r>
          <rPr>
            <sz val="9"/>
            <color indexed="81"/>
            <rFont val="Tahoma"/>
            <family val="2"/>
          </rPr>
          <t xml:space="preserve">
Ets non assujetis à la TVA</t>
        </r>
      </text>
    </comment>
    <comment ref="A78" authorId="0">
      <text>
        <r>
          <rPr>
            <b/>
            <sz val="9"/>
            <color indexed="81"/>
            <rFont val="Tahoma"/>
            <family val="2"/>
          </rPr>
          <t>cl104188:</t>
        </r>
        <r>
          <rPr>
            <sz val="9"/>
            <color indexed="81"/>
            <rFont val="Tahoma"/>
            <family val="2"/>
          </rPr>
          <t xml:space="preserve">
Peut etre versé tous les trimestres ou annuelles
</t>
        </r>
      </text>
    </comment>
    <comment ref="A79" authorId="0">
      <text>
        <r>
          <rPr>
            <b/>
            <sz val="9"/>
            <color indexed="81"/>
            <rFont val="Tahoma"/>
            <family val="2"/>
          </rPr>
          <t>cl104188:</t>
        </r>
        <r>
          <rPr>
            <sz val="9"/>
            <color indexed="81"/>
            <rFont val="Tahoma"/>
            <family val="2"/>
          </rPr>
          <t xml:space="preserve">
Peut etre versé au trimestre ou annuelle
</t>
        </r>
      </text>
    </comment>
    <comment ref="A92" authorId="0">
      <text>
        <r>
          <rPr>
            <b/>
            <sz val="9"/>
            <color indexed="81"/>
            <rFont val="Tahoma"/>
            <family val="2"/>
          </rPr>
          <t xml:space="preserve">cl104188:
</t>
        </r>
        <r>
          <rPr>
            <sz val="9"/>
            <color indexed="81"/>
            <rFont val="Tahoma"/>
            <family val="2"/>
          </rPr>
          <t xml:space="preserve">frais de repas sur chantier max 9€ / 
</t>
        </r>
      </text>
    </comment>
    <comment ref="A93" authorId="0">
      <text>
        <r>
          <rPr>
            <b/>
            <sz val="9"/>
            <color indexed="81"/>
            <rFont val="Tahoma"/>
            <family val="2"/>
          </rPr>
          <t>cl104188:</t>
        </r>
        <r>
          <rPr>
            <sz val="9"/>
            <color indexed="81"/>
            <rFont val="Tahoma"/>
            <family val="2"/>
          </rPr>
          <t xml:space="preserve">
max 18,40€ si + on remonte la différence en haut du bulletin 
</t>
        </r>
      </text>
    </comment>
    <comment ref="A95" authorId="0">
      <text>
        <r>
          <rPr>
            <b/>
            <sz val="9"/>
            <color indexed="81"/>
            <rFont val="Tahoma"/>
            <family val="2"/>
          </rPr>
          <t>cl104188:</t>
        </r>
        <r>
          <rPr>
            <sz val="9"/>
            <color indexed="81"/>
            <rFont val="Tahoma"/>
            <family val="2"/>
          </rPr>
          <t xml:space="preserve">
Si avance le mois M , les 10% se rembourse la mois M+1 
</t>
        </r>
      </text>
    </comment>
  </commentList>
</comments>
</file>

<file path=xl/comments3.xml><?xml version="1.0" encoding="utf-8"?>
<comments xmlns="http://schemas.openxmlformats.org/spreadsheetml/2006/main">
  <authors>
    <author>cl104188</author>
    <author>Sandrine MORALES</author>
  </authors>
  <commentList>
    <comment ref="C10" authorId="0">
      <text>
        <r>
          <rPr>
            <b/>
            <sz val="9"/>
            <color indexed="81"/>
            <rFont val="Tahoma"/>
            <family val="2"/>
          </rPr>
          <t>cl104188:</t>
        </r>
        <r>
          <rPr>
            <sz val="9"/>
            <color indexed="81"/>
            <rFont val="Tahoma"/>
            <family val="2"/>
          </rPr>
          <t xml:space="preserve">
Si jour férié dans la période on le compte</t>
        </r>
      </text>
    </comment>
    <comment ref="B12" authorId="1">
      <text>
        <r>
          <rPr>
            <b/>
            <sz val="9"/>
            <color indexed="81"/>
            <rFont val="Tahoma"/>
            <family val="2"/>
          </rPr>
          <t>Sandrine MORALES:</t>
        </r>
        <r>
          <rPr>
            <sz val="9"/>
            <color indexed="81"/>
            <rFont val="Tahoma"/>
            <family val="2"/>
          </rPr>
          <t xml:space="preserve">
Nbre de jours ouvrés * Nbre d'heures de travail effectif
On compte aussi les jours fériés</t>
        </r>
      </text>
    </comment>
    <comment ref="A16" authorId="1">
      <text>
        <r>
          <rPr>
            <b/>
            <sz val="9"/>
            <color indexed="81"/>
            <rFont val="Tahoma"/>
            <family val="2"/>
          </rPr>
          <t>Sandrine MORALES:</t>
        </r>
        <r>
          <rPr>
            <sz val="9"/>
            <color indexed="81"/>
            <rFont val="Tahoma"/>
            <family val="2"/>
          </rPr>
          <t xml:space="preserve">
Méthode qui a fait JURISPRUDENCE3
(h ABS * SB ) / h réèlles</t>
        </r>
      </text>
    </comment>
    <comment ref="D16" authorId="1">
      <text>
        <r>
          <rPr>
            <b/>
            <sz val="9"/>
            <color indexed="81"/>
            <rFont val="Tahoma"/>
            <family val="2"/>
          </rPr>
          <t>Sandrine MORALES:</t>
        </r>
        <r>
          <rPr>
            <sz val="9"/>
            <color indexed="81"/>
            <rFont val="Tahoma"/>
            <family val="2"/>
          </rPr>
          <t xml:space="preserve">
( J ABS/ J Mois ( ouvrés ou ouvrables - réèls ou moyen ) ) * salaire Brut </t>
        </r>
      </text>
    </comment>
    <comment ref="A17" authorId="0">
      <text>
        <r>
          <rPr>
            <b/>
            <sz val="9"/>
            <color indexed="81"/>
            <rFont val="Tahoma"/>
            <family val="2"/>
          </rPr>
          <t>cl104188:</t>
        </r>
        <r>
          <rPr>
            <sz val="9"/>
            <color indexed="81"/>
            <rFont val="Tahoma"/>
            <family val="2"/>
          </rPr>
          <t xml:space="preserve">
(h abs * SB ) / h mensuel moyen -&gt; 35h =151,67)</t>
        </r>
      </text>
    </comment>
    <comment ref="A18" authorId="0">
      <text>
        <r>
          <rPr>
            <b/>
            <sz val="9"/>
            <color indexed="81"/>
            <rFont val="Tahoma"/>
            <family val="2"/>
          </rPr>
          <t>cl104188:</t>
        </r>
        <r>
          <rPr>
            <sz val="9"/>
            <color indexed="81"/>
            <rFont val="Tahoma"/>
            <family val="2"/>
          </rPr>
          <t xml:space="preserve">
(j abs * SB ) / nbre jours réèls</t>
        </r>
      </text>
    </comment>
    <comment ref="A19" authorId="0">
      <text>
        <r>
          <rPr>
            <b/>
            <sz val="9"/>
            <color indexed="81"/>
            <rFont val="Tahoma"/>
            <family val="2"/>
          </rPr>
          <t>cl104188:</t>
        </r>
        <r>
          <rPr>
            <sz val="9"/>
            <color indexed="81"/>
            <rFont val="Tahoma"/>
            <family val="2"/>
          </rPr>
          <t xml:space="preserve">
(j abs * SB) / nbre jours moyen (35h-&gt;21,67)
</t>
        </r>
      </text>
    </comment>
    <comment ref="A20" authorId="0">
      <text>
        <r>
          <rPr>
            <b/>
            <sz val="9"/>
            <color indexed="81"/>
            <rFont val="Tahoma"/>
            <family val="2"/>
          </rPr>
          <t>cl104188:</t>
        </r>
        <r>
          <rPr>
            <sz val="9"/>
            <color indexed="81"/>
            <rFont val="Tahoma"/>
            <family val="2"/>
          </rPr>
          <t xml:space="preserve">
( J abs * SB ) / j ouvrables réèls</t>
        </r>
      </text>
    </comment>
    <comment ref="A21" authorId="0">
      <text>
        <r>
          <rPr>
            <b/>
            <sz val="9"/>
            <color indexed="81"/>
            <rFont val="Tahoma"/>
            <family val="2"/>
          </rPr>
          <t xml:space="preserve">cl104188:
</t>
        </r>
        <r>
          <rPr>
            <sz val="9"/>
            <color indexed="81"/>
            <rFont val="Tahoma"/>
            <family val="2"/>
          </rPr>
          <t>( J abs / sb ) / Nbre J ouvrables ( 35h-&gt; 26</t>
        </r>
        <r>
          <rPr>
            <b/>
            <sz val="9"/>
            <color indexed="81"/>
            <rFont val="Tahoma"/>
            <family val="2"/>
          </rPr>
          <t xml:space="preserve">)
</t>
        </r>
      </text>
    </comment>
  </commentList>
</comments>
</file>

<file path=xl/comments4.xml><?xml version="1.0" encoding="utf-8"?>
<comments xmlns="http://schemas.openxmlformats.org/spreadsheetml/2006/main">
  <authors>
    <author>cl104188</author>
    <author>Sandrine MORALES</author>
  </authors>
  <commentList>
    <comment ref="C10" authorId="0">
      <text>
        <r>
          <rPr>
            <b/>
            <sz val="9"/>
            <color indexed="81"/>
            <rFont val="Tahoma"/>
            <family val="2"/>
          </rPr>
          <t>cl104188:</t>
        </r>
        <r>
          <rPr>
            <sz val="9"/>
            <color indexed="81"/>
            <rFont val="Tahoma"/>
            <family val="2"/>
          </rPr>
          <t xml:space="preserve">
Si jour férié dans la période on le compte</t>
        </r>
      </text>
    </comment>
    <comment ref="B12" authorId="1">
      <text>
        <r>
          <rPr>
            <b/>
            <sz val="9"/>
            <color indexed="81"/>
            <rFont val="Tahoma"/>
            <family val="2"/>
          </rPr>
          <t>Sandrine MORALES:</t>
        </r>
        <r>
          <rPr>
            <sz val="9"/>
            <color indexed="81"/>
            <rFont val="Tahoma"/>
            <family val="2"/>
          </rPr>
          <t xml:space="preserve">
Nbre de jours ouvrés * Nbre d'heures de travail effectif
On compte aussi les jours fériés</t>
        </r>
      </text>
    </comment>
    <comment ref="A16" authorId="1">
      <text>
        <r>
          <rPr>
            <b/>
            <sz val="9"/>
            <color indexed="81"/>
            <rFont val="Tahoma"/>
            <family val="2"/>
          </rPr>
          <t>Sandrine MORALES:</t>
        </r>
        <r>
          <rPr>
            <sz val="9"/>
            <color indexed="81"/>
            <rFont val="Tahoma"/>
            <family val="2"/>
          </rPr>
          <t xml:space="preserve">
Méthode qui a fait JURISPRUDENCE3
(h ABS * SB ) / h réèlles</t>
        </r>
      </text>
    </comment>
    <comment ref="D16" authorId="1">
      <text>
        <r>
          <rPr>
            <b/>
            <sz val="9"/>
            <color indexed="81"/>
            <rFont val="Tahoma"/>
            <family val="2"/>
          </rPr>
          <t>Sandrine MORALES:</t>
        </r>
        <r>
          <rPr>
            <sz val="9"/>
            <color indexed="81"/>
            <rFont val="Tahoma"/>
            <family val="2"/>
          </rPr>
          <t xml:space="preserve">
( J ABS/ J Mois ( ouvrés ou ouvrables - réèls ou moyen ) ) * salaire Brut </t>
        </r>
      </text>
    </comment>
    <comment ref="A17" authorId="0">
      <text>
        <r>
          <rPr>
            <b/>
            <sz val="9"/>
            <color indexed="81"/>
            <rFont val="Tahoma"/>
            <family val="2"/>
          </rPr>
          <t>cl104188:</t>
        </r>
        <r>
          <rPr>
            <sz val="9"/>
            <color indexed="81"/>
            <rFont val="Tahoma"/>
            <family val="2"/>
          </rPr>
          <t xml:space="preserve">
(h abs * SB ) / h mensuel moyen -&gt; 35h =151,67)</t>
        </r>
      </text>
    </comment>
    <comment ref="A18" authorId="0">
      <text>
        <r>
          <rPr>
            <b/>
            <sz val="9"/>
            <color indexed="81"/>
            <rFont val="Tahoma"/>
            <family val="2"/>
          </rPr>
          <t>cl104188:</t>
        </r>
        <r>
          <rPr>
            <sz val="9"/>
            <color indexed="81"/>
            <rFont val="Tahoma"/>
            <family val="2"/>
          </rPr>
          <t xml:space="preserve">
(j abs * SB ) / nbre jours réèls</t>
        </r>
      </text>
    </comment>
    <comment ref="A19" authorId="0">
      <text>
        <r>
          <rPr>
            <b/>
            <sz val="9"/>
            <color indexed="81"/>
            <rFont val="Tahoma"/>
            <family val="2"/>
          </rPr>
          <t>cl104188:</t>
        </r>
        <r>
          <rPr>
            <sz val="9"/>
            <color indexed="81"/>
            <rFont val="Tahoma"/>
            <family val="2"/>
          </rPr>
          <t xml:space="preserve">
(j abs * SB) / nbre jours moyen (35h-&gt;21,67)
</t>
        </r>
      </text>
    </comment>
    <comment ref="A20" authorId="0">
      <text>
        <r>
          <rPr>
            <b/>
            <sz val="9"/>
            <color indexed="81"/>
            <rFont val="Tahoma"/>
            <family val="2"/>
          </rPr>
          <t>cl104188:</t>
        </r>
        <r>
          <rPr>
            <sz val="9"/>
            <color indexed="81"/>
            <rFont val="Tahoma"/>
            <family val="2"/>
          </rPr>
          <t xml:space="preserve">
( J abs * SB ) / j ouvrables réèls</t>
        </r>
      </text>
    </comment>
    <comment ref="A21" authorId="0">
      <text>
        <r>
          <rPr>
            <b/>
            <sz val="9"/>
            <color indexed="81"/>
            <rFont val="Tahoma"/>
            <family val="2"/>
          </rPr>
          <t xml:space="preserve">cl104188:
</t>
        </r>
        <r>
          <rPr>
            <sz val="9"/>
            <color indexed="81"/>
            <rFont val="Tahoma"/>
            <family val="2"/>
          </rPr>
          <t>( J abs / sb ) / Nbre J ouvrables ( 35h-&gt; 26</t>
        </r>
        <r>
          <rPr>
            <b/>
            <sz val="9"/>
            <color indexed="81"/>
            <rFont val="Tahoma"/>
            <family val="2"/>
          </rPr>
          <t xml:space="preserve">)
</t>
        </r>
      </text>
    </comment>
  </commentList>
</comments>
</file>

<file path=xl/comments5.xml><?xml version="1.0" encoding="utf-8"?>
<comments xmlns="http://schemas.openxmlformats.org/spreadsheetml/2006/main">
  <authors>
    <author>Sandrine MORALES</author>
    <author>cl104188</author>
  </authors>
  <commentList>
    <comment ref="A1" authorId="0">
      <text>
        <r>
          <rPr>
            <b/>
            <sz val="9"/>
            <color indexed="81"/>
            <rFont val="Tahoma"/>
            <family val="2"/>
          </rPr>
          <t>Sandrine MORALES:</t>
        </r>
        <r>
          <rPr>
            <sz val="9"/>
            <color indexed="81"/>
            <rFont val="Tahoma"/>
            <family val="2"/>
          </rPr>
          <t xml:space="preserve">
Période acquisition : 01/06 -&gt; 31/05
Règle générale de calcul : Ouvrables moyen</t>
        </r>
      </text>
    </comment>
    <comment ref="B7" authorId="0">
      <text>
        <r>
          <rPr>
            <b/>
            <sz val="9"/>
            <color indexed="81"/>
            <rFont val="Tahoma"/>
            <family val="2"/>
          </rPr>
          <t>Sandrine MORALES:</t>
        </r>
        <r>
          <rPr>
            <sz val="9"/>
            <color indexed="81"/>
            <rFont val="Tahoma"/>
            <family val="2"/>
          </rPr>
          <t xml:space="preserve">
prime 13eme mois à déduire
La prime d'anciènneté ne doit être prise qu'une seule fois dans le salaire de Ref </t>
        </r>
      </text>
    </comment>
    <comment ref="D9" authorId="0">
      <text>
        <r>
          <rPr>
            <b/>
            <sz val="9"/>
            <color indexed="81"/>
            <rFont val="Tahoma"/>
            <family val="2"/>
          </rPr>
          <t>Sandrine MORALES:</t>
        </r>
        <r>
          <rPr>
            <sz val="9"/>
            <color indexed="81"/>
            <rFont val="Tahoma"/>
            <family val="2"/>
          </rPr>
          <t xml:space="preserve">
( J ABS CP / J Mois ( ouvrés ou ouvrables - réèls ou moyen ) ) * salaire Brut </t>
        </r>
      </text>
    </comment>
    <comment ref="B16" authorId="1">
      <text>
        <r>
          <rPr>
            <b/>
            <sz val="9"/>
            <color indexed="81"/>
            <rFont val="Tahoma"/>
            <family val="2"/>
          </rPr>
          <t>cl104188:</t>
        </r>
        <r>
          <rPr>
            <sz val="9"/>
            <color indexed="81"/>
            <rFont val="Tahoma"/>
            <family val="2"/>
          </rPr>
          <t xml:space="preserve">
ICCP déjà percus</t>
        </r>
      </text>
    </comment>
    <comment ref="B19" authorId="1">
      <text>
        <r>
          <rPr>
            <b/>
            <sz val="9"/>
            <color indexed="81"/>
            <rFont val="Tahoma"/>
            <family val="2"/>
          </rPr>
          <t>cl104188:</t>
        </r>
        <r>
          <rPr>
            <sz val="9"/>
            <color indexed="81"/>
            <rFont val="Tahoma"/>
            <family val="2"/>
          </rPr>
          <t xml:space="preserve">
Nbre de jours de CP restant</t>
        </r>
      </text>
    </comment>
    <comment ref="A24" authorId="0">
      <text>
        <r>
          <rPr>
            <b/>
            <sz val="9"/>
            <color indexed="81"/>
            <rFont val="Tahoma"/>
            <family val="2"/>
          </rPr>
          <t>Sandrine MORALES:</t>
        </r>
        <r>
          <rPr>
            <sz val="9"/>
            <color indexed="81"/>
            <rFont val="Tahoma"/>
            <family val="2"/>
          </rPr>
          <t xml:space="preserve">
Prendre le mois en cours avec le solde des CP de N-1, on prends la prime de précarité dans le calcul du solde des CP
</t>
        </r>
      </text>
    </comment>
    <comment ref="C24" authorId="1">
      <text>
        <r>
          <rPr>
            <b/>
            <sz val="9"/>
            <color indexed="81"/>
            <rFont val="Tahoma"/>
            <family val="2"/>
          </rPr>
          <t>cl104188:</t>
        </r>
        <r>
          <rPr>
            <sz val="9"/>
            <color indexed="81"/>
            <rFont val="Tahoma"/>
            <family val="2"/>
          </rPr>
          <t xml:space="preserve">
Prendre le salaire brut de M-1 </t>
        </r>
      </text>
    </comment>
    <comment ref="B27" authorId="1">
      <text>
        <r>
          <rPr>
            <b/>
            <sz val="9"/>
            <color indexed="81"/>
            <rFont val="Tahoma"/>
            <family val="2"/>
          </rPr>
          <t>cl104188:</t>
        </r>
        <r>
          <rPr>
            <sz val="9"/>
            <color indexed="81"/>
            <rFont val="Tahoma"/>
            <family val="2"/>
          </rPr>
          <t xml:space="preserve">
Si ouvrés alors 25 ; si ouvrables alors 30
</t>
        </r>
      </text>
    </comment>
    <comment ref="A30" authorId="0">
      <text>
        <r>
          <rPr>
            <b/>
            <sz val="9"/>
            <color indexed="81"/>
            <rFont val="Tahoma"/>
            <family val="2"/>
          </rPr>
          <t>Sandrine MORALES:</t>
        </r>
        <r>
          <rPr>
            <sz val="9"/>
            <color indexed="81"/>
            <rFont val="Tahoma"/>
            <family val="2"/>
          </rPr>
          <t xml:space="preserve">
Droit au jours de fractionnement : 
- 12 jours consécutifs pendant la période du 01/05/N au 31/10/N
- prise de cp pendant période du 01/11/N au 30/04/N+1 : si 6 jours consécutifs alors + 2 jours : si 3 à 5 jours consécutifs alors + 1 jour</t>
        </r>
      </text>
    </comment>
  </commentList>
</comments>
</file>

<file path=xl/comments6.xml><?xml version="1.0" encoding="utf-8"?>
<comments xmlns="http://schemas.openxmlformats.org/spreadsheetml/2006/main">
  <authors>
    <author>cl104188</author>
    <author>Sandrine MORALES</author>
  </authors>
  <commentList>
    <comment ref="B5" authorId="0">
      <text>
        <r>
          <rPr>
            <b/>
            <sz val="9"/>
            <color indexed="81"/>
            <rFont val="Tahoma"/>
            <family val="2"/>
          </rPr>
          <t>cl104188:</t>
        </r>
        <r>
          <rPr>
            <sz val="9"/>
            <color indexed="81"/>
            <rFont val="Tahoma"/>
            <family val="2"/>
          </rPr>
          <t xml:space="preserve">
Valeur en € du ticket resto donné par l'employeur</t>
        </r>
      </text>
    </comment>
    <comment ref="B6" authorId="0">
      <text>
        <r>
          <rPr>
            <b/>
            <sz val="9"/>
            <color indexed="81"/>
            <rFont val="Tahoma"/>
            <family val="2"/>
          </rPr>
          <t>cl104188:</t>
        </r>
        <r>
          <rPr>
            <sz val="9"/>
            <color indexed="81"/>
            <rFont val="Tahoma"/>
            <family val="2"/>
          </rPr>
          <t xml:space="preserve">
Valeur transmis par les Impôts</t>
        </r>
      </text>
    </comment>
    <comment ref="B7" authorId="0">
      <text>
        <r>
          <rPr>
            <b/>
            <sz val="9"/>
            <color indexed="81"/>
            <rFont val="Tahoma"/>
            <family val="2"/>
          </rPr>
          <t>cl104188:</t>
        </r>
        <r>
          <rPr>
            <sz val="9"/>
            <color indexed="81"/>
            <rFont val="Tahoma"/>
            <family val="2"/>
          </rPr>
          <t xml:space="preserve">
En règle générale 40% pour la part salariale et 60% pour la part patronale</t>
        </r>
      </text>
    </comment>
    <comment ref="E8" authorId="1">
      <text>
        <r>
          <rPr>
            <b/>
            <sz val="9"/>
            <color indexed="81"/>
            <rFont val="Tahoma"/>
            <family val="2"/>
          </rPr>
          <t>Sandrine MORALES:</t>
        </r>
        <r>
          <rPr>
            <sz val="9"/>
            <color indexed="81"/>
            <rFont val="Tahoma"/>
            <family val="2"/>
          </rPr>
          <t xml:space="preserve">
si % de PP &gt; Valeur maxi de la PP du TR ALORS  on doit remonter en haut du bulletin la différence entre : 60 % VALEUR FACIALE - VALEUR MAXI DE LA PP DU TR</t>
        </r>
      </text>
    </comment>
    <comment ref="A10" authorId="0">
      <text>
        <r>
          <rPr>
            <b/>
            <sz val="9"/>
            <color indexed="81"/>
            <rFont val="Tahoma"/>
            <family val="2"/>
          </rPr>
          <t>cl104188:</t>
        </r>
        <r>
          <rPr>
            <sz val="9"/>
            <color indexed="81"/>
            <rFont val="Tahoma"/>
            <family val="2"/>
          </rPr>
          <t xml:space="preserve">
Nbre de jours * Valeur faciale * Part salariale en %
</t>
        </r>
      </text>
    </comment>
    <comment ref="B16" authorId="0">
      <text>
        <r>
          <rPr>
            <b/>
            <sz val="9"/>
            <color indexed="81"/>
            <rFont val="Tahoma"/>
            <family val="2"/>
          </rPr>
          <t>cl104188:</t>
        </r>
        <r>
          <rPr>
            <sz val="9"/>
            <color indexed="81"/>
            <rFont val="Tahoma"/>
            <family val="2"/>
          </rPr>
          <t xml:space="preserve">
Valeur transmise par les impôts</t>
        </r>
      </text>
    </comment>
    <comment ref="A19" authorId="0">
      <text>
        <r>
          <rPr>
            <b/>
            <sz val="9"/>
            <color indexed="81"/>
            <rFont val="Tahoma"/>
            <family val="2"/>
          </rPr>
          <t>cl104188:</t>
        </r>
        <r>
          <rPr>
            <sz val="9"/>
            <color indexed="81"/>
            <rFont val="Tahoma"/>
            <family val="2"/>
          </rPr>
          <t xml:space="preserve">
nbre de jours * part salariale
</t>
        </r>
      </text>
    </comment>
    <comment ref="A20" authorId="1">
      <text>
        <r>
          <rPr>
            <b/>
            <sz val="9"/>
            <color indexed="81"/>
            <rFont val="Tahoma"/>
            <family val="2"/>
          </rPr>
          <t>Sandrine MORALES:</t>
        </r>
        <r>
          <rPr>
            <sz val="9"/>
            <color indexed="81"/>
            <rFont val="Tahoma"/>
            <family val="2"/>
          </rPr>
          <t xml:space="preserve">
Si part salariale &gt; 50% de l'évaluation forfaitaire alors je dois faire remonter : 
( Evaluation forfaitaire - Part salariale) * nbre de jours</t>
        </r>
      </text>
    </comment>
    <comment ref="A26" authorId="0">
      <text>
        <r>
          <rPr>
            <b/>
            <sz val="9"/>
            <color indexed="81"/>
            <rFont val="Tahoma"/>
            <family val="2"/>
          </rPr>
          <t>cl104188:</t>
        </r>
        <r>
          <rPr>
            <sz val="9"/>
            <color indexed="81"/>
            <rFont val="Tahoma"/>
            <family val="2"/>
          </rPr>
          <t xml:space="preserve">
Déduire les absences , rajouter les ICCP, primes …  soit le salaire brut total avant avantage en nature logement et autres avantages en nature ( repas )
</t>
        </r>
      </text>
    </comment>
    <comment ref="H36" authorId="1">
      <text>
        <r>
          <rPr>
            <b/>
            <sz val="9"/>
            <color indexed="81"/>
            <rFont val="Tahoma"/>
            <family val="2"/>
          </rPr>
          <t>Sandrine MORALES:</t>
        </r>
        <r>
          <rPr>
            <sz val="9"/>
            <color indexed="81"/>
            <rFont val="Tahoma"/>
            <family val="2"/>
          </rPr>
          <t xml:space="preserve">
REEL on prends en compte l'assurance et les frais divers
</t>
        </r>
      </text>
    </comment>
    <comment ref="H38" authorId="1">
      <text>
        <r>
          <rPr>
            <b/>
            <sz val="9"/>
            <color indexed="81"/>
            <rFont val="Tahoma"/>
            <family val="2"/>
          </rPr>
          <t>Sandrine MORALES:</t>
        </r>
        <r>
          <rPr>
            <sz val="9"/>
            <color indexed="81"/>
            <rFont val="Tahoma"/>
            <family val="2"/>
          </rPr>
          <t xml:space="preserve">
Pour le forfait on ne prends que le prix d'achat du véhicule</t>
        </r>
      </text>
    </comment>
    <comment ref="A43" authorId="1">
      <text>
        <r>
          <rPr>
            <b/>
            <sz val="9"/>
            <color indexed="81"/>
            <rFont val="Tahoma"/>
            <family val="2"/>
          </rPr>
          <t>Sandrine MORALES:</t>
        </r>
        <r>
          <rPr>
            <sz val="9"/>
            <color indexed="81"/>
            <rFont val="Tahoma"/>
            <family val="2"/>
          </rPr>
          <t xml:space="preserve">
Choisir sur liste déroulante</t>
        </r>
      </text>
    </comment>
    <comment ref="D43" authorId="1">
      <text>
        <r>
          <rPr>
            <b/>
            <sz val="9"/>
            <color indexed="81"/>
            <rFont val="Tahoma"/>
            <family val="2"/>
          </rPr>
          <t>Sandrine MORALES:</t>
        </r>
        <r>
          <rPr>
            <sz val="9"/>
            <color indexed="81"/>
            <rFont val="Tahoma"/>
            <family val="2"/>
          </rPr>
          <t xml:space="preserve">
Choisir sur liste déroulante</t>
        </r>
      </text>
    </comment>
    <comment ref="H43" authorId="1">
      <text>
        <r>
          <rPr>
            <b/>
            <sz val="9"/>
            <color indexed="81"/>
            <rFont val="Tahoma"/>
            <family val="2"/>
          </rPr>
          <t>Sandrine MORALES:</t>
        </r>
        <r>
          <rPr>
            <sz val="9"/>
            <color indexed="81"/>
            <rFont val="Tahoma"/>
            <family val="2"/>
          </rPr>
          <t xml:space="preserve">
On prends la totalite du cout global (loc + assurance + frais ) que l'on ramène au mois</t>
        </r>
      </text>
    </comment>
    <comment ref="H44" authorId="1">
      <text>
        <r>
          <rPr>
            <b/>
            <sz val="9"/>
            <color indexed="81"/>
            <rFont val="Tahoma"/>
            <family val="2"/>
          </rPr>
          <t>Sandrine MORALES:</t>
        </r>
        <r>
          <rPr>
            <sz val="9"/>
            <color indexed="81"/>
            <rFont val="Tahoma"/>
            <family val="2"/>
          </rPr>
          <t xml:space="preserve">
On prends un % du cout global ( loc + assuance + frais ) que l'on ramène au mois
</t>
        </r>
      </text>
    </comment>
    <comment ref="A47" authorId="0">
      <text>
        <r>
          <rPr>
            <b/>
            <sz val="9"/>
            <color indexed="81"/>
            <rFont val="Tahoma"/>
            <family val="2"/>
          </rPr>
          <t>cl104188:</t>
        </r>
        <r>
          <rPr>
            <sz val="9"/>
            <color indexed="81"/>
            <rFont val="Tahoma"/>
            <family val="2"/>
          </rPr>
          <t xml:space="preserve">
UNIQUEMENT SUR LA METHODE AU REEL </t>
        </r>
      </text>
    </comment>
  </commentList>
</comments>
</file>

<file path=xl/comments7.xml><?xml version="1.0" encoding="utf-8"?>
<comments xmlns="http://schemas.openxmlformats.org/spreadsheetml/2006/main">
  <authors>
    <author>Sandrine MORALES</author>
  </authors>
  <commentList>
    <comment ref="E10" authorId="0">
      <text>
        <r>
          <rPr>
            <b/>
            <sz val="9"/>
            <color indexed="81"/>
            <rFont val="Tahoma"/>
            <family val="2"/>
          </rPr>
          <t>Sandrine MORALES:</t>
        </r>
        <r>
          <rPr>
            <sz val="9"/>
            <color indexed="81"/>
            <rFont val="Tahoma"/>
            <family val="2"/>
          </rPr>
          <t xml:space="preserve">
Attention si Lundi de Pentecôte travaillé , il ne faut pas le compter en férié</t>
        </r>
      </text>
    </comment>
  </commentList>
</comments>
</file>

<file path=xl/sharedStrings.xml><?xml version="1.0" encoding="utf-8"?>
<sst xmlns="http://schemas.openxmlformats.org/spreadsheetml/2006/main" count="725" uniqueCount="498">
  <si>
    <t xml:space="preserve">BULLETIN DE PAIE </t>
  </si>
  <si>
    <t>Matricule</t>
  </si>
  <si>
    <t>N° Sécurité sociale</t>
  </si>
  <si>
    <t xml:space="preserve">Emploi : </t>
  </si>
  <si>
    <t xml:space="preserve">Qualification </t>
  </si>
  <si>
    <t>Date d'entrée</t>
  </si>
  <si>
    <t>Coeffcient</t>
  </si>
  <si>
    <t>RUBRIQUES</t>
  </si>
  <si>
    <t>Salaire de Base</t>
  </si>
  <si>
    <t>TOTAL BRUT</t>
  </si>
  <si>
    <t>COTISATIONS</t>
  </si>
  <si>
    <t>CSG Déductible</t>
  </si>
  <si>
    <t>SECURITE SOCIALE</t>
  </si>
  <si>
    <t>Maladie, Maternité, Invalidité, Décés</t>
  </si>
  <si>
    <t>Vieillesse déplafonnée</t>
  </si>
  <si>
    <t>Allocations familiales</t>
  </si>
  <si>
    <t>Accident du travail</t>
  </si>
  <si>
    <t>POLE EMPLOI</t>
  </si>
  <si>
    <t>Assurance chômage Tr A + Tr B</t>
  </si>
  <si>
    <t xml:space="preserve">AGS( FNGC) </t>
  </si>
  <si>
    <t>RETRAITE ET PREVOYANCE COMPLEMENTAIRE</t>
  </si>
  <si>
    <t>AUTRES CONTRIBUTIONS</t>
  </si>
  <si>
    <t>FNAL</t>
  </si>
  <si>
    <t>Contribution de Solidarité pour l'Autonomie</t>
  </si>
  <si>
    <t>BASE</t>
  </si>
  <si>
    <t>Taux salarial</t>
  </si>
  <si>
    <t>Cotisations salariales</t>
  </si>
  <si>
    <t>Taux Patronal</t>
  </si>
  <si>
    <t>Cotisations patronales</t>
  </si>
  <si>
    <t>Réduction FILLON</t>
  </si>
  <si>
    <t>TOTAL</t>
  </si>
  <si>
    <t>SALAIRE NET</t>
  </si>
  <si>
    <t>DEDUCTIONS ET RETENUES</t>
  </si>
  <si>
    <t>INDEMNITES NON SOUMISES A COTISATIONS</t>
  </si>
  <si>
    <t xml:space="preserve">Payé le : </t>
  </si>
  <si>
    <t xml:space="preserve">Mode de Règlement : </t>
  </si>
  <si>
    <t>NET IMPOSABLE</t>
  </si>
  <si>
    <t>NET A PAYER</t>
  </si>
  <si>
    <t>ENTREPRISE</t>
  </si>
  <si>
    <t>Nom</t>
  </si>
  <si>
    <t>Adresse</t>
  </si>
  <si>
    <t>URSAAF (N° et Lieu)</t>
  </si>
  <si>
    <t>NAF</t>
  </si>
  <si>
    <t>SIRET</t>
  </si>
  <si>
    <t xml:space="preserve">Convention Collective (nom complet + IDCC) </t>
  </si>
  <si>
    <t>SALARIE</t>
  </si>
  <si>
    <t>Nom Prénom</t>
  </si>
  <si>
    <t>Code postal</t>
  </si>
  <si>
    <t>Paye du :</t>
  </si>
  <si>
    <t>LIBELLE DES RUBRIQUES</t>
  </si>
  <si>
    <t xml:space="preserve">Taux </t>
  </si>
  <si>
    <t>Montant</t>
  </si>
  <si>
    <t>Commentaires</t>
  </si>
  <si>
    <t>Salaire forfaitaire</t>
  </si>
  <si>
    <t>Total brut</t>
  </si>
  <si>
    <t>Cotisations</t>
  </si>
  <si>
    <t>Sécurité Sociale</t>
  </si>
  <si>
    <t>Complémentaire Santé</t>
  </si>
  <si>
    <t>Incapacité, Invalidité, Capital décés</t>
  </si>
  <si>
    <t>ASSURANCE ACCIDENT DU TRAVAIL, MALADIE PROF</t>
  </si>
  <si>
    <t>ASSURANCE RETRAITE</t>
  </si>
  <si>
    <t>Complémentaire</t>
  </si>
  <si>
    <t>Supplémentaire</t>
  </si>
  <si>
    <t>ALLOCATIONS FAMILIALES</t>
  </si>
  <si>
    <t>ASSURANCE CHÔMAGE</t>
  </si>
  <si>
    <t>APEC</t>
  </si>
  <si>
    <t>Autres contributions dues par l'employeur</t>
  </si>
  <si>
    <t>Cotisations Statutaires ou prévues par la Conv. Coll.</t>
  </si>
  <si>
    <t>ASSURANCE SANTE</t>
  </si>
  <si>
    <t>CSG Non Imposables</t>
  </si>
  <si>
    <t>CSG &amp; CRDS Imposables</t>
  </si>
  <si>
    <t>Allègement de Cotisations</t>
  </si>
  <si>
    <t>TOTAL DES COTISATIONS ET CONTRIBUTIONS</t>
  </si>
  <si>
    <t>Part Salariale</t>
  </si>
  <si>
    <t>Part Patronale</t>
  </si>
  <si>
    <t>NET A PAYER EN EUROS</t>
  </si>
  <si>
    <t>Total versé par l'employeur</t>
  </si>
  <si>
    <t>Allègement de cotisations</t>
  </si>
  <si>
    <t>Plafond</t>
  </si>
  <si>
    <t>Complément SMIC</t>
  </si>
  <si>
    <t>Taux horaire</t>
  </si>
  <si>
    <t>Heures supplémentaires à 25%</t>
  </si>
  <si>
    <t>Heures supplémentaires à 50%</t>
  </si>
  <si>
    <t>Absence</t>
  </si>
  <si>
    <t>ICCP</t>
  </si>
  <si>
    <t xml:space="preserve">CALCUL DES CP </t>
  </si>
  <si>
    <t>ouvrés</t>
  </si>
  <si>
    <t>ouvrables</t>
  </si>
  <si>
    <t>réèls</t>
  </si>
  <si>
    <t>moyen</t>
  </si>
  <si>
    <t>Calcul du maintien</t>
  </si>
  <si>
    <t xml:space="preserve">Nbre de jours CP </t>
  </si>
  <si>
    <t>Salaire BRUT M-1</t>
  </si>
  <si>
    <t>Salaire de ref</t>
  </si>
  <si>
    <t>quotien R10</t>
  </si>
  <si>
    <t>CHOIX / JOURS</t>
  </si>
  <si>
    <t>Réèls ou Moyen</t>
  </si>
  <si>
    <t>SOLDE DES CP</t>
  </si>
  <si>
    <t xml:space="preserve">Cumul des ICP </t>
  </si>
  <si>
    <t>Règle du 10eme</t>
  </si>
  <si>
    <t>FRACTIONNEMENT</t>
  </si>
  <si>
    <t>Nbre de jours de fractionnement</t>
  </si>
  <si>
    <t>Cumul des ICP</t>
  </si>
  <si>
    <t>ICCP Annuel</t>
  </si>
  <si>
    <t>Régul ICCP</t>
  </si>
  <si>
    <t>Ouvrés réèls</t>
  </si>
  <si>
    <t>Ouvrables réèls</t>
  </si>
  <si>
    <t>Calendaires</t>
  </si>
  <si>
    <t>SALAIRE BRUT</t>
  </si>
  <si>
    <t>Calcul de l'absence</t>
  </si>
  <si>
    <t>Horaire réèl</t>
  </si>
  <si>
    <t>Mensuel Moyen</t>
  </si>
  <si>
    <t>J ouvrés réèls</t>
  </si>
  <si>
    <t>J ouvrés moyen</t>
  </si>
  <si>
    <t>J ouvrables réèls</t>
  </si>
  <si>
    <t>J ouvrables moyen</t>
  </si>
  <si>
    <t>Calendaires réèls</t>
  </si>
  <si>
    <t>Du 30eme</t>
  </si>
  <si>
    <t>HEURES SUPPLEMENTAIRES</t>
  </si>
  <si>
    <t>36eme à 43eme</t>
  </si>
  <si>
    <t>Soit les 8 premières heures</t>
  </si>
  <si>
    <t xml:space="preserve"> + de la 44eme </t>
  </si>
  <si>
    <t>Si heures structurelles</t>
  </si>
  <si>
    <t>Au-delà des H structurelles à la 43eme</t>
  </si>
  <si>
    <t>Liste déroulante</t>
  </si>
  <si>
    <t>A remplir</t>
  </si>
  <si>
    <t>Début de l'absence</t>
  </si>
  <si>
    <t>Fin de l'absence</t>
  </si>
  <si>
    <t>Mois de</t>
  </si>
  <si>
    <t>Jour de l'an</t>
  </si>
  <si>
    <t>Lundi de Pâques</t>
  </si>
  <si>
    <t>Fête du travail</t>
  </si>
  <si>
    <t>Victoire 1945</t>
  </si>
  <si>
    <t>Ascension</t>
  </si>
  <si>
    <t>Fete nationale</t>
  </si>
  <si>
    <t>Assomption</t>
  </si>
  <si>
    <t>Toussaint</t>
  </si>
  <si>
    <t>Armistice</t>
  </si>
  <si>
    <t>Noêl</t>
  </si>
  <si>
    <t>Pâques</t>
  </si>
  <si>
    <t>Pentecôte</t>
  </si>
  <si>
    <t>Liste des jours fériés de l'annee</t>
  </si>
  <si>
    <t>Date de début CP</t>
  </si>
  <si>
    <t>Date de fin CP</t>
  </si>
  <si>
    <t>Jours ouvrables réèl du mois</t>
  </si>
  <si>
    <t>Nbre heures de travail par semaine</t>
  </si>
  <si>
    <t>Nbre jours de travail par semaine</t>
  </si>
  <si>
    <t>Attention aux semaines à cheval sur 2 mois, les heures sup du mois précédent basculent sur le mois M</t>
  </si>
  <si>
    <t>Prime d'anciènneté</t>
  </si>
  <si>
    <t>h</t>
  </si>
  <si>
    <t>J</t>
  </si>
  <si>
    <t>Avantage en nature déduction</t>
  </si>
  <si>
    <t>AVANTAGE EN NATURE</t>
  </si>
  <si>
    <t>Valeur faciale TR</t>
  </si>
  <si>
    <t>Tickets Resto Part salariale</t>
  </si>
  <si>
    <t>Part salariale</t>
  </si>
  <si>
    <t>Valeur maxi de la PP du TR</t>
  </si>
  <si>
    <t>TICKETS RESTO</t>
  </si>
  <si>
    <t>AVANTAGE EN NATURE - TR</t>
  </si>
  <si>
    <t>AVANTAGE EN NATURE - Evaluation Forfaitaire nourriture</t>
  </si>
  <si>
    <t xml:space="preserve">Part salariale </t>
  </si>
  <si>
    <t>Evaluation forfaitaire</t>
  </si>
  <si>
    <t>Participation salarié repas</t>
  </si>
  <si>
    <t>Nbre de jours</t>
  </si>
  <si>
    <t>Participation Salarié repas</t>
  </si>
  <si>
    <t>AVANTAGE EN NATURE - Logement forfaitaire</t>
  </si>
  <si>
    <t>Rémunération brute</t>
  </si>
  <si>
    <t>1 Pièce</t>
  </si>
  <si>
    <t>Nbre de pièces</t>
  </si>
  <si>
    <t>Plusieurs pièces</t>
  </si>
  <si>
    <t>TOTAL AN</t>
  </si>
  <si>
    <t>De 1634,50 à 1961,39</t>
  </si>
  <si>
    <t>De 1961,40 à 2288,29</t>
  </si>
  <si>
    <t>De 2288,30 à 2942,09</t>
  </si>
  <si>
    <t>De 2942,10 à 3595,89</t>
  </si>
  <si>
    <t>De 3595,90 à 4249,69</t>
  </si>
  <si>
    <t>De 4249,70 à 4903,49</t>
  </si>
  <si>
    <t>Au-delà de 4903,50</t>
  </si>
  <si>
    <t>Infèrieur à 1634,50</t>
  </si>
  <si>
    <t>Avantage en nature logement</t>
  </si>
  <si>
    <t>LISTE DEROULANTE</t>
  </si>
  <si>
    <t>AVANTAGE EN NATURE - Véhicule</t>
  </si>
  <si>
    <t>Frais assurance</t>
  </si>
  <si>
    <t>Autres frais</t>
  </si>
  <si>
    <t>Frais entretien</t>
  </si>
  <si>
    <t>Location annuelle</t>
  </si>
  <si>
    <t>Choix de l'AN</t>
  </si>
  <si>
    <t>Lundi de pentecôte</t>
  </si>
  <si>
    <t>Acompte</t>
  </si>
  <si>
    <t>Solde de CP N-1</t>
  </si>
  <si>
    <t>Règle du 10 eme</t>
  </si>
  <si>
    <t>Solde de CP N</t>
  </si>
  <si>
    <t>Salaire de ref N</t>
  </si>
  <si>
    <t xml:space="preserve">Si pas d'ICCP sur les CP N-1 pris il faut réguler l'ICCP au solde </t>
  </si>
  <si>
    <t>ICCP N-1</t>
  </si>
  <si>
    <t>ICCP N-1 Solde ( règle du 10eme annuel)</t>
  </si>
  <si>
    <t>Solde CP N-1 / ICCP</t>
  </si>
  <si>
    <t>Solde CP N / ICCP</t>
  </si>
  <si>
    <t>règle du 10eme</t>
  </si>
  <si>
    <t>maintien</t>
  </si>
  <si>
    <t>Avantage en nature véhicule</t>
  </si>
  <si>
    <t xml:space="preserve">ACHAT </t>
  </si>
  <si>
    <t>LOCATION OPTION ACHAT</t>
  </si>
  <si>
    <t>TTC</t>
  </si>
  <si>
    <t xml:space="preserve"> / An</t>
  </si>
  <si>
    <t>Choix du calcul de l'AN sur du LOA</t>
  </si>
  <si>
    <t xml:space="preserve">On assimile à du travail effectif les repos compensateur et congés pour évènements familiaux. </t>
  </si>
  <si>
    <t xml:space="preserve">Est exclus les CP, les congés maladies, et les jours fériés ( sf 1er mai) </t>
  </si>
  <si>
    <t>Calcul d'heures</t>
  </si>
  <si>
    <t>matin</t>
  </si>
  <si>
    <t>debut</t>
  </si>
  <si>
    <t>fin</t>
  </si>
  <si>
    <t>depart</t>
  </si>
  <si>
    <t>am</t>
  </si>
  <si>
    <t>total</t>
  </si>
  <si>
    <t>1-Réèl - 5 ans</t>
  </si>
  <si>
    <t>2-Réèl + 5 ans</t>
  </si>
  <si>
    <t>3-Forfait - 5 ans</t>
  </si>
  <si>
    <t>4-Forfait + 5 ans</t>
  </si>
  <si>
    <t>5-Forfait / employeur paye le carburant / - 5 ANS</t>
  </si>
  <si>
    <t>6-Forfait / employeur paye le carburant / + 5ANS</t>
  </si>
  <si>
    <t>1-Loa réèl</t>
  </si>
  <si>
    <t>2-Forfait LOA / Salarié paye son carburant</t>
  </si>
  <si>
    <t>3-Forfait LOA / Employeur paye le carburant / PRIVE + PERSO</t>
  </si>
  <si>
    <t>4-Forfait LOA / Employeur paye le carburant / PRIVE</t>
  </si>
  <si>
    <t>Choix du calcul de l'AN sur l'achat</t>
  </si>
  <si>
    <t>ABS</t>
  </si>
  <si>
    <t>CP</t>
  </si>
  <si>
    <t>BULLETIN</t>
  </si>
  <si>
    <t>Avantage en nature Repas</t>
  </si>
  <si>
    <t>ANTR</t>
  </si>
  <si>
    <t>ANREPAS</t>
  </si>
  <si>
    <t>ANLOGEMENT</t>
  </si>
  <si>
    <t>ANVEHICULE</t>
  </si>
  <si>
    <t>HS</t>
  </si>
  <si>
    <t xml:space="preserve">quotient maintien </t>
  </si>
  <si>
    <t>Jours ouvrés réèls du mois</t>
  </si>
  <si>
    <t>Prime de précarité</t>
  </si>
  <si>
    <t>Heures complémentaires à 10%</t>
  </si>
  <si>
    <t>CONVERSION MINUTES EN CENTIEMES</t>
  </si>
  <si>
    <t>CONVERSION CENTIEMES EN MINUTES</t>
  </si>
  <si>
    <t>Prime exceptionnelle</t>
  </si>
  <si>
    <t>Salaire de base</t>
  </si>
  <si>
    <t>Avantage en nature NVELLE TECHNOLOGIE</t>
  </si>
  <si>
    <t>Embauche</t>
  </si>
  <si>
    <t>Date du jour</t>
  </si>
  <si>
    <t>DIFFERENCE</t>
  </si>
  <si>
    <t>BAREME DE SAISIE DES REMUNERATIONS</t>
  </si>
  <si>
    <t xml:space="preserve"> </t>
  </si>
  <si>
    <t xml:space="preserve">  </t>
  </si>
  <si>
    <t>Saisie sur salaire</t>
  </si>
  <si>
    <t>SAISIE</t>
  </si>
  <si>
    <t>Avance sur salaire 10% du net après retenue</t>
  </si>
  <si>
    <t>http://rfpaye.grouperf.com/calcul/?fichier=saisie_sur_salaires</t>
  </si>
  <si>
    <t>Salaire net après retenue</t>
  </si>
  <si>
    <t>Salaire net à payer</t>
  </si>
  <si>
    <t>Px HA véhicule ou amortissement</t>
  </si>
  <si>
    <t>Km perso</t>
  </si>
  <si>
    <t>Total km</t>
  </si>
  <si>
    <t>Avantage en nature mensuel</t>
  </si>
  <si>
    <t>W Réalisé</t>
  </si>
  <si>
    <t>H SUP</t>
  </si>
  <si>
    <t>H SUP 25%</t>
  </si>
  <si>
    <t>H SUP 50%</t>
  </si>
  <si>
    <t>Indemnité repas s/ chantier</t>
  </si>
  <si>
    <t>Prise en charge abonnement Transport</t>
  </si>
  <si>
    <t>Montant du titre</t>
  </si>
  <si>
    <t>Prise en charge transport</t>
  </si>
  <si>
    <t>Prise en charge PART PATRONALE</t>
  </si>
  <si>
    <t>A remonter dans le brut</t>
  </si>
  <si>
    <t>Transport</t>
  </si>
  <si>
    <t>Pour le cacul du taux horaire des heures supplémentaires</t>
  </si>
  <si>
    <t>Prime de rendement</t>
  </si>
  <si>
    <t xml:space="preserve">il faut prendre tout ce qui est lier au travail ( AN + PRIME ) </t>
  </si>
  <si>
    <t>TEMPS PARTIEL</t>
  </si>
  <si>
    <t>Les heures complémentaires réalisés à hauteur de 1/10 du contrat de travail sont majorés à 10%</t>
  </si>
  <si>
    <t>les heures complémentaires réalisés entre le 1/10 et le 1/3 du contrat de travail sont majorés à 25 %</t>
  </si>
  <si>
    <t xml:space="preserve">Choix de l'Absence </t>
  </si>
  <si>
    <t>Jour Mois REELS</t>
  </si>
  <si>
    <t xml:space="preserve"> Jours Mois MOYEN</t>
  </si>
  <si>
    <t>lien direct</t>
  </si>
  <si>
    <t>Contrat</t>
  </si>
  <si>
    <t>1/10 HC</t>
  </si>
  <si>
    <t>1/3 MAX HC</t>
  </si>
  <si>
    <t>Contrat semaine</t>
  </si>
  <si>
    <t xml:space="preserve">TOTAL </t>
  </si>
  <si>
    <t>Centièmes</t>
  </si>
  <si>
    <t>Heures</t>
  </si>
  <si>
    <t xml:space="preserve">Choix de l'absence </t>
  </si>
  <si>
    <t>Le code du travail ne précise pas les éléments à prendre en compte dans la base de calcul des heures supplémentaires. Selon la jurisprudence, entrent dans cette assiette, le salaire horaire effectif et les primes et indemnités ayant le caractère d’un salaire.</t>
  </si>
  <si>
    <t>Sont ainsi visées les sommes qui constituent la contrepartie directe du travail effectué ou inhérentes à la nature du travail :</t>
  </si>
  <si>
    <t>– les primes pour travail du dimanche et des jours fériés</t>
  </si>
  <si>
    <t>– les primes de danger, de froid, d’insalubrité, de pénibilité</t>
  </si>
  <si>
    <t>– les primes de rendement directement liées au travail individuel ou collectif du salarié</t>
  </si>
  <si>
    <t>– les primes d’assiduité</t>
  </si>
  <si>
    <r>
      <t>– les gratifications annuelles (13</t>
    </r>
    <r>
      <rPr>
        <vertAlign val="superscript"/>
        <sz val="11"/>
        <color theme="1"/>
        <rFont val="Calibri"/>
        <family val="2"/>
        <scheme val="minor"/>
      </rPr>
      <t>e</t>
    </r>
    <r>
      <rPr>
        <sz val="11"/>
        <color theme="1"/>
        <rFont val="Calibri"/>
        <family val="2"/>
        <scheme val="minor"/>
      </rPr>
      <t xml:space="preserve"> mois, prime de vacances) si leur versement est lié au fait que le contrat soit en cours d’exécution.</t>
    </r>
  </si>
  <si>
    <t>Sont en revanche exclues :</t>
  </si>
  <si>
    <t>– les primes représentatives de frais professionnels (panier, outillage, déplacement…)</t>
  </si>
  <si>
    <t>– les primes d’ancienneté, liées à la durée de présence et non au travail fourni</t>
  </si>
  <si>
    <t>– les primes de rendement liées à la productivité générale de l’entreprise.</t>
  </si>
  <si>
    <t>Quelles primes inclure dans la base de calcul de la majoration pour heure supplémentaire ?</t>
  </si>
  <si>
    <t>Tranche</t>
  </si>
  <si>
    <t>Tranche personne à charge</t>
  </si>
  <si>
    <t>Quotité saisissable</t>
  </si>
  <si>
    <t>Quotité saisissable par tranche</t>
  </si>
  <si>
    <t>Nbre de personnes à charge</t>
  </si>
  <si>
    <t>Quotité Insaisissable</t>
  </si>
  <si>
    <t>Quotité Totalement Saisissable</t>
  </si>
  <si>
    <t>Quotité Relativement Saisissable
( Pensions Alimentaires )  (1)</t>
  </si>
  <si>
    <t>Personne à charge Montant</t>
  </si>
  <si>
    <t>RMI / RSA</t>
  </si>
  <si>
    <t>TOTAL SAISISSABLE</t>
  </si>
  <si>
    <t>Plaft.
RMI
(O/N)</t>
  </si>
  <si>
    <t>Quotité saisissable plafonnée</t>
  </si>
  <si>
    <t>SAISIE A EFFECTUER</t>
  </si>
  <si>
    <t xml:space="preserve">salaire brut : on ne prends QUE le salaire deBASE , SANS LES PRIMES.On exclut les diverses primes , rendement, assiduité !!! Attention quand même au Convention Collective)                                                              Selon la jurisprudence : POUR LA PRIME D'ANCIENNETE il faut la comptabiliser une seule et unique fois lors de la première prise de congé </t>
  </si>
  <si>
    <t>Différence</t>
  </si>
  <si>
    <t>Qtt S</t>
  </si>
  <si>
    <t xml:space="preserve"> 1/20</t>
  </si>
  <si>
    <t xml:space="preserve"> 1/10</t>
  </si>
  <si>
    <t xml:space="preserve"> 1/5</t>
  </si>
  <si>
    <t xml:space="preserve"> 1/4</t>
  </si>
  <si>
    <t xml:space="preserve"> 1/3</t>
  </si>
  <si>
    <t xml:space="preserve"> 2/3 </t>
  </si>
  <si>
    <t>100</t>
  </si>
  <si>
    <t>Frais de déplacement</t>
  </si>
  <si>
    <t xml:space="preserve">Plafond Sécu </t>
  </si>
  <si>
    <t>Plafond secu</t>
  </si>
  <si>
    <t>Vieillesse plafonnée TR A</t>
  </si>
  <si>
    <t>smic mensuel 151,67</t>
  </si>
  <si>
    <t>BASE SMIC</t>
  </si>
  <si>
    <t>Taux AT Moyen</t>
  </si>
  <si>
    <t>Nbre salariés</t>
  </si>
  <si>
    <t>ARRCO Tr2</t>
  </si>
  <si>
    <t>ARRCO Tr1</t>
  </si>
  <si>
    <t>AGGF Tr2</t>
  </si>
  <si>
    <t>AGFF Tr1</t>
  </si>
  <si>
    <t>Prévoyance Complémentaire Décés</t>
  </si>
  <si>
    <t xml:space="preserve">Prévoyance Complémentaire Santé ( mutuelle) </t>
  </si>
  <si>
    <t>Forfait Social</t>
  </si>
  <si>
    <t>Cotisation pénibilité de base</t>
  </si>
  <si>
    <t>Financement des organisations syndicales</t>
  </si>
  <si>
    <t>Versement Transport</t>
  </si>
  <si>
    <t>Total Cot SAL</t>
  </si>
  <si>
    <t>Tot Cot PAT</t>
  </si>
  <si>
    <t>Participation Construction</t>
  </si>
  <si>
    <t>Taxe sur les salaires</t>
  </si>
  <si>
    <t>TVA</t>
  </si>
  <si>
    <t xml:space="preserve">Uniquement pour les associations , masquer la ligne si besoin </t>
  </si>
  <si>
    <t>Taxe d'apprentissage</t>
  </si>
  <si>
    <t>Taxe sur la Formation Continue</t>
  </si>
  <si>
    <t>Total</t>
  </si>
  <si>
    <t>CSG Non déductibles</t>
  </si>
  <si>
    <t>CRDS Non déductibles</t>
  </si>
  <si>
    <t>Salaire Net Après Retenue</t>
  </si>
  <si>
    <t>SALAIRE NET A PAYER</t>
  </si>
  <si>
    <t xml:space="preserve">Nbre heures / mois </t>
  </si>
  <si>
    <t>Taux AT Donné</t>
  </si>
  <si>
    <t>Taux AT applicable</t>
  </si>
  <si>
    <t>Calcul de l'absence cp</t>
  </si>
  <si>
    <t>Nbre heures absence réèlles</t>
  </si>
  <si>
    <t>Nbre heure travail réèl / mois</t>
  </si>
  <si>
    <t>INFORMATION GENERALE</t>
  </si>
  <si>
    <t>PRIMES</t>
  </si>
  <si>
    <t xml:space="preserve"> * Liste déroulante</t>
  </si>
  <si>
    <t xml:space="preserve">Abs CP </t>
  </si>
  <si>
    <t>Calcul des ABSENCES CP</t>
  </si>
  <si>
    <t>Montant de l'absence</t>
  </si>
  <si>
    <t>Prime exceptionnalle</t>
  </si>
  <si>
    <t>Ville</t>
  </si>
  <si>
    <t>INFO</t>
  </si>
  <si>
    <t>Valeur faciale</t>
  </si>
  <si>
    <t xml:space="preserve"> * A remplir sur l'onglet CP</t>
  </si>
  <si>
    <t>Prévoyance Mutuelle</t>
  </si>
  <si>
    <t>Part SALARIAL Mutuelle</t>
  </si>
  <si>
    <t>Versement transport</t>
  </si>
  <si>
    <t>Choix du calcul HA</t>
  </si>
  <si>
    <t>Choix du calcul LOA</t>
  </si>
  <si>
    <t>Avantage en nature HA</t>
  </si>
  <si>
    <t>Avantage en nature LOA</t>
  </si>
  <si>
    <t>A remplir 1 fois par an ou si modif / données nationales</t>
  </si>
  <si>
    <t>calcul automatique</t>
  </si>
  <si>
    <t xml:space="preserve">HA sur l'année </t>
  </si>
  <si>
    <t>Abonnement mensuel</t>
  </si>
  <si>
    <t>HEURES COMPLEMNTAIRES 10%</t>
  </si>
  <si>
    <t>HEURES SUPPLEMENTAIRES 25%</t>
  </si>
  <si>
    <t>HEURES SUPPLEMENTAIRES 50%</t>
  </si>
  <si>
    <t>en centièmes</t>
  </si>
  <si>
    <t>Avance sur salaire</t>
  </si>
  <si>
    <t>OUI</t>
  </si>
  <si>
    <t>NON</t>
  </si>
  <si>
    <t>SASIE SUR SALAIRE</t>
  </si>
  <si>
    <t>Tx H complémentaires à 10%</t>
  </si>
  <si>
    <t>Tx H supplémentaires à 25%</t>
  </si>
  <si>
    <t>Tx H supplémentaires à 50%</t>
  </si>
  <si>
    <t xml:space="preserve"> * liste déroulante</t>
  </si>
  <si>
    <t>RMI/RSA</t>
  </si>
  <si>
    <t>Saisie salaire</t>
  </si>
  <si>
    <t>Aller sur l'onglet Abs_CP</t>
  </si>
  <si>
    <t>Aller sur l'onglet CP</t>
  </si>
  <si>
    <t>Si HSUP aller sur l'onglet H SUP</t>
  </si>
  <si>
    <t>Salaire brut pour calcul</t>
  </si>
  <si>
    <t>Calcul des ABSENCES Non Rémunérées</t>
  </si>
  <si>
    <t>Calcul de l'absence non rémunérée</t>
  </si>
  <si>
    <t>abs non rémunéree</t>
  </si>
  <si>
    <t>ABS_NR</t>
  </si>
  <si>
    <t xml:space="preserve">Nbre de pièces </t>
  </si>
  <si>
    <t>Type contrat</t>
  </si>
  <si>
    <t>Durée contrat</t>
  </si>
  <si>
    <t>CDI</t>
  </si>
  <si>
    <t>Temps Complet</t>
  </si>
  <si>
    <t>Temps Partiel</t>
  </si>
  <si>
    <t>Prévoyance DC Part salariale</t>
  </si>
  <si>
    <t>Prévoyance DC Part Patronale</t>
  </si>
  <si>
    <t>Nbre total d'heures</t>
  </si>
  <si>
    <t>Nbre d'heures à 10%</t>
  </si>
  <si>
    <t>Nbre d'heures à 25%</t>
  </si>
  <si>
    <t>Sub Bouton1_QuandClic()</t>
  </si>
  <si>
    <t>Dim C As Range</t>
  </si>
  <si>
    <t>    For Each C In[B] Sheets("Feuil1")[/B].UsedRange</t>
  </si>
  <si>
    <t>        With C.Interior</t>
  </si>
  <si>
    <t>            .ColorIndex = IIf(.ColorIndex = 6, xlNone, .ColorIndex)</t>
  </si>
  <si>
    <t>        End With</t>
  </si>
  <si>
    <t>    Next C</t>
  </si>
  <si>
    <t>End Sub</t>
  </si>
  <si>
    <t xml:space="preserve">macro POUR SUPPRIMER DES CELLULLES EN JAUNE </t>
  </si>
  <si>
    <t>Nbre de jours donnant droit au TR</t>
  </si>
  <si>
    <t>Taux Applicable chômage</t>
  </si>
  <si>
    <t>CDD &lt; =1 mois</t>
  </si>
  <si>
    <t>CDD Compris entre 1 mois et 3 mois</t>
  </si>
  <si>
    <t>CDD d'usage &lt;= 3 Mois</t>
  </si>
  <si>
    <t xml:space="preserve">CDD remplacement , saisonnier ; intérim </t>
  </si>
  <si>
    <t>CDD &gt; 3 mois</t>
  </si>
  <si>
    <t>HA véhicule / amortissement</t>
  </si>
  <si>
    <t>Transport Montant</t>
  </si>
  <si>
    <t xml:space="preserve">Montant de la PP </t>
  </si>
  <si>
    <t xml:space="preserve"> *  Si dirigeant on fait tout au réèl.                                                                                                                                                  * Conditions des TR: Valeur faciale supèrieure à  5,38 € ( valeur transmise ) et Part patronale comprise entre 50% et 60%, au delà de  60% on prends la totalité de la part patronale par le nbre de jour , soumis à cotisations</t>
  </si>
  <si>
    <t>Solde de RTT</t>
  </si>
  <si>
    <t>Solde de RTT à payer</t>
  </si>
  <si>
    <t>Nbre de jours cp acquis sur l'année</t>
  </si>
  <si>
    <t>Nbre de jours cp sur l'année normale</t>
  </si>
  <si>
    <t>ICCP DE SOLDE CP N</t>
  </si>
  <si>
    <t xml:space="preserve">REPAS / TR </t>
  </si>
  <si>
    <t>LOGEMENT</t>
  </si>
  <si>
    <t>VEHICULE</t>
  </si>
  <si>
    <t>NOUVELLE TECHNOLOGIE</t>
  </si>
  <si>
    <t>TITRE DE TRANSPORT</t>
  </si>
  <si>
    <t>Janvier</t>
  </si>
  <si>
    <t>Février</t>
  </si>
  <si>
    <t>Mars</t>
  </si>
  <si>
    <t>Avril</t>
  </si>
  <si>
    <t>Mai</t>
  </si>
  <si>
    <t>Juin</t>
  </si>
  <si>
    <t>Juillet</t>
  </si>
  <si>
    <t>Août</t>
  </si>
  <si>
    <t>Septembre</t>
  </si>
  <si>
    <t>Octobre</t>
  </si>
  <si>
    <t>Novembre</t>
  </si>
  <si>
    <t>Décembre</t>
  </si>
  <si>
    <t>Ouvrables réels en comptant les jours fériés</t>
  </si>
  <si>
    <t>Nbre heures/ semaine</t>
  </si>
  <si>
    <t>Nbre Jours / semaine</t>
  </si>
  <si>
    <t>Salaire brut M-1 pour calcul</t>
  </si>
  <si>
    <t>Salaire de référence pour calcul</t>
  </si>
  <si>
    <t>Cumul des ICCP percus * montant</t>
  </si>
  <si>
    <t>Solde de CP N-1 à payer * jours</t>
  </si>
  <si>
    <t>Solde de CP N à payer * jours</t>
  </si>
  <si>
    <t>Salaire M-1 pour maintien</t>
  </si>
  <si>
    <t>Salaire de ref N pour règle du 10eme</t>
  </si>
  <si>
    <t>Nbre de jours CP donné par l'Ets sur 12 mois</t>
  </si>
  <si>
    <t>Cumul ICCP percus</t>
  </si>
  <si>
    <t>Salaire net après cotisations</t>
  </si>
  <si>
    <t>Total déduction et indemnités</t>
  </si>
  <si>
    <t>Net imposable</t>
  </si>
  <si>
    <t>Montant du salaire pour AN logement</t>
  </si>
  <si>
    <t>Fourchette</t>
  </si>
  <si>
    <t>Montant de la retenue CP</t>
  </si>
  <si>
    <t>Montant ICCP</t>
  </si>
  <si>
    <t>Montant solde ICCP N</t>
  </si>
  <si>
    <t>Montant solde ICCP N-1</t>
  </si>
  <si>
    <t>Régul ICCP fractionnement</t>
  </si>
  <si>
    <t>Régul ICCP (Fractionnement)</t>
  </si>
  <si>
    <t>AN EVALUATION FORFAITAIRE</t>
  </si>
  <si>
    <t>AN TR</t>
  </si>
  <si>
    <t>AN LOGEMENT</t>
  </si>
  <si>
    <t>AN VEHICULE HA</t>
  </si>
  <si>
    <t>AN VEHICULE LOA</t>
  </si>
  <si>
    <t>AN TECHNO</t>
  </si>
  <si>
    <t>AN ABONNEMENT</t>
  </si>
  <si>
    <t>NOM Prénom</t>
  </si>
  <si>
    <t>NOM</t>
  </si>
  <si>
    <t xml:space="preserve">Montant salaire pour calcul </t>
  </si>
  <si>
    <t>Matricule :</t>
  </si>
  <si>
    <t>N° Sécurité sociale :</t>
  </si>
  <si>
    <t>Qualification :</t>
  </si>
  <si>
    <t>Coeffcient :</t>
  </si>
  <si>
    <t>Date d'entrée :</t>
  </si>
  <si>
    <t>Plafond Sécu:</t>
  </si>
</sst>
</file>

<file path=xl/styles.xml><?xml version="1.0" encoding="utf-8"?>
<styleSheet xmlns="http://schemas.openxmlformats.org/spreadsheetml/2006/main">
  <numFmts count="5">
    <numFmt numFmtId="164" formatCode="_-* #,##0.00\ [$€-40C]_-;\-* #,##0.00\ [$€-40C]_-;_-* &quot;-&quot;??\ [$€-40C]_-;_-@_-"/>
    <numFmt numFmtId="165" formatCode="[h]:mm;@"/>
    <numFmt numFmtId="166" formatCode="[h]:mm"/>
    <numFmt numFmtId="167" formatCode="0.000%"/>
    <numFmt numFmtId="168" formatCode="[$-40C]mmm\-yyyy;@"/>
  </numFmts>
  <fonts count="52">
    <font>
      <sz val="11"/>
      <color theme="1"/>
      <name val="Calibri"/>
      <family val="2"/>
      <scheme val="minor"/>
    </font>
    <font>
      <b/>
      <sz val="11"/>
      <color theme="1"/>
      <name val="Calibri"/>
      <family val="2"/>
      <scheme val="minor"/>
    </font>
    <font>
      <b/>
      <sz val="11"/>
      <name val="Calibri"/>
      <family val="2"/>
      <scheme val="minor"/>
    </font>
    <font>
      <sz val="11"/>
      <color theme="1"/>
      <name val="Calibri"/>
      <family val="2"/>
      <scheme val="minor"/>
    </font>
    <font>
      <b/>
      <sz val="11"/>
      <color rgb="FFFF0000"/>
      <name val="Calibri"/>
      <family val="2"/>
      <scheme val="minor"/>
    </font>
    <font>
      <sz val="10"/>
      <color theme="1"/>
      <name val="Calibri"/>
      <family val="2"/>
      <scheme val="minor"/>
    </font>
    <font>
      <sz val="9"/>
      <color theme="1"/>
      <name val="Calibri"/>
      <family val="2"/>
      <scheme val="minor"/>
    </font>
    <font>
      <b/>
      <u/>
      <sz val="16"/>
      <color rgb="FFFF0000"/>
      <name val="Calibri"/>
      <family val="2"/>
      <scheme val="minor"/>
    </font>
    <font>
      <sz val="11"/>
      <color rgb="FF141414"/>
      <name val="Calibri"/>
      <family val="2"/>
      <scheme val="minor"/>
    </font>
    <font>
      <b/>
      <u/>
      <sz val="11"/>
      <color rgb="FFFF0000"/>
      <name val="Calibri"/>
      <family val="2"/>
      <scheme val="minor"/>
    </font>
    <font>
      <sz val="9"/>
      <color indexed="81"/>
      <name val="Tahoma"/>
      <family val="2"/>
    </font>
    <font>
      <b/>
      <u/>
      <sz val="16"/>
      <name val="Calibri"/>
      <family val="2"/>
      <scheme val="minor"/>
    </font>
    <font>
      <b/>
      <sz val="9"/>
      <color indexed="81"/>
      <name val="Tahoma"/>
      <family val="2"/>
    </font>
    <font>
      <sz val="11"/>
      <color theme="1"/>
      <name val="Calibri"/>
      <family val="2"/>
      <scheme val="minor"/>
    </font>
    <font>
      <b/>
      <sz val="11"/>
      <color rgb="FFFF0000"/>
      <name val="Calibri"/>
      <family val="2"/>
      <scheme val="minor"/>
    </font>
    <font>
      <b/>
      <sz val="16"/>
      <color rgb="FFFF0000"/>
      <name val="Calibri"/>
      <family val="2"/>
      <scheme val="minor"/>
    </font>
    <font>
      <b/>
      <u/>
      <sz val="16"/>
      <color rgb="FFFF0000"/>
      <name val="Calibri"/>
      <family val="2"/>
      <scheme val="minor"/>
    </font>
    <font>
      <sz val="11"/>
      <color theme="1"/>
      <name val="Calibri"/>
      <family val="2"/>
      <scheme val="minor"/>
    </font>
    <font>
      <b/>
      <sz val="14"/>
      <color theme="1"/>
      <name val="Calibri"/>
      <family val="2"/>
      <scheme val="minor"/>
    </font>
    <font>
      <b/>
      <sz val="11"/>
      <color rgb="FFFF0000"/>
      <name val="Calibri"/>
      <family val="2"/>
      <scheme val="minor"/>
    </font>
    <font>
      <b/>
      <u/>
      <sz val="11"/>
      <color theme="1"/>
      <name val="Calibri"/>
      <family val="2"/>
      <scheme val="minor"/>
    </font>
    <font>
      <u/>
      <sz val="11"/>
      <color theme="10"/>
      <name val="Calibri"/>
      <family val="2"/>
      <scheme val="minor"/>
    </font>
    <font>
      <sz val="10"/>
      <name val="Calibri"/>
      <family val="2"/>
    </font>
    <font>
      <sz val="11"/>
      <name val="Calibri"/>
      <family val="2"/>
      <scheme val="minor"/>
    </font>
    <font>
      <sz val="11"/>
      <color rgb="FFFF0000"/>
      <name val="Calibri"/>
      <family val="2"/>
      <scheme val="minor"/>
    </font>
    <font>
      <b/>
      <sz val="18"/>
      <color theme="1"/>
      <name val="Calibri"/>
      <family val="2"/>
      <scheme val="minor"/>
    </font>
    <font>
      <sz val="11"/>
      <color theme="1"/>
      <name val="Calibri"/>
      <family val="2"/>
      <scheme val="minor"/>
    </font>
    <font>
      <b/>
      <sz val="9"/>
      <color theme="1"/>
      <name val="Calibri"/>
      <family val="2"/>
      <scheme val="minor"/>
    </font>
    <font>
      <sz val="9"/>
      <color theme="1"/>
      <name val="Calibri"/>
      <family val="2"/>
      <scheme val="minor"/>
    </font>
    <font>
      <b/>
      <sz val="11"/>
      <color theme="1"/>
      <name val="Calibri"/>
      <family val="2"/>
      <scheme val="minor"/>
    </font>
    <font>
      <u/>
      <sz val="11"/>
      <color theme="10"/>
      <name val="Calibri"/>
      <family val="2"/>
      <scheme val="minor"/>
    </font>
    <font>
      <b/>
      <i/>
      <sz val="11"/>
      <color theme="1"/>
      <name val="Calibri"/>
      <family val="2"/>
      <scheme val="minor"/>
    </font>
    <font>
      <i/>
      <sz val="11"/>
      <color theme="1"/>
      <name val="Calibri"/>
      <family val="2"/>
      <scheme val="minor"/>
    </font>
    <font>
      <vertAlign val="superscript"/>
      <sz val="11"/>
      <color theme="1"/>
      <name val="Calibri"/>
      <family val="2"/>
      <scheme val="minor"/>
    </font>
    <font>
      <sz val="12"/>
      <color theme="1"/>
      <name val="Calibri"/>
      <family val="2"/>
      <scheme val="minor"/>
    </font>
    <font>
      <sz val="10"/>
      <color theme="1"/>
      <name val="Calibri"/>
      <family val="2"/>
    </font>
    <font>
      <b/>
      <sz val="10"/>
      <name val="Calibri"/>
      <family val="2"/>
    </font>
    <font>
      <sz val="10"/>
      <color indexed="17"/>
      <name val="Calibri"/>
      <family val="2"/>
    </font>
    <font>
      <sz val="10"/>
      <name val="Calibri"/>
      <family val="2"/>
      <scheme val="minor"/>
    </font>
    <font>
      <b/>
      <sz val="10"/>
      <color rgb="FFFF0000"/>
      <name val="Calibri"/>
      <family val="2"/>
    </font>
    <font>
      <b/>
      <sz val="16"/>
      <name val="Calibri"/>
      <family val="2"/>
    </font>
    <font>
      <b/>
      <sz val="12"/>
      <color rgb="FFFF0000"/>
      <name val="Calibri"/>
      <family val="2"/>
    </font>
    <font>
      <i/>
      <sz val="10"/>
      <name val="Calibri"/>
      <family val="2"/>
    </font>
    <font>
      <i/>
      <sz val="10"/>
      <color theme="1"/>
      <name val="Calibri"/>
      <family val="2"/>
    </font>
    <font>
      <sz val="8"/>
      <color theme="1"/>
      <name val="Calibri"/>
      <family val="2"/>
      <scheme val="minor"/>
    </font>
    <font>
      <sz val="9"/>
      <name val="Calibri"/>
      <family val="2"/>
      <scheme val="minor"/>
    </font>
    <font>
      <b/>
      <sz val="18"/>
      <name val="Calibri"/>
      <family val="2"/>
      <scheme val="minor"/>
    </font>
    <font>
      <b/>
      <sz val="9"/>
      <name val="Calibri"/>
      <family val="2"/>
      <scheme val="minor"/>
    </font>
    <font>
      <sz val="10"/>
      <color rgb="FF141414"/>
      <name val="Arial"/>
      <family val="2"/>
    </font>
    <font>
      <b/>
      <u/>
      <sz val="14"/>
      <color theme="10"/>
      <name val="Calibri"/>
      <family val="2"/>
      <scheme val="minor"/>
    </font>
    <font>
      <b/>
      <sz val="14"/>
      <name val="Calibri"/>
      <family val="2"/>
      <scheme val="minor"/>
    </font>
    <font>
      <sz val="11"/>
      <color rgb="FF000000"/>
      <name val="Calibri"/>
      <family val="2"/>
      <scheme val="minor"/>
    </font>
  </fonts>
  <fills count="20">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rgb="FFFFFF0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00B0F0"/>
        <bgColor indexed="64"/>
      </patternFill>
    </fill>
    <fill>
      <patternFill patternType="solid">
        <fgColor rgb="FF92D050"/>
        <bgColor indexed="64"/>
      </patternFill>
    </fill>
    <fill>
      <patternFill patternType="solid">
        <fgColor rgb="FFFF0000"/>
        <bgColor indexed="64"/>
      </patternFill>
    </fill>
    <fill>
      <patternFill patternType="solid">
        <fgColor theme="2"/>
        <bgColor indexed="64"/>
      </patternFill>
    </fill>
    <fill>
      <patternFill patternType="solid">
        <fgColor rgb="FFFF99FF"/>
        <bgColor indexed="64"/>
      </patternFill>
    </fill>
    <fill>
      <patternFill patternType="solid">
        <fgColor indexed="27"/>
        <bgColor indexed="41"/>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8" tint="0.59999389629810485"/>
        <bgColor indexed="64"/>
      </patternFill>
    </fill>
  </fills>
  <borders count="14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DashDot">
        <color indexed="64"/>
      </left>
      <right style="thin">
        <color indexed="64"/>
      </right>
      <top style="mediumDashDot">
        <color indexed="64"/>
      </top>
      <bottom style="mediumDashDot">
        <color indexed="64"/>
      </bottom>
      <diagonal/>
    </border>
    <border>
      <left style="thin">
        <color indexed="64"/>
      </left>
      <right style="thin">
        <color indexed="64"/>
      </right>
      <top style="mediumDashDot">
        <color indexed="64"/>
      </top>
      <bottom style="mediumDashDot">
        <color indexed="64"/>
      </bottom>
      <diagonal/>
    </border>
    <border>
      <left style="thin">
        <color indexed="64"/>
      </left>
      <right style="mediumDashDot">
        <color indexed="64"/>
      </right>
      <top style="mediumDashDot">
        <color indexed="64"/>
      </top>
      <bottom style="mediumDashDot">
        <color indexed="64"/>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indexed="64"/>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dashDotDot">
        <color indexed="64"/>
      </left>
      <right/>
      <top style="dashDotDot">
        <color indexed="64"/>
      </top>
      <bottom/>
      <diagonal/>
    </border>
    <border>
      <left/>
      <right/>
      <top style="dashDotDot">
        <color indexed="64"/>
      </top>
      <bottom/>
      <diagonal/>
    </border>
    <border>
      <left/>
      <right style="dashDotDot">
        <color indexed="64"/>
      </right>
      <top style="dashDotDot">
        <color indexed="64"/>
      </top>
      <bottom/>
      <diagonal/>
    </border>
    <border>
      <left style="dashDotDot">
        <color auto="1"/>
      </left>
      <right style="hair">
        <color auto="1"/>
      </right>
      <top style="dashDotDot">
        <color auto="1"/>
      </top>
      <bottom style="hair">
        <color auto="1"/>
      </bottom>
      <diagonal/>
    </border>
    <border>
      <left style="hair">
        <color auto="1"/>
      </left>
      <right style="dashDotDot">
        <color auto="1"/>
      </right>
      <top style="dashDotDot">
        <color auto="1"/>
      </top>
      <bottom style="hair">
        <color auto="1"/>
      </bottom>
      <diagonal/>
    </border>
    <border>
      <left style="dashDotDot">
        <color auto="1"/>
      </left>
      <right style="hair">
        <color auto="1"/>
      </right>
      <top style="hair">
        <color auto="1"/>
      </top>
      <bottom style="dashDotDot">
        <color auto="1"/>
      </bottom>
      <diagonal/>
    </border>
    <border>
      <left style="hair">
        <color auto="1"/>
      </left>
      <right style="dashDotDot">
        <color auto="1"/>
      </right>
      <top style="hair">
        <color auto="1"/>
      </top>
      <bottom style="dashDotDot">
        <color auto="1"/>
      </bottom>
      <diagonal/>
    </border>
    <border>
      <left style="mediumDashDot">
        <color auto="1"/>
      </left>
      <right/>
      <top style="mediumDashDot">
        <color auto="1"/>
      </top>
      <bottom style="mediumDashDot">
        <color auto="1"/>
      </bottom>
      <diagonal/>
    </border>
    <border>
      <left/>
      <right/>
      <top style="mediumDashDot">
        <color auto="1"/>
      </top>
      <bottom style="mediumDashDot">
        <color auto="1"/>
      </bottom>
      <diagonal/>
    </border>
    <border>
      <left/>
      <right style="mediumDashDot">
        <color auto="1"/>
      </right>
      <top style="mediumDashDot">
        <color auto="1"/>
      </top>
      <bottom style="mediumDashDot">
        <color auto="1"/>
      </bottom>
      <diagonal/>
    </border>
    <border>
      <left style="dashDotDot">
        <color auto="1"/>
      </left>
      <right/>
      <top/>
      <bottom/>
      <diagonal/>
    </border>
    <border>
      <left/>
      <right style="dashDotDot">
        <color auto="1"/>
      </right>
      <top/>
      <bottom/>
      <diagonal/>
    </border>
    <border>
      <left style="dashDotDot">
        <color auto="1"/>
      </left>
      <right/>
      <top/>
      <bottom style="dashDotDot">
        <color auto="1"/>
      </bottom>
      <diagonal/>
    </border>
    <border>
      <left/>
      <right style="dashDotDot">
        <color auto="1"/>
      </right>
      <top/>
      <bottom style="dashDotDot">
        <color auto="1"/>
      </bottom>
      <diagonal/>
    </border>
    <border>
      <left/>
      <right/>
      <top/>
      <bottom style="dashDotDot">
        <color auto="1"/>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bottom style="thin">
        <color indexed="64"/>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medium">
        <color indexed="64"/>
      </left>
      <right style="medium">
        <color indexed="64"/>
      </right>
      <top/>
      <bottom style="medium">
        <color indexed="64"/>
      </bottom>
      <diagonal/>
    </border>
    <border>
      <left/>
      <right style="medium">
        <color indexed="64"/>
      </right>
      <top/>
      <bottom style="dotted">
        <color indexed="64"/>
      </bottom>
      <diagonal/>
    </border>
    <border>
      <left style="medium">
        <color indexed="64"/>
      </left>
      <right style="medium">
        <color indexed="64"/>
      </right>
      <top style="medium">
        <color indexed="64"/>
      </top>
      <bottom/>
      <diagonal/>
    </border>
    <border>
      <left/>
      <right/>
      <top/>
      <bottom style="dotted">
        <color indexed="64"/>
      </bottom>
      <diagonal/>
    </border>
    <border>
      <left style="dashDotDot">
        <color auto="1"/>
      </left>
      <right style="hair">
        <color auto="1"/>
      </right>
      <top/>
      <bottom style="hair">
        <color auto="1"/>
      </bottom>
      <diagonal/>
    </border>
    <border>
      <left style="hair">
        <color auto="1"/>
      </left>
      <right style="dashDotDot">
        <color auto="1"/>
      </right>
      <top/>
      <bottom style="hair">
        <color auto="1"/>
      </bottom>
      <diagonal/>
    </border>
    <border>
      <left style="dashDotDot">
        <color auto="1"/>
      </left>
      <right style="hair">
        <color auto="1"/>
      </right>
      <top style="dashDotDot">
        <color auto="1"/>
      </top>
      <bottom style="dashDotDot">
        <color auto="1"/>
      </bottom>
      <diagonal/>
    </border>
    <border>
      <left style="hair">
        <color auto="1"/>
      </left>
      <right style="dashDotDot">
        <color auto="1"/>
      </right>
      <top style="dashDotDot">
        <color auto="1"/>
      </top>
      <bottom style="dashDotDot">
        <color auto="1"/>
      </bottom>
      <diagonal/>
    </border>
    <border>
      <left style="dashDotDot">
        <color indexed="64"/>
      </left>
      <right style="hair">
        <color indexed="64"/>
      </right>
      <top style="hair">
        <color indexed="64"/>
      </top>
      <bottom style="hair">
        <color indexed="64"/>
      </bottom>
      <diagonal/>
    </border>
    <border>
      <left style="hair">
        <color indexed="64"/>
      </left>
      <right style="dashDotDot">
        <color indexed="64"/>
      </right>
      <top style="hair">
        <color indexed="64"/>
      </top>
      <bottom style="hair">
        <color indexed="64"/>
      </bottom>
      <diagonal/>
    </border>
    <border>
      <left style="dashDotDot">
        <color auto="1"/>
      </left>
      <right/>
      <top style="hair">
        <color auto="1"/>
      </top>
      <bottom style="hair">
        <color auto="1"/>
      </bottom>
      <diagonal/>
    </border>
    <border>
      <left/>
      <right style="dashDotDot">
        <color auto="1"/>
      </right>
      <top style="hair">
        <color auto="1"/>
      </top>
      <bottom style="hair">
        <color auto="1"/>
      </bottom>
      <diagonal/>
    </border>
    <border>
      <left style="dashDotDot">
        <color auto="1"/>
      </left>
      <right/>
      <top style="hair">
        <color auto="1"/>
      </top>
      <bottom style="dashDotDot">
        <color auto="1"/>
      </bottom>
      <diagonal/>
    </border>
    <border>
      <left/>
      <right style="dashDotDot">
        <color auto="1"/>
      </right>
      <top style="hair">
        <color auto="1"/>
      </top>
      <bottom style="dashDotDot">
        <color auto="1"/>
      </bottom>
      <diagonal/>
    </border>
    <border>
      <left style="dashDotDot">
        <color auto="1"/>
      </left>
      <right/>
      <top style="dashDotDot">
        <color auto="1"/>
      </top>
      <bottom style="dashDotDot">
        <color auto="1"/>
      </bottom>
      <diagonal/>
    </border>
    <border>
      <left/>
      <right style="dashDotDot">
        <color auto="1"/>
      </right>
      <top style="dashDotDot">
        <color auto="1"/>
      </top>
      <bottom style="dashDotDot">
        <color auto="1"/>
      </bottom>
      <diagonal/>
    </border>
    <border>
      <left style="hair">
        <color indexed="64"/>
      </left>
      <right style="hair">
        <color indexed="64"/>
      </right>
      <top/>
      <bottom style="hair">
        <color indexed="64"/>
      </bottom>
      <diagonal/>
    </border>
    <border>
      <left style="hair">
        <color auto="1"/>
      </left>
      <right style="hair">
        <color auto="1"/>
      </right>
      <top style="dashDotDot">
        <color auto="1"/>
      </top>
      <bottom style="dashDotDot">
        <color auto="1"/>
      </bottom>
      <diagonal/>
    </border>
    <border>
      <left style="hair">
        <color auto="1"/>
      </left>
      <right style="hair">
        <color auto="1"/>
      </right>
      <top/>
      <bottom style="dashDotDot">
        <color auto="1"/>
      </bottom>
      <diagonal/>
    </border>
    <border>
      <left style="hair">
        <color auto="1"/>
      </left>
      <right style="dashDotDot">
        <color auto="1"/>
      </right>
      <top/>
      <bottom style="dashDotDot">
        <color auto="1"/>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8"/>
      </right>
      <top/>
      <bottom style="hair">
        <color indexed="8"/>
      </bottom>
      <diagonal/>
    </border>
    <border>
      <left style="thin">
        <color indexed="8"/>
      </left>
      <right style="thin">
        <color indexed="8"/>
      </right>
      <top/>
      <bottom style="hair">
        <color indexed="8"/>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64"/>
      </left>
      <right style="thin">
        <color indexed="64"/>
      </right>
      <top style="hair">
        <color indexed="64"/>
      </top>
      <bottom/>
      <diagonal/>
    </border>
    <border>
      <left/>
      <right style="thin">
        <color indexed="8"/>
      </right>
      <top style="hair">
        <color indexed="8"/>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dashDotDot">
        <color indexed="64"/>
      </left>
      <right style="hair">
        <color indexed="64"/>
      </right>
      <top style="hair">
        <color indexed="64"/>
      </top>
      <bottom style="hair">
        <color indexed="64"/>
      </bottom>
      <diagonal/>
    </border>
    <border>
      <left style="hair">
        <color indexed="64"/>
      </left>
      <right style="dashDotDot">
        <color indexed="64"/>
      </right>
      <top style="hair">
        <color indexed="64"/>
      </top>
      <bottom style="hair">
        <color indexed="64"/>
      </bottom>
      <diagonal/>
    </border>
    <border>
      <left style="dashDotDot">
        <color indexed="64"/>
      </left>
      <right style="hair">
        <color indexed="64"/>
      </right>
      <top style="hair">
        <color indexed="64"/>
      </top>
      <bottom style="dashDotDot">
        <color indexed="64"/>
      </bottom>
      <diagonal/>
    </border>
    <border>
      <left style="hair">
        <color indexed="64"/>
      </left>
      <right style="dashDotDot">
        <color indexed="64"/>
      </right>
      <top style="hair">
        <color indexed="64"/>
      </top>
      <bottom style="dashDotDot">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mediumDashDot">
        <color auto="1"/>
      </top>
      <bottom/>
      <diagonal/>
    </border>
    <border>
      <left style="thin">
        <color auto="1"/>
      </left>
      <right style="thin">
        <color auto="1"/>
      </right>
      <top style="thin">
        <color auto="1"/>
      </top>
      <bottom style="thin">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dotted">
        <color indexed="64"/>
      </top>
      <bottom/>
      <diagonal/>
    </border>
    <border>
      <left style="medium">
        <color indexed="64"/>
      </left>
      <right/>
      <top/>
      <bottom style="dotted">
        <color indexed="64"/>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ashDotDot">
        <color auto="1"/>
      </left>
      <right style="dashDotDot">
        <color auto="1"/>
      </right>
      <top style="dashDotDot">
        <color auto="1"/>
      </top>
      <bottom style="hair">
        <color auto="1"/>
      </bottom>
      <diagonal/>
    </border>
    <border>
      <left style="dashDotDot">
        <color auto="1"/>
      </left>
      <right style="dashDotDot">
        <color auto="1"/>
      </right>
      <top style="hair">
        <color auto="1"/>
      </top>
      <bottom style="dashDotDot">
        <color auto="1"/>
      </bottom>
      <diagonal/>
    </border>
    <border>
      <left style="medium">
        <color indexed="64"/>
      </left>
      <right style="medium">
        <color indexed="64"/>
      </right>
      <top style="thin">
        <color indexed="64"/>
      </top>
      <bottom/>
      <diagonal/>
    </border>
    <border>
      <left style="dashDotDot">
        <color indexed="64"/>
      </left>
      <right style="hair">
        <color indexed="64"/>
      </right>
      <top style="hair">
        <color indexed="64"/>
      </top>
      <bottom/>
      <diagonal/>
    </border>
  </borders>
  <cellStyleXfs count="4">
    <xf numFmtId="0" fontId="0" fillId="0" borderId="0"/>
    <xf numFmtId="9" fontId="3" fillId="0" borderId="0" applyFont="0" applyFill="0" applyBorder="0" applyAlignment="0" applyProtection="0"/>
    <xf numFmtId="0" fontId="21" fillId="0" borderId="0" applyNumberFormat="0" applyFill="0" applyBorder="0" applyAlignment="0" applyProtection="0"/>
    <xf numFmtId="0" fontId="22" fillId="0" borderId="0"/>
  </cellStyleXfs>
  <cellXfs count="660">
    <xf numFmtId="0" fontId="0" fillId="0" borderId="0" xfId="0"/>
    <xf numFmtId="0" fontId="1" fillId="0" borderId="0" xfId="0" applyFont="1"/>
    <xf numFmtId="0" fontId="0" fillId="0" borderId="19" xfId="0" applyBorder="1"/>
    <xf numFmtId="0" fontId="0" fillId="0" borderId="20" xfId="0" applyBorder="1"/>
    <xf numFmtId="0" fontId="0" fillId="0" borderId="21" xfId="0" applyBorder="1"/>
    <xf numFmtId="0" fontId="0" fillId="0" borderId="10" xfId="0" applyBorder="1"/>
    <xf numFmtId="0" fontId="0" fillId="0" borderId="15" xfId="0" applyBorder="1"/>
    <xf numFmtId="0" fontId="0" fillId="0" borderId="13" xfId="0" applyBorder="1"/>
    <xf numFmtId="0" fontId="0" fillId="0" borderId="0" xfId="0" applyBorder="1"/>
    <xf numFmtId="0" fontId="0" fillId="0" borderId="14" xfId="0" applyBorder="1"/>
    <xf numFmtId="0" fontId="2" fillId="3" borderId="19" xfId="0" applyFont="1" applyFill="1" applyBorder="1"/>
    <xf numFmtId="0" fontId="2" fillId="3" borderId="21" xfId="0" applyFont="1" applyFill="1" applyBorder="1"/>
    <xf numFmtId="0" fontId="2" fillId="3" borderId="10" xfId="0" applyFont="1" applyFill="1" applyBorder="1"/>
    <xf numFmtId="0" fontId="1" fillId="3" borderId="19" xfId="0" applyFont="1" applyFill="1" applyBorder="1"/>
    <xf numFmtId="0" fontId="1" fillId="3" borderId="20" xfId="0" applyFont="1" applyFill="1" applyBorder="1"/>
    <xf numFmtId="0" fontId="1" fillId="3" borderId="10" xfId="0" applyFont="1" applyFill="1" applyBorder="1"/>
    <xf numFmtId="0" fontId="1" fillId="3" borderId="21" xfId="0" applyFont="1" applyFill="1" applyBorder="1"/>
    <xf numFmtId="0" fontId="4" fillId="0" borderId="10" xfId="0" applyFont="1" applyBorder="1" applyAlignment="1">
      <alignment horizontal="center" vertical="center"/>
    </xf>
    <xf numFmtId="2" fontId="4" fillId="0" borderId="10" xfId="0" applyNumberFormat="1" applyFont="1" applyBorder="1" applyAlignment="1">
      <alignment horizontal="center" vertical="center"/>
    </xf>
    <xf numFmtId="0" fontId="6" fillId="0" borderId="0" xfId="0" applyFont="1" applyAlignment="1">
      <alignment vertical="center"/>
    </xf>
    <xf numFmtId="0" fontId="6" fillId="0" borderId="0" xfId="0" applyFont="1" applyBorder="1" applyAlignment="1">
      <alignment vertical="center"/>
    </xf>
    <xf numFmtId="0" fontId="0" fillId="0" borderId="0" xfId="0" applyFont="1" applyAlignment="1">
      <alignment horizontal="center" vertical="center"/>
    </xf>
    <xf numFmtId="0" fontId="7" fillId="0" borderId="0" xfId="0" applyFont="1" applyFill="1" applyBorder="1" applyAlignment="1">
      <alignment horizontal="center" vertical="center"/>
    </xf>
    <xf numFmtId="0" fontId="0" fillId="0" borderId="10" xfId="0" applyFont="1" applyFill="1" applyBorder="1" applyAlignment="1">
      <alignment horizontal="center" vertical="center"/>
    </xf>
    <xf numFmtId="14" fontId="0" fillId="0" borderId="0" xfId="0" applyNumberFormat="1" applyFont="1" applyAlignment="1">
      <alignment horizontal="center" vertical="center"/>
    </xf>
    <xf numFmtId="2" fontId="0" fillId="0" borderId="10" xfId="0" applyNumberFormat="1" applyFont="1" applyFill="1" applyBorder="1" applyAlignment="1">
      <alignment horizontal="center" vertical="center"/>
    </xf>
    <xf numFmtId="0" fontId="0" fillId="0" borderId="10" xfId="0" applyFont="1" applyBorder="1" applyAlignment="1">
      <alignment horizontal="center" vertical="center"/>
    </xf>
    <xf numFmtId="1" fontId="0" fillId="0" borderId="10" xfId="0" applyNumberFormat="1" applyFont="1" applyFill="1" applyBorder="1" applyAlignment="1">
      <alignment horizontal="center" vertical="center"/>
    </xf>
    <xf numFmtId="0" fontId="9"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vertical="center"/>
    </xf>
    <xf numFmtId="0" fontId="1" fillId="0" borderId="51" xfId="0" applyFont="1" applyBorder="1" applyAlignment="1">
      <alignment horizontal="left" vertical="center"/>
    </xf>
    <xf numFmtId="0" fontId="1" fillId="0" borderId="53" xfId="0" applyFont="1" applyBorder="1" applyAlignment="1">
      <alignment horizontal="left" vertical="center"/>
    </xf>
    <xf numFmtId="14" fontId="0" fillId="0" borderId="0" xfId="0" applyNumberFormat="1" applyFont="1" applyFill="1" applyAlignment="1">
      <alignment horizontal="center" vertical="center"/>
    </xf>
    <xf numFmtId="0" fontId="13" fillId="0" borderId="0" xfId="0" applyFont="1" applyAlignment="1">
      <alignment vertical="center"/>
    </xf>
    <xf numFmtId="2" fontId="13" fillId="0" borderId="0" xfId="0" applyNumberFormat="1" applyFont="1" applyAlignment="1">
      <alignment vertical="center"/>
    </xf>
    <xf numFmtId="2" fontId="14" fillId="0" borderId="10" xfId="0" applyNumberFormat="1" applyFont="1" applyBorder="1" applyAlignment="1">
      <alignment vertical="center"/>
    </xf>
    <xf numFmtId="0" fontId="13" fillId="8" borderId="10" xfId="0" applyFont="1" applyFill="1" applyBorder="1" applyAlignment="1">
      <alignment vertical="center"/>
    </xf>
    <xf numFmtId="0" fontId="13" fillId="0" borderId="10" xfId="0" applyFont="1" applyBorder="1" applyAlignment="1">
      <alignment vertical="center"/>
    </xf>
    <xf numFmtId="2" fontId="13" fillId="0" borderId="10" xfId="0" applyNumberFormat="1" applyFont="1" applyBorder="1" applyAlignment="1">
      <alignment vertical="center"/>
    </xf>
    <xf numFmtId="0" fontId="13" fillId="0" borderId="63" xfId="0" applyFont="1" applyBorder="1" applyAlignment="1">
      <alignment vertical="center"/>
    </xf>
    <xf numFmtId="2" fontId="13" fillId="0" borderId="64" xfId="0" applyNumberFormat="1" applyFont="1" applyBorder="1" applyAlignment="1">
      <alignment vertical="center"/>
    </xf>
    <xf numFmtId="2" fontId="13" fillId="0" borderId="65" xfId="0" applyNumberFormat="1" applyFont="1" applyBorder="1" applyAlignment="1">
      <alignment vertical="center"/>
    </xf>
    <xf numFmtId="0" fontId="13" fillId="0" borderId="40" xfId="0" applyFont="1" applyBorder="1" applyAlignment="1">
      <alignment vertical="center"/>
    </xf>
    <xf numFmtId="2" fontId="13" fillId="0" borderId="66" xfId="0" applyNumberFormat="1" applyFont="1" applyBorder="1" applyAlignment="1">
      <alignment vertical="center"/>
    </xf>
    <xf numFmtId="2" fontId="13" fillId="0" borderId="41" xfId="0" applyNumberFormat="1" applyFont="1" applyBorder="1" applyAlignment="1">
      <alignment vertical="center"/>
    </xf>
    <xf numFmtId="0" fontId="13" fillId="0" borderId="42" xfId="0" applyFont="1" applyBorder="1" applyAlignment="1">
      <alignment vertical="center"/>
    </xf>
    <xf numFmtId="2" fontId="13" fillId="0" borderId="67" xfId="0" applyNumberFormat="1" applyFont="1" applyBorder="1" applyAlignment="1">
      <alignment vertical="center"/>
    </xf>
    <xf numFmtId="2" fontId="13" fillId="0" borderId="43" xfId="0" applyNumberFormat="1" applyFont="1" applyBorder="1" applyAlignment="1">
      <alignment vertical="center"/>
    </xf>
    <xf numFmtId="0" fontId="13" fillId="10" borderId="10" xfId="0" applyFont="1" applyFill="1" applyBorder="1" applyAlignment="1">
      <alignment vertical="center"/>
    </xf>
    <xf numFmtId="0" fontId="14" fillId="8" borderId="10" xfId="0" applyFont="1" applyFill="1" applyBorder="1" applyAlignment="1">
      <alignment horizontal="center" vertical="center"/>
    </xf>
    <xf numFmtId="9" fontId="13" fillId="0" borderId="41" xfId="0" applyNumberFormat="1" applyFont="1" applyBorder="1" applyAlignment="1">
      <alignment vertical="center"/>
    </xf>
    <xf numFmtId="9" fontId="13" fillId="0" borderId="43" xfId="0" applyNumberFormat="1" applyFont="1" applyBorder="1" applyAlignment="1">
      <alignment vertical="center"/>
    </xf>
    <xf numFmtId="9" fontId="13" fillId="0" borderId="45" xfId="0" applyNumberFormat="1" applyFont="1" applyBorder="1" applyAlignment="1">
      <alignment vertical="center"/>
    </xf>
    <xf numFmtId="2" fontId="13" fillId="0" borderId="18" xfId="0" applyNumberFormat="1" applyFont="1" applyBorder="1" applyAlignment="1">
      <alignment vertical="center"/>
    </xf>
    <xf numFmtId="2" fontId="13" fillId="0" borderId="0" xfId="0" applyNumberFormat="1" applyFont="1" applyBorder="1" applyAlignment="1">
      <alignment vertical="center"/>
    </xf>
    <xf numFmtId="0" fontId="17" fillId="0" borderId="0" xfId="0" applyFont="1" applyAlignment="1">
      <alignment horizontal="center" vertical="center"/>
    </xf>
    <xf numFmtId="0" fontId="17" fillId="9" borderId="46" xfId="0" applyFont="1" applyFill="1" applyBorder="1" applyAlignment="1">
      <alignment horizontal="right" vertical="center"/>
    </xf>
    <xf numFmtId="0" fontId="18" fillId="9" borderId="47" xfId="0" applyFont="1" applyFill="1" applyBorder="1" applyAlignment="1">
      <alignment horizontal="center" vertical="center"/>
    </xf>
    <xf numFmtId="14" fontId="17" fillId="0" borderId="0" xfId="0" applyNumberFormat="1" applyFont="1" applyFill="1" applyAlignment="1">
      <alignment horizontal="center" vertical="center"/>
    </xf>
    <xf numFmtId="0" fontId="17" fillId="0" borderId="44" xfId="0" applyFont="1" applyBorder="1" applyAlignment="1">
      <alignment horizontal="right" vertical="center"/>
    </xf>
    <xf numFmtId="14" fontId="17" fillId="0" borderId="45" xfId="0" applyNumberFormat="1" applyFont="1" applyBorder="1" applyAlignment="1">
      <alignment horizontal="center" vertical="center"/>
    </xf>
    <xf numFmtId="14" fontId="17" fillId="0" borderId="0" xfId="0" applyNumberFormat="1" applyFont="1" applyAlignment="1">
      <alignment horizontal="center" vertical="center"/>
    </xf>
    <xf numFmtId="0" fontId="17" fillId="0" borderId="40" xfId="0" applyFont="1" applyBorder="1" applyAlignment="1">
      <alignment horizontal="right" vertical="center"/>
    </xf>
    <xf numFmtId="14" fontId="17" fillId="0" borderId="41" xfId="0" applyNumberFormat="1" applyFont="1" applyBorder="1" applyAlignment="1">
      <alignment horizontal="center" vertical="center"/>
    </xf>
    <xf numFmtId="0" fontId="17" fillId="0" borderId="10" xfId="0" applyFont="1" applyBorder="1" applyAlignment="1">
      <alignment horizontal="center" vertical="center"/>
    </xf>
    <xf numFmtId="0" fontId="19" fillId="0" borderId="10" xfId="0" applyFont="1" applyBorder="1" applyAlignment="1">
      <alignment horizontal="center" vertical="center"/>
    </xf>
    <xf numFmtId="2" fontId="19" fillId="0" borderId="10" xfId="0" applyNumberFormat="1" applyFont="1" applyBorder="1" applyAlignment="1">
      <alignment horizontal="center" vertical="center"/>
    </xf>
    <xf numFmtId="14" fontId="17" fillId="8" borderId="41" xfId="0" applyNumberFormat="1" applyFont="1" applyFill="1" applyBorder="1" applyAlignment="1">
      <alignment horizontal="center" vertical="center"/>
    </xf>
    <xf numFmtId="0" fontId="20" fillId="0" borderId="0" xfId="0" applyFont="1" applyAlignment="1">
      <alignment horizontal="center" vertical="center"/>
    </xf>
    <xf numFmtId="0" fontId="17" fillId="0" borderId="42" xfId="0" applyFont="1" applyBorder="1" applyAlignment="1">
      <alignment horizontal="right" vertical="center"/>
    </xf>
    <xf numFmtId="14" fontId="17" fillId="0" borderId="43" xfId="0" applyNumberFormat="1" applyFont="1" applyBorder="1" applyAlignment="1">
      <alignment horizontal="center" vertical="center"/>
    </xf>
    <xf numFmtId="0" fontId="0" fillId="0" borderId="0" xfId="0" applyFont="1" applyAlignment="1">
      <alignment vertical="center"/>
    </xf>
    <xf numFmtId="9" fontId="13" fillId="0" borderId="72" xfId="0" applyNumberFormat="1" applyFont="1" applyBorder="1" applyAlignment="1">
      <alignment vertical="center"/>
    </xf>
    <xf numFmtId="0" fontId="13" fillId="0" borderId="47" xfId="0" applyFont="1" applyBorder="1" applyAlignment="1">
      <alignment vertical="center"/>
    </xf>
    <xf numFmtId="9" fontId="13" fillId="0" borderId="0" xfId="1" applyFont="1" applyAlignment="1">
      <alignment vertical="center"/>
    </xf>
    <xf numFmtId="2" fontId="4" fillId="0" borderId="0" xfId="0" applyNumberFormat="1" applyFont="1" applyAlignment="1">
      <alignment vertical="center"/>
    </xf>
    <xf numFmtId="0" fontId="4" fillId="0" borderId="0" xfId="0" applyFont="1" applyAlignment="1">
      <alignment vertical="center"/>
    </xf>
    <xf numFmtId="0" fontId="13" fillId="0" borderId="0" xfId="0" applyFont="1" applyAlignment="1">
      <alignment horizontal="center" vertical="center"/>
    </xf>
    <xf numFmtId="0" fontId="0" fillId="6" borderId="44" xfId="0" applyFont="1" applyFill="1" applyBorder="1" applyAlignment="1">
      <alignment vertical="center"/>
    </xf>
    <xf numFmtId="0" fontId="1" fillId="0" borderId="46" xfId="0" applyFont="1" applyBorder="1" applyAlignment="1">
      <alignment horizontal="center" vertical="center"/>
    </xf>
    <xf numFmtId="9" fontId="13" fillId="0" borderId="45" xfId="1" applyFont="1" applyBorder="1" applyAlignment="1">
      <alignment vertical="center"/>
    </xf>
    <xf numFmtId="0" fontId="0" fillId="6" borderId="40" xfId="0" applyFont="1" applyFill="1" applyBorder="1" applyAlignment="1">
      <alignment vertical="center"/>
    </xf>
    <xf numFmtId="0" fontId="0" fillId="7" borderId="40" xfId="0" applyFont="1" applyFill="1" applyBorder="1" applyAlignment="1">
      <alignment vertical="center"/>
    </xf>
    <xf numFmtId="0" fontId="0" fillId="7" borderId="71" xfId="0" applyFont="1" applyFill="1" applyBorder="1" applyAlignment="1">
      <alignment vertical="center"/>
    </xf>
    <xf numFmtId="0" fontId="0" fillId="7" borderId="42" xfId="0" applyFont="1" applyFill="1" applyBorder="1" applyAlignment="1">
      <alignment vertical="center"/>
    </xf>
    <xf numFmtId="0" fontId="21" fillId="0" borderId="0" xfId="2" applyFill="1" applyBorder="1" applyAlignment="1">
      <alignment horizontal="center" vertical="center"/>
    </xf>
    <xf numFmtId="0" fontId="21" fillId="0" borderId="0" xfId="2" applyAlignment="1">
      <alignment horizontal="center" vertical="center"/>
    </xf>
    <xf numFmtId="0" fontId="13" fillId="0" borderId="18" xfId="0" applyFont="1" applyBorder="1" applyAlignment="1">
      <alignment vertical="center"/>
    </xf>
    <xf numFmtId="0" fontId="13" fillId="0" borderId="0" xfId="0" applyFont="1" applyBorder="1" applyAlignment="1">
      <alignment horizontal="center" vertical="center"/>
    </xf>
    <xf numFmtId="0" fontId="0" fillId="0" borderId="10" xfId="0" applyFont="1" applyBorder="1" applyAlignment="1">
      <alignment horizontal="left" vertical="center"/>
    </xf>
    <xf numFmtId="0" fontId="0" fillId="0" borderId="10" xfId="0" applyFont="1" applyBorder="1" applyAlignment="1">
      <alignment horizontal="left" vertical="center" wrapText="1"/>
    </xf>
    <xf numFmtId="0" fontId="0" fillId="8" borderId="40" xfId="0" applyFont="1" applyFill="1" applyBorder="1" applyAlignment="1">
      <alignment horizontal="right" vertical="center"/>
    </xf>
    <xf numFmtId="0" fontId="0" fillId="0" borderId="0" xfId="0" applyAlignment="1">
      <alignment horizontal="center" vertical="center"/>
    </xf>
    <xf numFmtId="0" fontId="4" fillId="0" borderId="54" xfId="0" applyFont="1" applyBorder="1" applyAlignment="1">
      <alignment horizontal="center" vertical="center"/>
    </xf>
    <xf numFmtId="0" fontId="4" fillId="0" borderId="0" xfId="0" applyFont="1" applyAlignment="1">
      <alignment horizontal="right" vertical="center"/>
    </xf>
    <xf numFmtId="0" fontId="21" fillId="0" borderId="0" xfId="2"/>
    <xf numFmtId="0" fontId="22" fillId="0" borderId="0" xfId="3"/>
    <xf numFmtId="0" fontId="22" fillId="0" borderId="0" xfId="3" applyBorder="1" applyAlignment="1">
      <alignment horizontal="center"/>
    </xf>
    <xf numFmtId="0" fontId="22" fillId="0" borderId="0" xfId="3" applyBorder="1"/>
    <xf numFmtId="0" fontId="0" fillId="0" borderId="77" xfId="0" applyBorder="1" applyAlignment="1">
      <alignment horizontal="center" vertical="center"/>
    </xf>
    <xf numFmtId="0" fontId="0" fillId="0" borderId="78" xfId="0" applyBorder="1" applyAlignment="1">
      <alignment horizontal="center" vertical="center"/>
    </xf>
    <xf numFmtId="0" fontId="22" fillId="0" borderId="58" xfId="3" applyBorder="1" applyAlignment="1">
      <alignment horizontal="center"/>
    </xf>
    <xf numFmtId="0" fontId="0" fillId="0" borderId="10" xfId="0" applyFont="1" applyBorder="1" applyAlignment="1">
      <alignment vertical="center"/>
    </xf>
    <xf numFmtId="2" fontId="23" fillId="0" borderId="0" xfId="0" applyNumberFormat="1" applyFont="1" applyAlignment="1">
      <alignment vertical="center"/>
    </xf>
    <xf numFmtId="9" fontId="13" fillId="0" borderId="0" xfId="0" applyNumberFormat="1" applyFont="1" applyAlignment="1">
      <alignment vertical="center"/>
    </xf>
    <xf numFmtId="0" fontId="0" fillId="0" borderId="0" xfId="0" applyFont="1" applyBorder="1" applyAlignment="1">
      <alignment vertical="center"/>
    </xf>
    <xf numFmtId="0" fontId="1" fillId="0" borderId="10" xfId="0" applyFont="1" applyBorder="1" applyAlignment="1">
      <alignment horizontal="left" vertical="center"/>
    </xf>
    <xf numFmtId="2" fontId="4" fillId="0" borderId="0" xfId="0" applyNumberFormat="1" applyFont="1" applyAlignment="1">
      <alignment horizontal="center" vertical="center"/>
    </xf>
    <xf numFmtId="0" fontId="26" fillId="2" borderId="0" xfId="0" applyFont="1" applyFill="1" applyAlignment="1">
      <alignment vertical="center"/>
    </xf>
    <xf numFmtId="0" fontId="27" fillId="12" borderId="11" xfId="0" applyFont="1" applyFill="1" applyBorder="1" applyAlignment="1">
      <alignment vertical="center"/>
    </xf>
    <xf numFmtId="0" fontId="28" fillId="12" borderId="17" xfId="0" applyFont="1" applyFill="1" applyBorder="1" applyAlignment="1">
      <alignment vertical="center"/>
    </xf>
    <xf numFmtId="0" fontId="28" fillId="12" borderId="12" xfId="0" applyFont="1" applyFill="1" applyBorder="1" applyAlignment="1">
      <alignment vertical="center"/>
    </xf>
    <xf numFmtId="0" fontId="26" fillId="0" borderId="0" xfId="0" applyFont="1" applyAlignment="1">
      <alignment vertical="center"/>
    </xf>
    <xf numFmtId="0" fontId="28" fillId="12" borderId="13" xfId="0" applyFont="1" applyFill="1" applyBorder="1" applyAlignment="1">
      <alignment vertical="center"/>
    </xf>
    <xf numFmtId="0" fontId="27" fillId="12" borderId="0" xfId="0" applyFont="1" applyFill="1" applyBorder="1" applyAlignment="1">
      <alignment vertical="center"/>
    </xf>
    <xf numFmtId="0" fontId="28" fillId="12" borderId="0" xfId="0" applyFont="1" applyFill="1" applyBorder="1" applyAlignment="1">
      <alignment vertical="center"/>
    </xf>
    <xf numFmtId="0" fontId="28" fillId="12" borderId="14" xfId="0" applyFont="1" applyFill="1" applyBorder="1" applyAlignment="1">
      <alignment vertical="center"/>
    </xf>
    <xf numFmtId="0" fontId="28" fillId="2" borderId="0" xfId="0" applyFont="1" applyFill="1" applyAlignment="1">
      <alignment vertical="center"/>
    </xf>
    <xf numFmtId="0" fontId="28" fillId="0" borderId="0" xfId="0" applyFont="1" applyAlignment="1">
      <alignment vertical="center"/>
    </xf>
    <xf numFmtId="0" fontId="28" fillId="12" borderId="0" xfId="0" applyFont="1" applyFill="1" applyAlignment="1">
      <alignment vertical="center"/>
    </xf>
    <xf numFmtId="0" fontId="28" fillId="12" borderId="15" xfId="0" applyFont="1" applyFill="1" applyBorder="1" applyAlignment="1">
      <alignment vertical="center"/>
    </xf>
    <xf numFmtId="0" fontId="28" fillId="12" borderId="18" xfId="0" applyFont="1" applyFill="1" applyBorder="1" applyAlignment="1">
      <alignment vertical="center"/>
    </xf>
    <xf numFmtId="0" fontId="28" fillId="12" borderId="16" xfId="0" applyFont="1" applyFill="1" applyBorder="1" applyAlignment="1">
      <alignment vertical="center"/>
    </xf>
    <xf numFmtId="0" fontId="28" fillId="2" borderId="0" xfId="0" applyFont="1" applyFill="1" applyBorder="1" applyAlignment="1">
      <alignment vertical="center"/>
    </xf>
    <xf numFmtId="0" fontId="29" fillId="0" borderId="0" xfId="0" applyFont="1" applyAlignment="1">
      <alignment vertical="center"/>
    </xf>
    <xf numFmtId="0" fontId="26" fillId="0" borderId="31" xfId="0" applyFont="1" applyBorder="1" applyAlignment="1">
      <alignment vertical="center"/>
    </xf>
    <xf numFmtId="0" fontId="26" fillId="0" borderId="32" xfId="0" applyFont="1" applyBorder="1" applyAlignment="1">
      <alignment vertical="center"/>
    </xf>
    <xf numFmtId="0" fontId="26" fillId="0" borderId="0" xfId="0" applyFont="1" applyFill="1" applyAlignment="1">
      <alignment vertical="center"/>
    </xf>
    <xf numFmtId="0" fontId="26" fillId="0" borderId="29" xfId="0" applyFont="1" applyBorder="1" applyAlignment="1">
      <alignment horizontal="center" vertical="center"/>
    </xf>
    <xf numFmtId="4" fontId="26" fillId="0" borderId="29" xfId="0" applyNumberFormat="1" applyFont="1" applyFill="1" applyBorder="1" applyAlignment="1">
      <alignment vertical="center"/>
    </xf>
    <xf numFmtId="4" fontId="26" fillId="0" borderId="29" xfId="0" applyNumberFormat="1" applyFont="1" applyBorder="1" applyAlignment="1">
      <alignment vertical="center"/>
    </xf>
    <xf numFmtId="0" fontId="26" fillId="0" borderId="29" xfId="0" applyFont="1" applyBorder="1" applyAlignment="1">
      <alignment vertical="center"/>
    </xf>
    <xf numFmtId="0" fontId="26" fillId="0" borderId="33" xfId="0" applyFont="1" applyBorder="1" applyAlignment="1">
      <alignment vertical="center"/>
    </xf>
    <xf numFmtId="0" fontId="29" fillId="0" borderId="0" xfId="0" applyFont="1" applyFill="1" applyAlignment="1">
      <alignment vertical="center"/>
    </xf>
    <xf numFmtId="0" fontId="26" fillId="0" borderId="0" xfId="0" applyFont="1" applyBorder="1" applyAlignment="1">
      <alignment horizontal="center" vertical="center"/>
    </xf>
    <xf numFmtId="0" fontId="26" fillId="0" borderId="0" xfId="0" applyFont="1" applyBorder="1" applyAlignment="1">
      <alignment vertical="center"/>
    </xf>
    <xf numFmtId="2" fontId="26" fillId="0" borderId="0" xfId="0" applyNumberFormat="1" applyFont="1" applyFill="1" applyAlignment="1">
      <alignment vertical="center"/>
    </xf>
    <xf numFmtId="9" fontId="26" fillId="0" borderId="29" xfId="1" applyFont="1" applyBorder="1" applyAlignment="1">
      <alignment vertical="center"/>
    </xf>
    <xf numFmtId="0" fontId="30" fillId="0" borderId="0" xfId="2" applyFont="1" applyAlignment="1">
      <alignment horizontal="center" vertical="center"/>
    </xf>
    <xf numFmtId="0" fontId="26" fillId="0" borderId="0" xfId="0" applyFont="1" applyAlignment="1">
      <alignment horizontal="center" vertical="center"/>
    </xf>
    <xf numFmtId="0" fontId="30" fillId="0" borderId="0" xfId="2" applyFont="1" applyBorder="1" applyAlignment="1">
      <alignment horizontal="center" vertical="center"/>
    </xf>
    <xf numFmtId="0" fontId="26" fillId="0" borderId="35" xfId="0" applyFont="1" applyBorder="1" applyAlignment="1">
      <alignment horizontal="center" vertical="center"/>
    </xf>
    <xf numFmtId="0" fontId="26" fillId="0" borderId="35" xfId="0" applyFont="1" applyBorder="1" applyAlignment="1">
      <alignment vertical="center"/>
    </xf>
    <xf numFmtId="0" fontId="26" fillId="0" borderId="36" xfId="0" applyFont="1" applyBorder="1" applyAlignment="1">
      <alignment vertical="center"/>
    </xf>
    <xf numFmtId="0" fontId="31" fillId="3" borderId="3" xfId="0" applyFont="1" applyFill="1" applyBorder="1" applyAlignment="1">
      <alignment horizontal="center" vertical="center"/>
    </xf>
    <xf numFmtId="0" fontId="32" fillId="0" borderId="0" xfId="0" applyFont="1" applyAlignment="1">
      <alignment vertical="center"/>
    </xf>
    <xf numFmtId="0" fontId="26" fillId="0" borderId="31" xfId="0" applyFont="1" applyBorder="1" applyAlignment="1">
      <alignment horizontal="center" vertical="center"/>
    </xf>
    <xf numFmtId="4" fontId="26" fillId="0" borderId="31" xfId="0" applyNumberFormat="1" applyFont="1" applyBorder="1" applyAlignment="1">
      <alignment vertical="center"/>
    </xf>
    <xf numFmtId="4" fontId="26" fillId="0" borderId="33" xfId="0" applyNumberFormat="1" applyFont="1" applyBorder="1" applyAlignment="1">
      <alignment vertical="center"/>
    </xf>
    <xf numFmtId="4" fontId="26" fillId="0" borderId="35" xfId="0" applyNumberFormat="1" applyFont="1" applyBorder="1" applyAlignment="1">
      <alignment vertical="center"/>
    </xf>
    <xf numFmtId="4" fontId="26" fillId="0" borderId="36" xfId="0" applyNumberFormat="1" applyFont="1" applyBorder="1" applyAlignment="1">
      <alignment vertical="center"/>
    </xf>
    <xf numFmtId="0" fontId="26" fillId="0" borderId="0" xfId="0" applyFont="1" applyBorder="1" applyAlignment="1">
      <alignment horizontal="center" vertical="center"/>
    </xf>
    <xf numFmtId="4" fontId="26" fillId="0" borderId="0" xfId="0" applyNumberFormat="1" applyFont="1" applyBorder="1" applyAlignment="1">
      <alignment vertical="center"/>
    </xf>
    <xf numFmtId="4" fontId="26" fillId="0" borderId="8" xfId="0" applyNumberFormat="1" applyFont="1" applyBorder="1" applyAlignment="1">
      <alignment vertical="center"/>
    </xf>
    <xf numFmtId="0" fontId="26" fillId="0" borderId="7" xfId="0" applyFont="1" applyBorder="1" applyAlignment="1">
      <alignment vertical="center"/>
    </xf>
    <xf numFmtId="4" fontId="26" fillId="0" borderId="74" xfId="0" applyNumberFormat="1" applyFont="1" applyBorder="1" applyAlignment="1">
      <alignment vertical="center"/>
    </xf>
    <xf numFmtId="4" fontId="29" fillId="3" borderId="1" xfId="0" applyNumberFormat="1" applyFont="1" applyFill="1" applyBorder="1" applyAlignment="1">
      <alignment vertical="center"/>
    </xf>
    <xf numFmtId="4" fontId="29" fillId="3" borderId="4" xfId="0" applyNumberFormat="1" applyFont="1" applyFill="1" applyBorder="1" applyAlignment="1">
      <alignment vertical="center"/>
    </xf>
    <xf numFmtId="4" fontId="26" fillId="0" borderId="76" xfId="0" applyNumberFormat="1" applyFont="1" applyFill="1" applyBorder="1" applyAlignment="1">
      <alignment vertical="center"/>
    </xf>
    <xf numFmtId="4" fontId="26" fillId="0" borderId="76" xfId="0" applyNumberFormat="1" applyFont="1" applyBorder="1" applyAlignment="1">
      <alignment vertical="center"/>
    </xf>
    <xf numFmtId="4" fontId="30" fillId="0" borderId="0" xfId="2" applyNumberFormat="1" applyFont="1" applyBorder="1" applyAlignment="1">
      <alignment horizontal="center" vertical="center"/>
    </xf>
    <xf numFmtId="4" fontId="26" fillId="0" borderId="0" xfId="0" applyNumberFormat="1" applyFont="1" applyBorder="1" applyAlignment="1">
      <alignment horizontal="center" vertical="center"/>
    </xf>
    <xf numFmtId="0" fontId="26" fillId="0" borderId="29" xfId="0" applyFont="1" applyFill="1" applyBorder="1" applyAlignment="1">
      <alignment horizontal="center" vertical="center"/>
    </xf>
    <xf numFmtId="0" fontId="26" fillId="0" borderId="68" xfId="0" applyFont="1" applyFill="1" applyBorder="1" applyAlignment="1">
      <alignment horizontal="center" vertical="center"/>
    </xf>
    <xf numFmtId="0" fontId="26" fillId="0" borderId="68" xfId="0" applyFont="1" applyFill="1" applyBorder="1" applyAlignment="1">
      <alignment horizontal="right" vertical="center"/>
    </xf>
    <xf numFmtId="4" fontId="26" fillId="0" borderId="69" xfId="0" applyNumberFormat="1" applyFont="1" applyBorder="1" applyAlignment="1">
      <alignment vertical="center"/>
    </xf>
    <xf numFmtId="0" fontId="26" fillId="0" borderId="68" xfId="0" applyFont="1" applyBorder="1" applyAlignment="1">
      <alignment vertical="center"/>
    </xf>
    <xf numFmtId="0" fontId="26" fillId="0" borderId="5" xfId="0" applyFont="1" applyBorder="1" applyAlignment="1">
      <alignment vertical="center"/>
    </xf>
    <xf numFmtId="0" fontId="26" fillId="0" borderId="9" xfId="0" applyFont="1" applyBorder="1" applyAlignment="1">
      <alignment vertical="center"/>
    </xf>
    <xf numFmtId="4" fontId="26" fillId="0" borderId="9" xfId="0" applyNumberFormat="1" applyFont="1" applyBorder="1" applyAlignment="1">
      <alignment vertical="center"/>
    </xf>
    <xf numFmtId="0" fontId="26" fillId="3" borderId="3" xfId="0" applyFont="1" applyFill="1" applyBorder="1" applyAlignment="1">
      <alignment vertical="center"/>
    </xf>
    <xf numFmtId="0" fontId="26" fillId="3" borderId="4" xfId="0" applyFont="1" applyFill="1" applyBorder="1" applyAlignment="1">
      <alignment vertical="center"/>
    </xf>
    <xf numFmtId="0" fontId="26" fillId="0" borderId="8" xfId="0" applyFont="1" applyBorder="1" applyAlignment="1">
      <alignment vertical="center"/>
    </xf>
    <xf numFmtId="0" fontId="26" fillId="0" borderId="6" xfId="0" applyFont="1" applyBorder="1" applyAlignment="1">
      <alignment vertical="center"/>
    </xf>
    <xf numFmtId="0" fontId="5" fillId="6" borderId="51" xfId="0" applyFont="1" applyFill="1" applyBorder="1" applyAlignment="1">
      <alignment horizontal="center" vertical="center"/>
    </xf>
    <xf numFmtId="2" fontId="0" fillId="6" borderId="52" xfId="0" applyNumberFormat="1" applyFont="1" applyFill="1" applyBorder="1" applyAlignment="1">
      <alignment horizontal="center" vertical="center"/>
    </xf>
    <xf numFmtId="0" fontId="5" fillId="7" borderId="81" xfId="0" applyFont="1" applyFill="1" applyBorder="1" applyAlignment="1">
      <alignment horizontal="center" vertical="center"/>
    </xf>
    <xf numFmtId="2" fontId="0" fillId="0" borderId="82" xfId="0" applyNumberFormat="1" applyFont="1" applyFill="1" applyBorder="1" applyAlignment="1">
      <alignment horizontal="center" vertical="center"/>
    </xf>
    <xf numFmtId="0" fontId="5" fillId="7" borderId="53" xfId="0" applyFont="1" applyFill="1" applyBorder="1" applyAlignment="1">
      <alignment horizontal="center" vertical="center"/>
    </xf>
    <xf numFmtId="2" fontId="0" fillId="0" borderId="54" xfId="0" applyNumberFormat="1" applyFont="1" applyFill="1" applyBorder="1" applyAlignment="1">
      <alignment horizontal="center" vertical="center"/>
    </xf>
    <xf numFmtId="0" fontId="8" fillId="0" borderId="10" xfId="0" applyFont="1" applyBorder="1" applyAlignment="1">
      <alignment horizontal="center" vertical="center"/>
    </xf>
    <xf numFmtId="0" fontId="1" fillId="0" borderId="10" xfId="0"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center" vertical="center"/>
    </xf>
    <xf numFmtId="0" fontId="3" fillId="0" borderId="10" xfId="0" applyFont="1" applyFill="1" applyBorder="1" applyAlignment="1">
      <alignment horizontal="center" vertical="center"/>
    </xf>
    <xf numFmtId="4" fontId="35" fillId="0" borderId="0" xfId="0" applyNumberFormat="1" applyFont="1" applyAlignment="1">
      <alignment vertical="center"/>
    </xf>
    <xf numFmtId="4" fontId="35" fillId="0" borderId="44" xfId="0" applyNumberFormat="1" applyFont="1" applyBorder="1" applyAlignment="1">
      <alignment vertical="center"/>
    </xf>
    <xf numFmtId="4" fontId="35" fillId="0" borderId="45" xfId="0" applyNumberFormat="1" applyFont="1" applyBorder="1" applyAlignment="1">
      <alignment vertical="center"/>
    </xf>
    <xf numFmtId="4" fontId="37" fillId="0" borderId="106" xfId="0" applyNumberFormat="1" applyFont="1" applyBorder="1" applyAlignment="1" applyProtection="1">
      <alignment horizontal="center" vertical="center"/>
    </xf>
    <xf numFmtId="4" fontId="35" fillId="0" borderId="107" xfId="0" applyNumberFormat="1" applyFont="1" applyBorder="1" applyAlignment="1">
      <alignment vertical="center"/>
    </xf>
    <xf numFmtId="4" fontId="35" fillId="0" borderId="108" xfId="0" applyNumberFormat="1" applyFont="1" applyBorder="1" applyAlignment="1">
      <alignment vertical="center"/>
    </xf>
    <xf numFmtId="4" fontId="35" fillId="0" borderId="109" xfId="0" applyNumberFormat="1" applyFont="1" applyBorder="1" applyAlignment="1">
      <alignment vertical="center"/>
    </xf>
    <xf numFmtId="4" fontId="37" fillId="0" borderId="110" xfId="0" applyNumberFormat="1" applyFont="1" applyBorder="1" applyAlignment="1" applyProtection="1">
      <alignment horizontal="center" vertical="center"/>
    </xf>
    <xf numFmtId="4" fontId="35" fillId="0" borderId="111" xfId="0" applyNumberFormat="1" applyFont="1" applyBorder="1" applyAlignment="1">
      <alignment vertical="center"/>
    </xf>
    <xf numFmtId="4" fontId="35" fillId="0" borderId="105" xfId="0" applyNumberFormat="1" applyFont="1" applyBorder="1" applyAlignment="1">
      <alignment vertical="center"/>
    </xf>
    <xf numFmtId="4" fontId="35" fillId="0" borderId="104" xfId="0" applyNumberFormat="1" applyFont="1" applyBorder="1" applyAlignment="1">
      <alignment vertical="center"/>
    </xf>
    <xf numFmtId="4" fontId="35" fillId="0" borderId="112" xfId="0" applyNumberFormat="1" applyFont="1" applyBorder="1" applyAlignment="1">
      <alignment vertical="center"/>
    </xf>
    <xf numFmtId="4" fontId="37" fillId="0" borderId="113" xfId="0" applyNumberFormat="1" applyFont="1" applyBorder="1" applyAlignment="1" applyProtection="1">
      <alignment horizontal="center" vertical="center"/>
    </xf>
    <xf numFmtId="4" fontId="35" fillId="0" borderId="10" xfId="0" applyNumberFormat="1" applyFont="1" applyBorder="1" applyAlignment="1">
      <alignment vertical="center"/>
    </xf>
    <xf numFmtId="4" fontId="36" fillId="0" borderId="115" xfId="0" applyNumberFormat="1" applyFont="1" applyBorder="1" applyAlignment="1" applyProtection="1">
      <alignment horizontal="center" vertical="center"/>
    </xf>
    <xf numFmtId="4" fontId="0" fillId="0" borderId="0" xfId="0" applyNumberFormat="1" applyFont="1" applyAlignment="1">
      <alignment vertical="center"/>
    </xf>
    <xf numFmtId="0" fontId="35" fillId="0" borderId="79" xfId="0" applyFont="1" applyBorder="1" applyAlignment="1">
      <alignment horizontal="right" vertical="center"/>
    </xf>
    <xf numFmtId="0" fontId="22" fillId="0" borderId="0" xfId="3" applyBorder="1" applyAlignment="1">
      <alignment horizontal="left" vertical="center" wrapText="1"/>
    </xf>
    <xf numFmtId="0" fontId="22" fillId="0" borderId="49" xfId="3" applyBorder="1" applyAlignment="1">
      <alignment horizontal="left" vertical="center" wrapText="1"/>
    </xf>
    <xf numFmtId="0" fontId="35" fillId="0" borderId="51" xfId="0" applyFont="1" applyBorder="1" applyAlignment="1">
      <alignment horizontal="right" vertical="center"/>
    </xf>
    <xf numFmtId="4" fontId="35" fillId="0" borderId="52" xfId="0" applyNumberFormat="1" applyFont="1" applyBorder="1" applyAlignment="1">
      <alignment vertical="center"/>
    </xf>
    <xf numFmtId="0" fontId="38" fillId="0" borderId="116" xfId="0" applyFont="1" applyFill="1" applyBorder="1" applyAlignment="1" applyProtection="1">
      <alignment horizontal="right" vertical="center"/>
    </xf>
    <xf numFmtId="4" fontId="35" fillId="0" borderId="117" xfId="0" applyNumberFormat="1" applyFont="1" applyBorder="1" applyAlignment="1">
      <alignment vertical="center"/>
    </xf>
    <xf numFmtId="0" fontId="38" fillId="0" borderId="118" xfId="0" applyFont="1" applyFill="1" applyBorder="1" applyAlignment="1" applyProtection="1">
      <alignment horizontal="right" vertical="center"/>
    </xf>
    <xf numFmtId="4" fontId="35" fillId="0" borderId="119" xfId="0" applyNumberFormat="1" applyFont="1" applyBorder="1" applyAlignment="1">
      <alignment vertical="center"/>
    </xf>
    <xf numFmtId="4" fontId="35" fillId="0" borderId="51" xfId="0" applyNumberFormat="1" applyFont="1" applyBorder="1" applyAlignment="1">
      <alignment horizontal="right" vertical="center"/>
    </xf>
    <xf numFmtId="4" fontId="35" fillId="0" borderId="118" xfId="0" applyNumberFormat="1" applyFont="1" applyBorder="1" applyAlignment="1">
      <alignment horizontal="right" vertical="center"/>
    </xf>
    <xf numFmtId="4" fontId="36" fillId="14" borderId="10" xfId="0" applyNumberFormat="1" applyFont="1" applyFill="1" applyBorder="1" applyAlignment="1" applyProtection="1">
      <alignment horizontal="center" vertical="center" wrapText="1"/>
    </xf>
    <xf numFmtId="4" fontId="35" fillId="10" borderId="10" xfId="0" applyNumberFormat="1" applyFont="1" applyFill="1" applyBorder="1" applyAlignment="1">
      <alignment horizontal="center" vertical="center" wrapText="1"/>
    </xf>
    <xf numFmtId="0" fontId="22" fillId="0" borderId="122" xfId="3" applyBorder="1"/>
    <xf numFmtId="4" fontId="35" fillId="0" borderId="122" xfId="0" applyNumberFormat="1" applyFont="1" applyBorder="1" applyAlignment="1">
      <alignment horizontal="center" vertical="center" textRotation="90"/>
    </xf>
    <xf numFmtId="4" fontId="35" fillId="0" borderId="122" xfId="0" applyNumberFormat="1" applyFont="1" applyBorder="1" applyAlignment="1">
      <alignment horizontal="center" vertical="center" textRotation="90" wrapText="1"/>
    </xf>
    <xf numFmtId="2" fontId="41" fillId="0" borderId="123" xfId="3" applyNumberFormat="1" applyFont="1" applyBorder="1" applyAlignment="1"/>
    <xf numFmtId="0" fontId="21" fillId="0" borderId="0" xfId="2" applyBorder="1" applyAlignment="1">
      <alignment horizontal="center" vertical="center"/>
    </xf>
    <xf numFmtId="0" fontId="26" fillId="0" borderId="0" xfId="0" applyFont="1" applyBorder="1" applyAlignment="1">
      <alignment horizontal="center" vertical="center"/>
    </xf>
    <xf numFmtId="0" fontId="29" fillId="3" borderId="2" xfId="0" applyFont="1" applyFill="1" applyBorder="1" applyAlignment="1">
      <alignment horizontal="center" vertical="center"/>
    </xf>
    <xf numFmtId="0" fontId="22" fillId="0" borderId="0" xfId="3" applyAlignment="1">
      <alignment horizontal="center"/>
    </xf>
    <xf numFmtId="4" fontId="43" fillId="0" borderId="124" xfId="0" applyNumberFormat="1" applyFont="1" applyBorder="1" applyAlignment="1">
      <alignment horizontal="center" vertical="center"/>
    </xf>
    <xf numFmtId="4" fontId="43" fillId="0" borderId="126" xfId="0" applyNumberFormat="1" applyFont="1" applyBorder="1" applyAlignment="1">
      <alignment horizontal="center" vertical="center"/>
    </xf>
    <xf numFmtId="4" fontId="43" fillId="0" borderId="44" xfId="0" applyNumberFormat="1" applyFont="1" applyBorder="1" applyAlignment="1">
      <alignment horizontal="center" vertical="center"/>
    </xf>
    <xf numFmtId="0" fontId="42" fillId="0" borderId="46" xfId="3" applyFont="1" applyBorder="1" applyAlignment="1">
      <alignment horizontal="center" vertical="center"/>
    </xf>
    <xf numFmtId="0" fontId="42" fillId="0" borderId="47" xfId="3" applyFont="1" applyBorder="1" applyAlignment="1">
      <alignment horizontal="center" vertical="center"/>
    </xf>
    <xf numFmtId="49" fontId="42" fillId="0" borderId="45" xfId="3" applyNumberFormat="1" applyFont="1" applyBorder="1" applyAlignment="1">
      <alignment horizontal="center" vertical="center"/>
    </xf>
    <xf numFmtId="0" fontId="42" fillId="0" borderId="125" xfId="3" applyFont="1" applyBorder="1" applyAlignment="1">
      <alignment horizontal="center" vertical="center"/>
    </xf>
    <xf numFmtId="49" fontId="43" fillId="0" borderId="127" xfId="0" applyNumberFormat="1" applyFont="1" applyBorder="1" applyAlignment="1">
      <alignment horizontal="center" vertical="center"/>
    </xf>
    <xf numFmtId="0" fontId="6" fillId="12" borderId="15" xfId="0" applyFont="1" applyFill="1" applyBorder="1" applyAlignment="1">
      <alignment vertical="center"/>
    </xf>
    <xf numFmtId="2" fontId="28" fillId="12" borderId="16" xfId="0" applyNumberFormat="1" applyFont="1" applyFill="1" applyBorder="1" applyAlignment="1">
      <alignment horizontal="center" vertical="center"/>
    </xf>
    <xf numFmtId="10" fontId="26" fillId="0" borderId="31" xfId="1" applyNumberFormat="1" applyFont="1" applyBorder="1" applyAlignment="1">
      <alignment vertical="center"/>
    </xf>
    <xf numFmtId="10" fontId="26" fillId="0" borderId="29" xfId="1" applyNumberFormat="1" applyFont="1" applyBorder="1" applyAlignment="1">
      <alignment vertical="center"/>
    </xf>
    <xf numFmtId="10" fontId="26" fillId="0" borderId="0" xfId="1" applyNumberFormat="1" applyFont="1" applyBorder="1" applyAlignment="1">
      <alignment vertical="center"/>
    </xf>
    <xf numFmtId="4" fontId="6" fillId="0" borderId="0" xfId="0" applyNumberFormat="1" applyFont="1" applyAlignment="1">
      <alignment vertical="center"/>
    </xf>
    <xf numFmtId="10" fontId="26" fillId="15" borderId="31" xfId="1" applyNumberFormat="1" applyFont="1" applyFill="1" applyBorder="1" applyAlignment="1">
      <alignment vertical="center"/>
    </xf>
    <xf numFmtId="4" fontId="26" fillId="15" borderId="32" xfId="0" applyNumberFormat="1" applyFont="1" applyFill="1" applyBorder="1" applyAlignment="1">
      <alignment vertical="center"/>
    </xf>
    <xf numFmtId="10" fontId="26" fillId="12" borderId="29" xfId="1" applyNumberFormat="1" applyFont="1" applyFill="1" applyBorder="1" applyAlignment="1">
      <alignment vertical="center"/>
    </xf>
    <xf numFmtId="4" fontId="26" fillId="12" borderId="29" xfId="0" applyNumberFormat="1" applyFont="1" applyFill="1" applyBorder="1" applyAlignment="1">
      <alignment vertical="center"/>
    </xf>
    <xf numFmtId="10" fontId="26" fillId="0" borderId="29" xfId="1" applyNumberFormat="1" applyFont="1" applyFill="1" applyBorder="1" applyAlignment="1">
      <alignment vertical="center"/>
    </xf>
    <xf numFmtId="0" fontId="26" fillId="0" borderId="129" xfId="0" applyFont="1" applyBorder="1" applyAlignment="1">
      <alignment horizontal="center" vertical="center"/>
    </xf>
    <xf numFmtId="4" fontId="26" fillId="0" borderId="129" xfId="0" applyNumberFormat="1" applyFont="1" applyBorder="1" applyAlignment="1">
      <alignment vertical="center"/>
    </xf>
    <xf numFmtId="10" fontId="26" fillId="0" borderId="129" xfId="1" applyNumberFormat="1" applyFont="1" applyBorder="1" applyAlignment="1">
      <alignment vertical="center"/>
    </xf>
    <xf numFmtId="4" fontId="26" fillId="0" borderId="130" xfId="0" applyNumberFormat="1" applyFont="1" applyBorder="1" applyAlignment="1">
      <alignment vertical="center"/>
    </xf>
    <xf numFmtId="10" fontId="26" fillId="12" borderId="129" xfId="1" applyNumberFormat="1" applyFont="1" applyFill="1" applyBorder="1" applyAlignment="1">
      <alignment vertical="center"/>
    </xf>
    <xf numFmtId="4" fontId="26" fillId="12" borderId="129" xfId="0" applyNumberFormat="1" applyFont="1" applyFill="1" applyBorder="1" applyAlignment="1">
      <alignment vertical="center"/>
    </xf>
    <xf numFmtId="0" fontId="26" fillId="0" borderId="76" xfId="0" applyFont="1" applyBorder="1" applyAlignment="1">
      <alignment horizontal="center" vertical="center"/>
    </xf>
    <xf numFmtId="167" fontId="26" fillId="0" borderId="76" xfId="1" applyNumberFormat="1" applyFont="1" applyBorder="1" applyAlignment="1">
      <alignment vertical="center"/>
    </xf>
    <xf numFmtId="10" fontId="26" fillId="12" borderId="76" xfId="1" applyNumberFormat="1" applyFont="1" applyFill="1" applyBorder="1" applyAlignment="1">
      <alignment vertical="center"/>
    </xf>
    <xf numFmtId="4" fontId="26" fillId="12" borderId="76" xfId="0" applyNumberFormat="1" applyFont="1" applyFill="1" applyBorder="1" applyAlignment="1">
      <alignment vertical="center"/>
    </xf>
    <xf numFmtId="4" fontId="26" fillId="0" borderId="4" xfId="0" applyNumberFormat="1" applyFont="1" applyBorder="1" applyAlignment="1">
      <alignment vertical="center"/>
    </xf>
    <xf numFmtId="4" fontId="0" fillId="0" borderId="1" xfId="0" applyNumberFormat="1" applyFont="1" applyBorder="1" applyAlignment="1">
      <alignment vertical="center"/>
    </xf>
    <xf numFmtId="0" fontId="0" fillId="0" borderId="29" xfId="0" applyFont="1" applyBorder="1" applyAlignment="1">
      <alignment horizontal="center" vertical="center"/>
    </xf>
    <xf numFmtId="0" fontId="44" fillId="0" borderId="0" xfId="0" applyFont="1" applyAlignment="1">
      <alignment vertical="center"/>
    </xf>
    <xf numFmtId="0" fontId="26" fillId="0" borderId="9" xfId="0" applyFont="1" applyBorder="1" applyAlignment="1">
      <alignment horizontal="center" vertical="center"/>
    </xf>
    <xf numFmtId="4" fontId="29" fillId="3" borderId="3" xfId="0" applyNumberFormat="1" applyFont="1" applyFill="1" applyBorder="1" applyAlignment="1">
      <alignment vertical="center"/>
    </xf>
    <xf numFmtId="0" fontId="29" fillId="16" borderId="2" xfId="0" applyFont="1" applyFill="1" applyBorder="1" applyAlignment="1">
      <alignment horizontal="center" vertical="center"/>
    </xf>
    <xf numFmtId="0" fontId="29" fillId="16" borderId="4" xfId="0" applyFont="1" applyFill="1" applyBorder="1" applyAlignment="1">
      <alignment horizontal="center" vertical="center"/>
    </xf>
    <xf numFmtId="0" fontId="29" fillId="16" borderId="1" xfId="0" applyFont="1" applyFill="1" applyBorder="1" applyAlignment="1">
      <alignment horizontal="center" vertical="center"/>
    </xf>
    <xf numFmtId="0" fontId="29" fillId="16" borderId="3" xfId="0" applyFont="1" applyFill="1" applyBorder="1" applyAlignment="1">
      <alignment vertical="center"/>
    </xf>
    <xf numFmtId="0" fontId="29" fillId="16" borderId="4" xfId="0" applyFont="1" applyFill="1" applyBorder="1" applyAlignment="1">
      <alignment vertical="center"/>
    </xf>
    <xf numFmtId="0" fontId="31" fillId="16" borderId="3" xfId="0" applyFont="1" applyFill="1" applyBorder="1" applyAlignment="1">
      <alignment horizontal="center" vertical="center"/>
    </xf>
    <xf numFmtId="0" fontId="31" fillId="16" borderId="3" xfId="0" applyFont="1" applyFill="1" applyBorder="1" applyAlignment="1">
      <alignment vertical="center"/>
    </xf>
    <xf numFmtId="0" fontId="31" fillId="16" borderId="4" xfId="0" applyFont="1" applyFill="1" applyBorder="1" applyAlignment="1">
      <alignment vertical="center"/>
    </xf>
    <xf numFmtId="4" fontId="31" fillId="16" borderId="3" xfId="0" applyNumberFormat="1" applyFont="1" applyFill="1" applyBorder="1" applyAlignment="1">
      <alignment horizontal="center" vertical="center"/>
    </xf>
    <xf numFmtId="4" fontId="31" fillId="16" borderId="3" xfId="0" applyNumberFormat="1" applyFont="1" applyFill="1" applyBorder="1" applyAlignment="1">
      <alignment vertical="center"/>
    </xf>
    <xf numFmtId="4" fontId="31" fillId="16" borderId="4" xfId="0" applyNumberFormat="1" applyFont="1" applyFill="1" applyBorder="1" applyAlignment="1">
      <alignment vertical="center"/>
    </xf>
    <xf numFmtId="0" fontId="26" fillId="0" borderId="7" xfId="0" applyFont="1" applyFill="1" applyBorder="1" applyAlignment="1">
      <alignment horizontal="left" vertical="center"/>
    </xf>
    <xf numFmtId="0" fontId="26" fillId="0" borderId="0" xfId="0" applyFont="1" applyFill="1" applyBorder="1" applyAlignment="1">
      <alignment horizontal="left" vertical="center"/>
    </xf>
    <xf numFmtId="0" fontId="0" fillId="0" borderId="1" xfId="0" applyFont="1" applyBorder="1" applyAlignment="1">
      <alignment vertical="center"/>
    </xf>
    <xf numFmtId="10" fontId="26" fillId="0" borderId="76" xfId="1" applyNumberFormat="1" applyFont="1" applyFill="1" applyBorder="1" applyAlignment="1">
      <alignment vertical="center"/>
    </xf>
    <xf numFmtId="4" fontId="26" fillId="12" borderId="74" xfId="0" applyNumberFormat="1" applyFont="1" applyFill="1" applyBorder="1" applyAlignment="1">
      <alignment vertical="center"/>
    </xf>
    <xf numFmtId="4" fontId="0" fillId="0" borderId="75" xfId="0" applyNumberFormat="1" applyFont="1" applyBorder="1" applyAlignment="1">
      <alignment vertical="center"/>
    </xf>
    <xf numFmtId="4" fontId="29" fillId="0" borderId="0" xfId="0" applyNumberFormat="1" applyFont="1" applyFill="1" applyBorder="1" applyAlignment="1">
      <alignment vertical="center"/>
    </xf>
    <xf numFmtId="4" fontId="1" fillId="0" borderId="0" xfId="0" applyNumberFormat="1" applyFont="1" applyFill="1" applyBorder="1" applyAlignment="1">
      <alignment vertical="center"/>
    </xf>
    <xf numFmtId="4" fontId="1" fillId="0" borderId="8" xfId="0" applyNumberFormat="1" applyFont="1" applyFill="1" applyBorder="1" applyAlignment="1">
      <alignment vertical="center"/>
    </xf>
    <xf numFmtId="2" fontId="4" fillId="3" borderId="26" xfId="0" applyNumberFormat="1" applyFont="1" applyFill="1" applyBorder="1" applyAlignment="1">
      <alignment vertical="center"/>
    </xf>
    <xf numFmtId="2" fontId="4" fillId="3" borderId="27" xfId="0" applyNumberFormat="1" applyFont="1" applyFill="1" applyBorder="1" applyAlignment="1">
      <alignment vertical="center"/>
    </xf>
    <xf numFmtId="0" fontId="4" fillId="3" borderId="24" xfId="0" applyFont="1" applyFill="1" applyBorder="1" applyAlignment="1">
      <alignment horizontal="center" vertical="center"/>
    </xf>
    <xf numFmtId="0" fontId="24" fillId="3" borderId="25" xfId="0" applyFont="1" applyFill="1" applyBorder="1" applyAlignment="1">
      <alignment vertical="center"/>
    </xf>
    <xf numFmtId="0" fontId="6" fillId="12" borderId="0" xfId="0" applyFont="1" applyFill="1" applyBorder="1" applyAlignment="1">
      <alignment vertical="center"/>
    </xf>
    <xf numFmtId="0" fontId="6" fillId="12" borderId="0" xfId="0" applyFont="1" applyFill="1" applyAlignment="1">
      <alignment vertical="center"/>
    </xf>
    <xf numFmtId="2" fontId="26" fillId="0" borderId="29" xfId="0" applyNumberFormat="1" applyFont="1" applyBorder="1" applyAlignment="1">
      <alignment horizontal="right" vertical="center"/>
    </xf>
    <xf numFmtId="0" fontId="0" fillId="0" borderId="0" xfId="0" applyFont="1" applyFill="1" applyAlignment="1">
      <alignment horizontal="center" vertical="center"/>
    </xf>
    <xf numFmtId="14" fontId="0" fillId="0" borderId="52" xfId="0" applyNumberFormat="1" applyFont="1" applyFill="1" applyBorder="1" applyAlignment="1">
      <alignment horizontal="center" vertical="center"/>
    </xf>
    <xf numFmtId="14" fontId="0" fillId="0" borderId="54" xfId="0" applyNumberFormat="1" applyFont="1" applyFill="1" applyBorder="1" applyAlignment="1">
      <alignment horizontal="center" vertical="center"/>
    </xf>
    <xf numFmtId="0" fontId="6" fillId="0" borderId="0" xfId="0" applyFont="1" applyAlignment="1">
      <alignment horizontal="center" vertical="center"/>
    </xf>
    <xf numFmtId="0" fontId="17" fillId="0" borderId="10" xfId="0" applyFont="1" applyFill="1" applyBorder="1" applyAlignment="1">
      <alignment horizontal="center" vertical="center"/>
    </xf>
    <xf numFmtId="168" fontId="28" fillId="12" borderId="0" xfId="0" applyNumberFormat="1" applyFont="1" applyFill="1" applyAlignment="1">
      <alignment vertical="center"/>
    </xf>
    <xf numFmtId="1" fontId="28" fillId="12" borderId="0" xfId="0" applyNumberFormat="1" applyFont="1" applyFill="1" applyBorder="1" applyAlignment="1">
      <alignment vertical="center"/>
    </xf>
    <xf numFmtId="14" fontId="28" fillId="12" borderId="14" xfId="0" applyNumberFormat="1" applyFont="1" applyFill="1" applyBorder="1" applyAlignment="1">
      <alignment horizontal="center" vertical="center"/>
    </xf>
    <xf numFmtId="0" fontId="28" fillId="12" borderId="12" xfId="0" applyFont="1" applyFill="1" applyBorder="1" applyAlignment="1">
      <alignment horizontal="left" vertical="center"/>
    </xf>
    <xf numFmtId="0" fontId="28" fillId="12" borderId="14" xfId="0" applyFont="1" applyFill="1" applyBorder="1" applyAlignment="1">
      <alignment horizontal="left" vertical="center"/>
    </xf>
    <xf numFmtId="0" fontId="22" fillId="0" borderId="0" xfId="3" applyAlignment="1">
      <alignment horizontal="center" vertical="center"/>
    </xf>
    <xf numFmtId="0" fontId="13" fillId="0" borderId="10" xfId="0" applyFont="1" applyFill="1" applyBorder="1" applyAlignment="1">
      <alignment vertical="center"/>
    </xf>
    <xf numFmtId="9" fontId="13" fillId="0" borderId="10" xfId="0" applyNumberFormat="1" applyFont="1" applyFill="1" applyBorder="1" applyAlignment="1">
      <alignment vertical="center"/>
    </xf>
    <xf numFmtId="9" fontId="0" fillId="0" borderId="10" xfId="0" applyNumberFormat="1" applyFont="1" applyBorder="1" applyAlignment="1">
      <alignment vertical="center"/>
    </xf>
    <xf numFmtId="0" fontId="44" fillId="0" borderId="0" xfId="0" applyFont="1" applyBorder="1" applyAlignment="1">
      <alignment horizontal="center" vertical="center"/>
    </xf>
    <xf numFmtId="0" fontId="13" fillId="0" borderId="10" xfId="0" applyFont="1" applyFill="1" applyBorder="1" applyAlignment="1">
      <alignment horizontal="center" vertical="center"/>
    </xf>
    <xf numFmtId="0" fontId="6" fillId="6" borderId="44" xfId="0" applyFont="1" applyFill="1" applyBorder="1" applyAlignment="1">
      <alignment vertical="center"/>
    </xf>
    <xf numFmtId="0" fontId="6" fillId="6" borderId="40" xfId="0" applyFont="1" applyFill="1" applyBorder="1" applyAlignment="1">
      <alignment vertical="center"/>
    </xf>
    <xf numFmtId="0" fontId="6" fillId="7" borderId="40" xfId="0" applyFont="1" applyFill="1" applyBorder="1" applyAlignment="1">
      <alignment vertical="center"/>
    </xf>
    <xf numFmtId="0" fontId="6" fillId="7" borderId="71" xfId="0" applyFont="1" applyFill="1" applyBorder="1" applyAlignment="1">
      <alignment vertical="center"/>
    </xf>
    <xf numFmtId="0" fontId="6" fillId="0" borderId="0" xfId="0" applyFont="1" applyFill="1" applyAlignment="1">
      <alignment vertical="center"/>
    </xf>
    <xf numFmtId="0" fontId="6" fillId="7" borderId="42" xfId="0" applyFont="1" applyFill="1" applyBorder="1" applyAlignment="1">
      <alignment vertical="center"/>
    </xf>
    <xf numFmtId="0" fontId="13" fillId="0" borderId="0" xfId="0" applyFont="1" applyFill="1" applyAlignment="1">
      <alignment vertical="center"/>
    </xf>
    <xf numFmtId="2" fontId="13" fillId="0" borderId="10" xfId="0" applyNumberFormat="1" applyFont="1" applyFill="1" applyBorder="1" applyAlignment="1">
      <alignment vertical="center"/>
    </xf>
    <xf numFmtId="4" fontId="35" fillId="0" borderId="80" xfId="0" applyNumberFormat="1" applyFont="1" applyFill="1" applyBorder="1" applyAlignment="1">
      <alignment vertical="center"/>
    </xf>
    <xf numFmtId="4" fontId="35" fillId="0" borderId="52" xfId="0" applyNumberFormat="1" applyFont="1" applyFill="1" applyBorder="1" applyAlignment="1">
      <alignment vertical="center"/>
    </xf>
    <xf numFmtId="2" fontId="13" fillId="0" borderId="0" xfId="0" applyNumberFormat="1" applyFont="1" applyFill="1" applyAlignment="1">
      <alignment vertical="center"/>
    </xf>
    <xf numFmtId="9" fontId="13" fillId="0" borderId="0" xfId="0" applyNumberFormat="1" applyFont="1" applyFill="1" applyAlignment="1">
      <alignment vertical="center"/>
    </xf>
    <xf numFmtId="0" fontId="1" fillId="16" borderId="3" xfId="0" applyFont="1" applyFill="1" applyBorder="1" applyAlignment="1">
      <alignment horizontal="center" vertical="center"/>
    </xf>
    <xf numFmtId="0" fontId="1" fillId="16" borderId="19" xfId="0" applyFont="1" applyFill="1" applyBorder="1"/>
    <xf numFmtId="0" fontId="1" fillId="16" borderId="20" xfId="0" applyFont="1" applyFill="1" applyBorder="1"/>
    <xf numFmtId="0" fontId="23" fillId="2" borderId="0" xfId="0" applyFont="1" applyFill="1" applyAlignment="1">
      <alignment vertical="center"/>
    </xf>
    <xf numFmtId="0" fontId="45" fillId="2" borderId="0" xfId="0" applyFont="1" applyFill="1" applyBorder="1" applyAlignment="1">
      <alignment vertical="center"/>
    </xf>
    <xf numFmtId="0" fontId="45" fillId="2" borderId="0" xfId="0" applyFont="1" applyFill="1" applyAlignment="1">
      <alignment vertical="center"/>
    </xf>
    <xf numFmtId="0" fontId="23" fillId="2" borderId="0" xfId="0" applyFont="1" applyFill="1"/>
    <xf numFmtId="0" fontId="45" fillId="15" borderId="0" xfId="0" applyFont="1" applyFill="1" applyAlignment="1">
      <alignment vertical="center"/>
    </xf>
    <xf numFmtId="0" fontId="45" fillId="15" borderId="11" xfId="0" applyFont="1" applyFill="1" applyBorder="1" applyAlignment="1">
      <alignment vertical="center"/>
    </xf>
    <xf numFmtId="0" fontId="45" fillId="15" borderId="12" xfId="0" applyFont="1" applyFill="1" applyBorder="1" applyAlignment="1">
      <alignment vertical="center"/>
    </xf>
    <xf numFmtId="0" fontId="45" fillId="15" borderId="13" xfId="0" applyFont="1" applyFill="1" applyBorder="1" applyAlignment="1">
      <alignment vertical="center"/>
    </xf>
    <xf numFmtId="0" fontId="45" fillId="15" borderId="14" xfId="0" applyFont="1" applyFill="1" applyBorder="1" applyAlignment="1">
      <alignment vertical="center"/>
    </xf>
    <xf numFmtId="0" fontId="45" fillId="15" borderId="15" xfId="0" applyFont="1" applyFill="1" applyBorder="1" applyAlignment="1">
      <alignment vertical="center"/>
    </xf>
    <xf numFmtId="0" fontId="45" fillId="15" borderId="16" xfId="0" applyFont="1" applyFill="1" applyBorder="1" applyAlignment="1">
      <alignment vertical="center"/>
    </xf>
    <xf numFmtId="0" fontId="47" fillId="15" borderId="11" xfId="0" applyFont="1" applyFill="1" applyBorder="1" applyAlignment="1">
      <alignment vertical="center"/>
    </xf>
    <xf numFmtId="0" fontId="45" fillId="15" borderId="17" xfId="0" applyFont="1" applyFill="1" applyBorder="1" applyAlignment="1">
      <alignment vertical="center"/>
    </xf>
    <xf numFmtId="0" fontId="45" fillId="15" borderId="0" xfId="0" applyFont="1" applyFill="1" applyBorder="1" applyAlignment="1">
      <alignment vertical="center"/>
    </xf>
    <xf numFmtId="0" fontId="45" fillId="15" borderId="18" xfId="0" applyFont="1" applyFill="1" applyBorder="1" applyAlignment="1">
      <alignment vertical="center"/>
    </xf>
    <xf numFmtId="14" fontId="45" fillId="15" borderId="14" xfId="0" applyNumberFormat="1" applyFont="1" applyFill="1" applyBorder="1" applyAlignment="1">
      <alignment vertical="center"/>
    </xf>
    <xf numFmtId="1" fontId="45" fillId="15" borderId="0" xfId="0" applyNumberFormat="1" applyFont="1" applyFill="1" applyBorder="1" applyAlignment="1">
      <alignment vertical="center"/>
    </xf>
    <xf numFmtId="2" fontId="45" fillId="15" borderId="16" xfId="0" applyNumberFormat="1" applyFont="1" applyFill="1" applyBorder="1" applyAlignment="1">
      <alignment horizontal="center" vertical="center"/>
    </xf>
    <xf numFmtId="0" fontId="45" fillId="15" borderId="18" xfId="0" applyFont="1" applyFill="1" applyBorder="1" applyAlignment="1">
      <alignment horizontal="right" vertical="center"/>
    </xf>
    <xf numFmtId="0" fontId="5" fillId="0" borderId="0" xfId="0" applyFont="1" applyFill="1" applyAlignment="1">
      <alignment vertical="center"/>
    </xf>
    <xf numFmtId="0" fontId="0" fillId="0" borderId="29" xfId="0" applyFont="1" applyFill="1" applyBorder="1" applyAlignment="1">
      <alignment horizontal="center" vertical="center"/>
    </xf>
    <xf numFmtId="164" fontId="0" fillId="0" borderId="10" xfId="0" applyNumberFormat="1" applyFont="1" applyFill="1" applyBorder="1" applyAlignment="1">
      <alignment horizontal="center" vertical="center"/>
    </xf>
    <xf numFmtId="0" fontId="6" fillId="0" borderId="51" xfId="0" applyFont="1" applyBorder="1" applyAlignment="1">
      <alignment vertical="center"/>
    </xf>
    <xf numFmtId="10" fontId="6" fillId="0" borderId="52" xfId="0" applyNumberFormat="1" applyFont="1" applyBorder="1" applyAlignment="1">
      <alignment vertical="center"/>
    </xf>
    <xf numFmtId="0" fontId="6" fillId="0" borderId="116" xfId="0" applyFont="1" applyBorder="1" applyAlignment="1">
      <alignment vertical="center"/>
    </xf>
    <xf numFmtId="10" fontId="6" fillId="0" borderId="117" xfId="0" applyNumberFormat="1" applyFont="1" applyBorder="1" applyAlignment="1">
      <alignment vertical="center"/>
    </xf>
    <xf numFmtId="0" fontId="6" fillId="0" borderId="118" xfId="0" applyFont="1" applyBorder="1" applyAlignment="1">
      <alignment vertical="center"/>
    </xf>
    <xf numFmtId="10" fontId="6" fillId="0" borderId="119" xfId="0" applyNumberFormat="1" applyFont="1" applyBorder="1" applyAlignment="1">
      <alignment vertical="center"/>
    </xf>
    <xf numFmtId="0" fontId="6" fillId="0" borderId="140" xfId="0" applyFont="1" applyBorder="1" applyAlignment="1">
      <alignment vertical="center"/>
    </xf>
    <xf numFmtId="0" fontId="6" fillId="0" borderId="141" xfId="0" applyFont="1" applyBorder="1" applyAlignment="1">
      <alignment vertical="center"/>
    </xf>
    <xf numFmtId="0" fontId="26" fillId="0" borderId="0" xfId="0" applyFont="1" applyBorder="1" applyAlignment="1">
      <alignment horizontal="center" vertical="center"/>
    </xf>
    <xf numFmtId="2" fontId="17" fillId="0" borderId="0" xfId="0" applyNumberFormat="1" applyFont="1" applyAlignment="1">
      <alignment horizontal="center" vertical="center"/>
    </xf>
    <xf numFmtId="0" fontId="4" fillId="0" borderId="0" xfId="0" applyFont="1" applyBorder="1" applyAlignment="1">
      <alignment horizontal="center" vertical="center"/>
    </xf>
    <xf numFmtId="2" fontId="4" fillId="0" borderId="0" xfId="0" applyNumberFormat="1" applyFont="1" applyBorder="1" applyAlignment="1">
      <alignment horizontal="center" vertical="center"/>
    </xf>
    <xf numFmtId="0" fontId="23" fillId="0" borderId="10" xfId="0" applyFont="1" applyBorder="1" applyAlignment="1">
      <alignment horizontal="center" vertical="center"/>
    </xf>
    <xf numFmtId="2" fontId="23" fillId="0" borderId="10" xfId="0" applyNumberFormat="1" applyFont="1" applyBorder="1" applyAlignment="1">
      <alignment horizontal="center" vertical="center"/>
    </xf>
    <xf numFmtId="0" fontId="4" fillId="0" borderId="123" xfId="0" applyFont="1" applyBorder="1" applyAlignment="1">
      <alignment horizontal="center" vertical="center"/>
    </xf>
    <xf numFmtId="2" fontId="4" fillId="0" borderId="123" xfId="0" applyNumberFormat="1" applyFont="1" applyBorder="1" applyAlignment="1">
      <alignment horizontal="center" vertical="center"/>
    </xf>
    <xf numFmtId="0" fontId="23" fillId="0" borderId="123" xfId="0" applyFont="1" applyBorder="1" applyAlignment="1">
      <alignment horizontal="center" vertical="center"/>
    </xf>
    <xf numFmtId="2" fontId="23" fillId="0" borderId="123" xfId="0" applyNumberFormat="1" applyFont="1" applyFill="1" applyBorder="1" applyAlignment="1">
      <alignment horizontal="center" vertical="center"/>
    </xf>
    <xf numFmtId="0" fontId="18" fillId="0" borderId="0" xfId="0" applyFont="1" applyAlignment="1">
      <alignment vertical="center"/>
    </xf>
    <xf numFmtId="0" fontId="49" fillId="0" borderId="0" xfId="2" applyFont="1" applyFill="1" applyBorder="1" applyAlignment="1">
      <alignment horizontal="center" vertical="center" textRotation="90"/>
    </xf>
    <xf numFmtId="0" fontId="18" fillId="12" borderId="0" xfId="0" applyFont="1" applyFill="1" applyAlignment="1">
      <alignment vertical="center"/>
    </xf>
    <xf numFmtId="0" fontId="49" fillId="12" borderId="0" xfId="2" applyFont="1" applyFill="1" applyBorder="1" applyAlignment="1">
      <alignment horizontal="center" vertical="center" textRotation="90"/>
    </xf>
    <xf numFmtId="0" fontId="50" fillId="12" borderId="0" xfId="0" applyFont="1" applyFill="1" applyAlignment="1">
      <alignment vertical="center"/>
    </xf>
    <xf numFmtId="0" fontId="0" fillId="10" borderId="0" xfId="0" applyFont="1" applyFill="1" applyAlignment="1">
      <alignment vertical="center" wrapText="1"/>
    </xf>
    <xf numFmtId="0" fontId="0" fillId="6" borderId="0" xfId="0" applyFont="1" applyFill="1" applyAlignment="1">
      <alignment vertical="center"/>
    </xf>
    <xf numFmtId="0" fontId="0" fillId="18" borderId="0" xfId="0" applyFont="1" applyFill="1" applyAlignment="1">
      <alignment vertical="center"/>
    </xf>
    <xf numFmtId="0" fontId="0" fillId="0" borderId="136" xfId="0" applyFont="1" applyFill="1" applyBorder="1" applyAlignment="1">
      <alignment vertical="center"/>
    </xf>
    <xf numFmtId="0" fontId="1" fillId="12" borderId="133" xfId="0" applyFont="1" applyFill="1" applyBorder="1" applyAlignment="1">
      <alignment vertical="center"/>
    </xf>
    <xf numFmtId="0" fontId="0" fillId="12" borderId="133" xfId="0" applyFont="1" applyFill="1" applyBorder="1" applyAlignment="1">
      <alignment vertical="center"/>
    </xf>
    <xf numFmtId="0" fontId="0" fillId="12" borderId="137" xfId="0" applyFont="1" applyFill="1" applyBorder="1" applyAlignment="1">
      <alignment vertical="center"/>
    </xf>
    <xf numFmtId="0" fontId="0" fillId="12" borderId="139" xfId="0" applyFont="1" applyFill="1" applyBorder="1" applyAlignment="1">
      <alignment vertical="center"/>
    </xf>
    <xf numFmtId="0" fontId="1" fillId="12" borderId="0" xfId="0" applyFont="1" applyFill="1" applyBorder="1" applyAlignment="1">
      <alignment vertical="center"/>
    </xf>
    <xf numFmtId="0" fontId="0" fillId="12" borderId="0" xfId="0" applyFont="1" applyFill="1" applyBorder="1" applyAlignment="1">
      <alignment vertical="center"/>
    </xf>
    <xf numFmtId="0" fontId="0" fillId="12" borderId="138" xfId="0" applyFont="1" applyFill="1" applyBorder="1" applyAlignment="1">
      <alignment vertical="center"/>
    </xf>
    <xf numFmtId="0" fontId="0" fillId="12" borderId="14" xfId="0" applyFont="1" applyFill="1" applyBorder="1" applyAlignment="1">
      <alignment vertical="center"/>
    </xf>
    <xf numFmtId="0" fontId="0" fillId="12" borderId="18" xfId="0" applyFont="1" applyFill="1" applyBorder="1" applyAlignment="1">
      <alignment vertical="center"/>
    </xf>
    <xf numFmtId="0" fontId="0" fillId="12" borderId="16" xfId="0" applyFont="1" applyFill="1" applyBorder="1" applyAlignment="1">
      <alignment vertical="center"/>
    </xf>
    <xf numFmtId="0" fontId="0" fillId="12" borderId="70" xfId="0" applyFont="1" applyFill="1" applyBorder="1" applyAlignment="1">
      <alignment vertical="center"/>
    </xf>
    <xf numFmtId="0" fontId="0" fillId="0" borderId="0" xfId="0" applyFont="1" applyFill="1" applyAlignment="1">
      <alignment vertical="center"/>
    </xf>
    <xf numFmtId="4" fontId="0" fillId="18" borderId="10" xfId="0" applyNumberFormat="1" applyFont="1" applyFill="1" applyBorder="1" applyAlignment="1">
      <alignment horizontal="center" vertical="center"/>
    </xf>
    <xf numFmtId="0" fontId="0" fillId="0" borderId="0" xfId="0" applyFont="1" applyFill="1" applyBorder="1" applyAlignment="1">
      <alignment vertical="center"/>
    </xf>
    <xf numFmtId="2" fontId="0" fillId="18" borderId="123" xfId="0" applyNumberFormat="1" applyFont="1" applyFill="1" applyBorder="1" applyAlignment="1">
      <alignment horizontal="center" vertical="center"/>
    </xf>
    <xf numFmtId="2" fontId="0" fillId="18" borderId="10" xfId="0" applyNumberFormat="1" applyFont="1" applyFill="1" applyBorder="1" applyAlignment="1">
      <alignment horizontal="center" vertical="center"/>
    </xf>
    <xf numFmtId="4" fontId="0" fillId="18" borderId="10" xfId="0" applyNumberFormat="1" applyFont="1" applyFill="1" applyBorder="1" applyAlignment="1">
      <alignment vertical="center"/>
    </xf>
    <xf numFmtId="0" fontId="0" fillId="11" borderId="0" xfId="0" applyFont="1" applyFill="1" applyBorder="1" applyAlignment="1">
      <alignment vertical="center"/>
    </xf>
    <xf numFmtId="0" fontId="21" fillId="0" borderId="0" xfId="2" applyFont="1" applyAlignment="1">
      <alignment vertical="center"/>
    </xf>
    <xf numFmtId="10" fontId="0" fillId="0" borderId="123" xfId="0" applyNumberFormat="1" applyFont="1" applyBorder="1" applyAlignment="1">
      <alignment vertical="center"/>
    </xf>
    <xf numFmtId="10" fontId="0" fillId="18" borderId="10" xfId="1" applyNumberFormat="1" applyFont="1" applyFill="1" applyBorder="1" applyAlignment="1">
      <alignment vertical="center"/>
    </xf>
    <xf numFmtId="10" fontId="0" fillId="18" borderId="123" xfId="1" applyNumberFormat="1" applyFont="1" applyFill="1" applyBorder="1" applyAlignment="1">
      <alignment vertical="center"/>
    </xf>
    <xf numFmtId="10" fontId="0" fillId="0" borderId="0" xfId="1" applyNumberFormat="1" applyFont="1" applyFill="1" applyBorder="1" applyAlignment="1">
      <alignment vertical="center"/>
    </xf>
    <xf numFmtId="0" fontId="0" fillId="12" borderId="0" xfId="0" applyFont="1" applyFill="1" applyAlignment="1">
      <alignment vertical="center"/>
    </xf>
    <xf numFmtId="4" fontId="0" fillId="18" borderId="10" xfId="1" applyNumberFormat="1" applyFont="1" applyFill="1" applyBorder="1" applyAlignment="1">
      <alignment vertical="center"/>
    </xf>
    <xf numFmtId="2" fontId="0" fillId="0" borderId="0" xfId="1" applyNumberFormat="1" applyFont="1" applyFill="1" applyBorder="1" applyAlignment="1">
      <alignment vertical="center"/>
    </xf>
    <xf numFmtId="4" fontId="0" fillId="0" borderId="0" xfId="0" applyNumberFormat="1" applyFont="1" applyFill="1" applyBorder="1" applyAlignment="1">
      <alignment horizontal="center" vertical="center"/>
    </xf>
    <xf numFmtId="4" fontId="0" fillId="12" borderId="0" xfId="0" applyNumberFormat="1" applyFont="1" applyFill="1" applyBorder="1" applyAlignment="1">
      <alignment horizontal="center" vertical="center"/>
    </xf>
    <xf numFmtId="0" fontId="0" fillId="0" borderId="0" xfId="0" applyFont="1" applyBorder="1" applyAlignment="1">
      <alignment horizontal="left" vertical="center"/>
    </xf>
    <xf numFmtId="0" fontId="23" fillId="12" borderId="0" xfId="0" applyFont="1" applyFill="1" applyBorder="1" applyAlignment="1">
      <alignment vertical="center"/>
    </xf>
    <xf numFmtId="0" fontId="23" fillId="12" borderId="0" xfId="0" applyFont="1" applyFill="1" applyAlignment="1">
      <alignment vertical="center"/>
    </xf>
    <xf numFmtId="0" fontId="0" fillId="0" borderId="0" xfId="0" applyFont="1" applyBorder="1" applyAlignment="1">
      <alignment horizontal="left" vertical="center" wrapText="1"/>
    </xf>
    <xf numFmtId="2" fontId="0" fillId="18" borderId="10" xfId="0" applyNumberFormat="1" applyFont="1" applyFill="1" applyBorder="1" applyAlignment="1">
      <alignment vertical="center"/>
    </xf>
    <xf numFmtId="0" fontId="23" fillId="0" borderId="0" xfId="0" applyFont="1" applyBorder="1" applyAlignment="1">
      <alignment vertical="center"/>
    </xf>
    <xf numFmtId="10" fontId="0" fillId="18" borderId="10" xfId="0" applyNumberFormat="1" applyFont="1" applyFill="1" applyBorder="1" applyAlignment="1">
      <alignment horizontal="center" vertical="center"/>
    </xf>
    <xf numFmtId="2" fontId="23" fillId="18" borderId="10" xfId="0" applyNumberFormat="1" applyFont="1" applyFill="1" applyBorder="1" applyAlignment="1">
      <alignment vertical="center"/>
    </xf>
    <xf numFmtId="0" fontId="2" fillId="0" borderId="0" xfId="2" applyFont="1" applyBorder="1" applyAlignment="1">
      <alignment vertical="center"/>
    </xf>
    <xf numFmtId="9" fontId="0" fillId="0" borderId="0" xfId="0" applyNumberFormat="1" applyFont="1" applyFill="1" applyBorder="1" applyAlignment="1">
      <alignment horizontal="center" vertical="center"/>
    </xf>
    <xf numFmtId="0" fontId="0" fillId="17" borderId="10" xfId="0" applyFont="1" applyFill="1" applyBorder="1" applyAlignment="1">
      <alignment vertical="center"/>
    </xf>
    <xf numFmtId="2" fontId="0" fillId="18" borderId="123" xfId="0" applyNumberFormat="1" applyFont="1" applyFill="1" applyBorder="1" applyAlignment="1">
      <alignment vertical="center"/>
    </xf>
    <xf numFmtId="0" fontId="3" fillId="0" borderId="70" xfId="0" applyFont="1" applyFill="1" applyBorder="1" applyAlignment="1">
      <alignment horizontal="center" vertical="center"/>
    </xf>
    <xf numFmtId="4" fontId="28" fillId="0" borderId="0" xfId="0" applyNumberFormat="1" applyFont="1" applyAlignment="1">
      <alignment vertical="center"/>
    </xf>
    <xf numFmtId="0" fontId="13" fillId="18" borderId="0" xfId="0" applyFont="1" applyFill="1" applyAlignment="1">
      <alignment vertical="center"/>
    </xf>
    <xf numFmtId="0" fontId="13" fillId="0" borderId="124" xfId="0" applyFont="1" applyBorder="1" applyAlignment="1">
      <alignment vertical="center"/>
    </xf>
    <xf numFmtId="0" fontId="23" fillId="18" borderId="123" xfId="0" applyFont="1" applyFill="1" applyBorder="1" applyAlignment="1">
      <alignment vertical="center"/>
    </xf>
    <xf numFmtId="2" fontId="23" fillId="18" borderId="123" xfId="0" applyNumberFormat="1" applyFont="1" applyFill="1" applyBorder="1" applyAlignment="1">
      <alignment vertical="center"/>
    </xf>
    <xf numFmtId="0" fontId="1" fillId="0" borderId="0" xfId="0" applyFont="1" applyAlignment="1">
      <alignment vertical="center"/>
    </xf>
    <xf numFmtId="0" fontId="1" fillId="0" borderId="0" xfId="0" applyFont="1" applyBorder="1" applyAlignment="1">
      <alignment vertical="center"/>
    </xf>
    <xf numFmtId="0" fontId="5" fillId="7" borderId="143" xfId="0" applyFont="1" applyFill="1" applyBorder="1" applyAlignment="1">
      <alignment horizontal="center" vertical="center"/>
    </xf>
    <xf numFmtId="2" fontId="0" fillId="18" borderId="123" xfId="0" applyNumberFormat="1" applyFont="1" applyFill="1" applyBorder="1" applyAlignment="1">
      <alignment horizontal="right" vertical="center"/>
    </xf>
    <xf numFmtId="0" fontId="2" fillId="0" borderId="0" xfId="0" applyFont="1" applyBorder="1" applyAlignment="1">
      <alignment vertical="center"/>
    </xf>
    <xf numFmtId="17" fontId="0" fillId="4" borderId="123" xfId="0" applyNumberFormat="1" applyFont="1" applyFill="1" applyBorder="1" applyAlignment="1" applyProtection="1">
      <alignment horizontal="center" vertical="center"/>
      <protection locked="0"/>
    </xf>
    <xf numFmtId="0" fontId="0" fillId="4" borderId="123" xfId="0" applyFont="1" applyFill="1" applyBorder="1" applyAlignment="1" applyProtection="1">
      <alignment vertical="center"/>
      <protection locked="0"/>
    </xf>
    <xf numFmtId="1" fontId="0" fillId="4" borderId="123" xfId="0" applyNumberFormat="1" applyFont="1" applyFill="1" applyBorder="1" applyAlignment="1" applyProtection="1">
      <alignment vertical="center"/>
      <protection locked="0"/>
    </xf>
    <xf numFmtId="0" fontId="0" fillId="6" borderId="123" xfId="0" applyFont="1" applyFill="1" applyBorder="1" applyAlignment="1" applyProtection="1">
      <alignment horizontal="center" vertical="center"/>
      <protection locked="0"/>
    </xf>
    <xf numFmtId="4" fontId="0" fillId="4" borderId="10" xfId="0" applyNumberFormat="1" applyFont="1" applyFill="1" applyBorder="1" applyAlignment="1" applyProtection="1">
      <alignment horizontal="center" vertical="center"/>
      <protection locked="0"/>
    </xf>
    <xf numFmtId="4" fontId="0" fillId="10" borderId="10" xfId="0" applyNumberFormat="1" applyFont="1" applyFill="1" applyBorder="1" applyAlignment="1" applyProtection="1">
      <alignment horizontal="center" vertical="center"/>
      <protection locked="0"/>
    </xf>
    <xf numFmtId="0" fontId="0" fillId="4" borderId="136" xfId="0" applyFont="1" applyFill="1" applyBorder="1" applyAlignment="1" applyProtection="1">
      <alignment vertical="center"/>
      <protection locked="0"/>
    </xf>
    <xf numFmtId="14" fontId="0" fillId="4" borderId="136" xfId="0" applyNumberFormat="1" applyFont="1" applyFill="1" applyBorder="1" applyAlignment="1" applyProtection="1">
      <alignment vertical="center"/>
      <protection locked="0"/>
    </xf>
    <xf numFmtId="4" fontId="0" fillId="4" borderId="136" xfId="0" applyNumberFormat="1" applyFont="1" applyFill="1" applyBorder="1" applyAlignment="1" applyProtection="1">
      <alignment horizontal="center" vertical="center"/>
      <protection locked="0"/>
    </xf>
    <xf numFmtId="0" fontId="0" fillId="4" borderId="123" xfId="0" applyFont="1" applyFill="1" applyBorder="1" applyAlignment="1" applyProtection="1">
      <alignment horizontal="center" vertical="center"/>
      <protection locked="0"/>
    </xf>
    <xf numFmtId="10" fontId="0" fillId="4" borderId="10" xfId="1" applyNumberFormat="1" applyFont="1" applyFill="1" applyBorder="1" applyAlignment="1" applyProtection="1">
      <alignment horizontal="center" vertical="center"/>
      <protection locked="0"/>
    </xf>
    <xf numFmtId="9" fontId="23" fillId="4" borderId="10" xfId="1" applyFont="1" applyFill="1" applyBorder="1" applyAlignment="1" applyProtection="1">
      <alignment horizontal="center" vertical="center"/>
      <protection locked="0"/>
    </xf>
    <xf numFmtId="9" fontId="0" fillId="4" borderId="10" xfId="1" applyFont="1" applyFill="1" applyBorder="1" applyAlignment="1" applyProtection="1">
      <alignment horizontal="center" vertical="center"/>
      <protection locked="0"/>
    </xf>
    <xf numFmtId="0" fontId="0" fillId="6" borderId="10" xfId="0" applyFont="1" applyFill="1" applyBorder="1" applyAlignment="1" applyProtection="1">
      <alignment horizontal="center" vertical="center"/>
      <protection locked="0"/>
    </xf>
    <xf numFmtId="2" fontId="0" fillId="4" borderId="10" xfId="0" applyNumberFormat="1" applyFont="1" applyFill="1" applyBorder="1" applyAlignment="1" applyProtection="1">
      <alignment horizontal="center" vertical="center"/>
      <protection locked="0"/>
    </xf>
    <xf numFmtId="4" fontId="0" fillId="6" borderId="123" xfId="0" applyNumberFormat="1" applyFont="1" applyFill="1" applyBorder="1" applyAlignment="1" applyProtection="1">
      <alignment horizontal="center" vertical="center"/>
      <protection locked="0"/>
    </xf>
    <xf numFmtId="14" fontId="0" fillId="4" borderId="10" xfId="0" applyNumberFormat="1" applyFont="1" applyFill="1" applyBorder="1" applyAlignment="1" applyProtection="1">
      <alignment horizontal="center" vertical="center"/>
      <protection locked="0"/>
    </xf>
    <xf numFmtId="0" fontId="0" fillId="4" borderId="10" xfId="0" applyFont="1" applyFill="1" applyBorder="1" applyAlignment="1" applyProtection="1">
      <alignment horizontal="center" vertical="center"/>
      <protection locked="0"/>
    </xf>
    <xf numFmtId="0" fontId="0" fillId="4" borderId="70" xfId="0" applyFont="1" applyFill="1" applyBorder="1" applyAlignment="1" applyProtection="1">
      <alignment horizontal="center" vertical="center"/>
      <protection locked="0"/>
    </xf>
    <xf numFmtId="0" fontId="0" fillId="10" borderId="10" xfId="0" applyFont="1" applyFill="1" applyBorder="1" applyAlignment="1" applyProtection="1">
      <alignment horizontal="center" vertical="center"/>
      <protection locked="0"/>
    </xf>
    <xf numFmtId="2" fontId="13" fillId="4" borderId="123" xfId="0" applyNumberFormat="1" applyFont="1" applyFill="1" applyBorder="1" applyAlignment="1" applyProtection="1">
      <alignment horizontal="center" vertical="center"/>
      <protection locked="0"/>
    </xf>
    <xf numFmtId="4" fontId="0" fillId="4" borderId="70" xfId="0" applyNumberFormat="1" applyFont="1" applyFill="1" applyBorder="1" applyAlignment="1" applyProtection="1">
      <alignment horizontal="center" vertical="center"/>
      <protection locked="0"/>
    </xf>
    <xf numFmtId="4" fontId="0" fillId="4" borderId="123" xfId="0" applyNumberFormat="1" applyFont="1" applyFill="1" applyBorder="1" applyAlignment="1" applyProtection="1">
      <alignment horizontal="center" vertical="center"/>
      <protection locked="0"/>
    </xf>
    <xf numFmtId="3" fontId="0" fillId="4" borderId="10" xfId="0" applyNumberFormat="1" applyFont="1" applyFill="1" applyBorder="1" applyAlignment="1" applyProtection="1">
      <alignment horizontal="center" vertical="center"/>
      <protection locked="0"/>
    </xf>
    <xf numFmtId="0" fontId="0" fillId="6" borderId="10" xfId="0" applyFont="1" applyFill="1" applyBorder="1" applyAlignment="1" applyProtection="1">
      <alignment vertical="center"/>
      <protection locked="0"/>
    </xf>
    <xf numFmtId="0" fontId="0" fillId="4" borderId="10" xfId="0" applyFont="1" applyFill="1" applyBorder="1" applyAlignment="1" applyProtection="1">
      <alignment vertical="center"/>
      <protection locked="0"/>
    </xf>
    <xf numFmtId="9" fontId="0" fillId="4" borderId="10" xfId="0" applyNumberFormat="1" applyFont="1" applyFill="1" applyBorder="1" applyAlignment="1" applyProtection="1">
      <alignment horizontal="center" vertical="center"/>
      <protection locked="0"/>
    </xf>
    <xf numFmtId="0" fontId="0" fillId="10" borderId="10" xfId="0" applyFont="1" applyFill="1" applyBorder="1" applyAlignment="1" applyProtection="1">
      <alignment vertical="center"/>
      <protection locked="0"/>
    </xf>
    <xf numFmtId="0" fontId="21" fillId="0" borderId="0" xfId="2" applyFill="1" applyBorder="1" applyAlignment="1" applyProtection="1">
      <alignment horizontal="center" vertical="center"/>
      <protection locked="0"/>
    </xf>
    <xf numFmtId="0" fontId="11" fillId="0" borderId="0" xfId="0" applyFont="1" applyFill="1" applyBorder="1" applyAlignment="1" applyProtection="1">
      <alignment vertical="center"/>
      <protection locked="0"/>
    </xf>
    <xf numFmtId="0" fontId="0" fillId="0" borderId="0" xfId="0" applyAlignment="1" applyProtection="1">
      <alignment vertical="center"/>
      <protection locked="0"/>
    </xf>
    <xf numFmtId="0" fontId="11" fillId="0" borderId="0" xfId="0"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23" fillId="0" borderId="0" xfId="0" applyFont="1" applyFill="1" applyBorder="1" applyAlignment="1" applyProtection="1">
      <alignment horizontal="left" vertical="center"/>
      <protection locked="0"/>
    </xf>
    <xf numFmtId="2" fontId="23" fillId="4" borderId="10" xfId="0" applyNumberFormat="1" applyFont="1" applyFill="1" applyBorder="1" applyAlignment="1" applyProtection="1">
      <alignment horizontal="center" vertical="center"/>
      <protection locked="0"/>
    </xf>
    <xf numFmtId="0" fontId="1" fillId="0" borderId="0" xfId="0" applyFont="1" applyProtection="1">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20" fontId="0" fillId="0" borderId="93" xfId="0" applyNumberFormat="1" applyFill="1" applyBorder="1" applyProtection="1">
      <protection locked="0"/>
    </xf>
    <xf numFmtId="20" fontId="0" fillId="0" borderId="94" xfId="0" applyNumberFormat="1" applyFill="1" applyBorder="1" applyProtection="1">
      <protection locked="0"/>
    </xf>
    <xf numFmtId="20" fontId="0" fillId="0" borderId="95" xfId="0" applyNumberFormat="1" applyFill="1" applyBorder="1" applyProtection="1">
      <protection locked="0"/>
    </xf>
    <xf numFmtId="20" fontId="0" fillId="0" borderId="93" xfId="0" applyNumberFormat="1" applyBorder="1" applyProtection="1">
      <protection locked="0"/>
    </xf>
    <xf numFmtId="20" fontId="0" fillId="0" borderId="95" xfId="0" applyNumberFormat="1" applyBorder="1" applyProtection="1">
      <protection locked="0"/>
    </xf>
    <xf numFmtId="20" fontId="0" fillId="0" borderId="101" xfId="0" applyNumberFormat="1" applyBorder="1" applyProtection="1">
      <protection locked="0"/>
    </xf>
    <xf numFmtId="166" fontId="0" fillId="4" borderId="0" xfId="0" applyNumberFormat="1" applyFill="1" applyAlignment="1" applyProtection="1">
      <alignment vertical="center"/>
      <protection locked="0"/>
    </xf>
    <xf numFmtId="20" fontId="0" fillId="0" borderId="0" xfId="0" applyNumberFormat="1" applyAlignment="1" applyProtection="1">
      <alignment vertical="center"/>
      <protection locked="0"/>
    </xf>
    <xf numFmtId="20" fontId="0" fillId="0" borderId="96" xfId="0" applyNumberFormat="1" applyFill="1" applyBorder="1" applyProtection="1">
      <protection locked="0"/>
    </xf>
    <xf numFmtId="20" fontId="0" fillId="0" borderId="66" xfId="0" applyNumberFormat="1" applyFill="1" applyBorder="1" applyProtection="1">
      <protection locked="0"/>
    </xf>
    <xf numFmtId="20" fontId="0" fillId="0" borderId="97" xfId="0" applyNumberFormat="1" applyFill="1" applyBorder="1" applyProtection="1">
      <protection locked="0"/>
    </xf>
    <xf numFmtId="20" fontId="0" fillId="0" borderId="96" xfId="0" applyNumberFormat="1" applyBorder="1" applyProtection="1">
      <protection locked="0"/>
    </xf>
    <xf numFmtId="20" fontId="0" fillId="0" borderId="97" xfId="0" applyNumberFormat="1" applyBorder="1" applyProtection="1">
      <protection locked="0"/>
    </xf>
    <xf numFmtId="20" fontId="0" fillId="0" borderId="102" xfId="0" applyNumberFormat="1" applyBorder="1" applyProtection="1">
      <protection locked="0"/>
    </xf>
    <xf numFmtId="0" fontId="4" fillId="0" borderId="79" xfId="0" applyFont="1" applyBorder="1" applyAlignment="1" applyProtection="1">
      <alignment horizontal="center" vertical="center"/>
      <protection locked="0"/>
    </xf>
    <xf numFmtId="0" fontId="4" fillId="0" borderId="90" xfId="0" applyFont="1" applyBorder="1" applyAlignment="1" applyProtection="1">
      <alignment horizontal="center" vertical="center"/>
      <protection locked="0"/>
    </xf>
    <xf numFmtId="0" fontId="4" fillId="0" borderId="80" xfId="0" applyFont="1" applyBorder="1" applyAlignment="1" applyProtection="1">
      <alignment horizontal="center" vertical="center"/>
      <protection locked="0"/>
    </xf>
    <xf numFmtId="166" fontId="0" fillId="0" borderId="77" xfId="0" applyNumberFormat="1" applyBorder="1" applyAlignment="1" applyProtection="1">
      <alignment vertical="center"/>
      <protection locked="0"/>
    </xf>
    <xf numFmtId="20" fontId="0" fillId="0" borderId="89" xfId="0" applyNumberFormat="1" applyBorder="1" applyAlignment="1" applyProtection="1">
      <alignment vertical="center"/>
      <protection locked="0"/>
    </xf>
    <xf numFmtId="20" fontId="0" fillId="0" borderId="78" xfId="0" applyNumberFormat="1" applyBorder="1" applyAlignment="1" applyProtection="1">
      <alignment vertical="center"/>
      <protection locked="0"/>
    </xf>
    <xf numFmtId="166" fontId="0" fillId="0" borderId="81" xfId="0" applyNumberFormat="1" applyBorder="1" applyAlignment="1" applyProtection="1">
      <alignment vertical="center"/>
      <protection locked="0"/>
    </xf>
    <xf numFmtId="0" fontId="1" fillId="0" borderId="0" xfId="0" applyFont="1" applyFill="1" applyProtection="1">
      <protection locked="0"/>
    </xf>
    <xf numFmtId="20" fontId="0" fillId="0" borderId="102" xfId="0" applyNumberFormat="1" applyFill="1" applyBorder="1" applyProtection="1">
      <protection locked="0"/>
    </xf>
    <xf numFmtId="166" fontId="0" fillId="0" borderId="53" xfId="0" applyNumberFormat="1" applyBorder="1" applyAlignment="1" applyProtection="1">
      <alignment vertical="center"/>
      <protection locked="0"/>
    </xf>
    <xf numFmtId="20" fontId="0" fillId="0" borderId="91" xfId="0" applyNumberFormat="1" applyBorder="1" applyAlignment="1" applyProtection="1">
      <alignment vertical="center"/>
      <protection locked="0"/>
    </xf>
    <xf numFmtId="20" fontId="0" fillId="0" borderId="92" xfId="0" applyNumberFormat="1" applyBorder="1" applyAlignment="1" applyProtection="1">
      <alignment vertical="center"/>
      <protection locked="0"/>
    </xf>
    <xf numFmtId="0" fontId="4" fillId="0" borderId="79" xfId="0" applyFont="1" applyBorder="1" applyAlignment="1" applyProtection="1">
      <alignment vertical="center"/>
      <protection locked="0"/>
    </xf>
    <xf numFmtId="166" fontId="4" fillId="0" borderId="90" xfId="0" applyNumberFormat="1" applyFont="1" applyBorder="1" applyAlignment="1" applyProtection="1">
      <alignment vertical="center"/>
      <protection locked="0"/>
    </xf>
    <xf numFmtId="166" fontId="4" fillId="0" borderId="80" xfId="0" applyNumberFormat="1" applyFont="1" applyBorder="1" applyAlignment="1" applyProtection="1">
      <alignment vertical="center"/>
      <protection locked="0"/>
    </xf>
    <xf numFmtId="4" fontId="0" fillId="0" borderId="0" xfId="0" applyNumberFormat="1" applyAlignment="1" applyProtection="1">
      <alignment vertical="center"/>
      <protection locked="0"/>
    </xf>
    <xf numFmtId="20" fontId="0" fillId="0" borderId="98" xfId="0" applyNumberFormat="1" applyFill="1" applyBorder="1" applyProtection="1">
      <protection locked="0"/>
    </xf>
    <xf numFmtId="20" fontId="0" fillId="0" borderId="99" xfId="0" applyNumberFormat="1" applyFill="1" applyBorder="1" applyProtection="1">
      <protection locked="0"/>
    </xf>
    <xf numFmtId="20" fontId="0" fillId="0" borderId="100" xfId="0" applyNumberFormat="1" applyFill="1" applyBorder="1" applyProtection="1">
      <protection locked="0"/>
    </xf>
    <xf numFmtId="20" fontId="0" fillId="0" borderId="103" xfId="0" applyNumberFormat="1" applyFill="1" applyBorder="1" applyProtection="1">
      <protection locked="0"/>
    </xf>
    <xf numFmtId="0" fontId="0" fillId="0" borderId="0" xfId="0" applyProtection="1">
      <protection locked="0"/>
    </xf>
    <xf numFmtId="165" fontId="0" fillId="0" borderId="0" xfId="0" applyNumberFormat="1" applyProtection="1">
      <protection locked="0"/>
    </xf>
    <xf numFmtId="0" fontId="0" fillId="0" borderId="10" xfId="0" applyBorder="1" applyAlignment="1" applyProtection="1">
      <alignment vertical="center"/>
      <protection locked="0"/>
    </xf>
    <xf numFmtId="9" fontId="0" fillId="0" borderId="10" xfId="0" applyNumberFormat="1" applyBorder="1" applyAlignment="1" applyProtection="1">
      <alignment vertical="center"/>
      <protection locked="0"/>
    </xf>
    <xf numFmtId="0" fontId="0" fillId="0" borderId="0" xfId="0" applyFont="1" applyBorder="1" applyAlignment="1" applyProtection="1">
      <alignment vertical="center"/>
      <protection locked="0"/>
    </xf>
    <xf numFmtId="0" fontId="0" fillId="0" borderId="0" xfId="0" applyFont="1" applyAlignment="1" applyProtection="1">
      <alignment vertical="center"/>
      <protection locked="0"/>
    </xf>
    <xf numFmtId="0" fontId="34" fillId="0" borderId="0" xfId="0" applyFont="1" applyAlignment="1" applyProtection="1">
      <alignment vertical="center"/>
      <protection locked="0"/>
    </xf>
    <xf numFmtId="0" fontId="4" fillId="0" borderId="0" xfId="0" applyFont="1" applyAlignment="1" applyProtection="1">
      <alignment vertical="center"/>
      <protection locked="0"/>
    </xf>
    <xf numFmtId="0" fontId="0" fillId="4" borderId="0" xfId="0" applyFill="1" applyAlignment="1" applyProtection="1">
      <alignment vertical="center"/>
      <protection locked="0"/>
    </xf>
    <xf numFmtId="0" fontId="26" fillId="0" borderId="29" xfId="0" applyFont="1" applyBorder="1" applyAlignment="1" applyProtection="1">
      <alignment horizontal="center" vertical="center"/>
      <protection locked="0"/>
    </xf>
    <xf numFmtId="4" fontId="26" fillId="0" borderId="29" xfId="0" applyNumberFormat="1" applyFont="1" applyBorder="1" applyAlignment="1" applyProtection="1">
      <alignment vertical="center"/>
      <protection locked="0"/>
    </xf>
    <xf numFmtId="0" fontId="26" fillId="0" borderId="29" xfId="0" applyFont="1" applyFill="1" applyBorder="1" applyAlignment="1" applyProtection="1">
      <alignment horizontal="center" vertical="center"/>
      <protection locked="0"/>
    </xf>
    <xf numFmtId="2" fontId="26" fillId="0" borderId="29" xfId="0" applyNumberFormat="1" applyFont="1" applyFill="1" applyBorder="1" applyAlignment="1" applyProtection="1">
      <alignment horizontal="right" vertical="center"/>
      <protection locked="0"/>
    </xf>
    <xf numFmtId="14" fontId="0" fillId="4" borderId="0" xfId="0" applyNumberFormat="1" applyFill="1" applyAlignment="1" applyProtection="1">
      <alignment horizontal="center" vertical="center"/>
      <protection locked="0"/>
    </xf>
    <xf numFmtId="0" fontId="0" fillId="4" borderId="53" xfId="0" applyFill="1" applyBorder="1" applyAlignment="1" applyProtection="1">
      <alignment horizontal="center" vertical="center"/>
      <protection locked="0"/>
    </xf>
    <xf numFmtId="0" fontId="48" fillId="0" borderId="0" xfId="0" applyFont="1" applyProtection="1">
      <protection locked="0"/>
    </xf>
    <xf numFmtId="0" fontId="0" fillId="4" borderId="0" xfId="0" applyFill="1" applyProtection="1">
      <protection locked="0"/>
    </xf>
    <xf numFmtId="0" fontId="6" fillId="12" borderId="11" xfId="0" applyFont="1" applyFill="1" applyBorder="1" applyAlignment="1">
      <alignment vertical="center"/>
    </xf>
    <xf numFmtId="0" fontId="6" fillId="12" borderId="13" xfId="0" applyFont="1" applyFill="1" applyBorder="1" applyAlignment="1">
      <alignment vertical="center"/>
    </xf>
    <xf numFmtId="0" fontId="21" fillId="0" borderId="2" xfId="2" applyBorder="1" applyAlignment="1">
      <alignment horizontal="center" vertical="center"/>
    </xf>
    <xf numFmtId="0" fontId="21" fillId="0" borderId="4" xfId="2" applyBorder="1" applyAlignment="1">
      <alignment horizontal="center" vertical="center"/>
    </xf>
    <xf numFmtId="0" fontId="2" fillId="0" borderId="3" xfId="2" applyFont="1" applyBorder="1" applyAlignment="1">
      <alignment horizontal="center" vertical="center"/>
    </xf>
    <xf numFmtId="0" fontId="2" fillId="0" borderId="4" xfId="2" applyFont="1" applyBorder="1" applyAlignment="1">
      <alignment horizontal="center" vertical="center"/>
    </xf>
    <xf numFmtId="0" fontId="49" fillId="10" borderId="75" xfId="2" applyFont="1" applyFill="1" applyBorder="1" applyAlignment="1">
      <alignment horizontal="center" vertical="center" textRotation="90"/>
    </xf>
    <xf numFmtId="0" fontId="49" fillId="10" borderId="134" xfId="2" applyFont="1" applyFill="1" applyBorder="1" applyAlignment="1">
      <alignment horizontal="center" vertical="center" textRotation="90"/>
    </xf>
    <xf numFmtId="0" fontId="49" fillId="10" borderId="73" xfId="2" applyFont="1" applyFill="1" applyBorder="1" applyAlignment="1">
      <alignment horizontal="center" vertical="center" textRotation="90"/>
    </xf>
    <xf numFmtId="0" fontId="21" fillId="0" borderId="3" xfId="2" applyBorder="1" applyAlignment="1">
      <alignment horizontal="center" vertical="center"/>
    </xf>
    <xf numFmtId="0" fontId="21" fillId="0" borderId="0" xfId="2" applyFont="1" applyAlignment="1">
      <alignment horizontal="center" vertical="center"/>
    </xf>
    <xf numFmtId="0" fontId="49" fillId="13" borderId="75" xfId="2" applyFont="1" applyFill="1" applyBorder="1" applyAlignment="1">
      <alignment horizontal="center" vertical="center" textRotation="90"/>
    </xf>
    <xf numFmtId="0" fontId="49" fillId="13" borderId="134" xfId="2" applyFont="1" applyFill="1" applyBorder="1" applyAlignment="1">
      <alignment horizontal="center" vertical="center" textRotation="90"/>
    </xf>
    <xf numFmtId="0" fontId="49" fillId="13" borderId="73" xfId="2" applyFont="1" applyFill="1" applyBorder="1" applyAlignment="1">
      <alignment horizontal="center" vertical="center" textRotation="90"/>
    </xf>
    <xf numFmtId="0" fontId="49" fillId="0" borderId="75" xfId="2" applyFont="1" applyBorder="1" applyAlignment="1">
      <alignment horizontal="center" vertical="center" textRotation="90"/>
    </xf>
    <xf numFmtId="0" fontId="49" fillId="0" borderId="134" xfId="2" applyFont="1" applyBorder="1" applyAlignment="1">
      <alignment horizontal="center" vertical="center" textRotation="90"/>
    </xf>
    <xf numFmtId="0" fontId="49" fillId="0" borderId="73" xfId="2" applyFont="1" applyBorder="1" applyAlignment="1">
      <alignment horizontal="center" vertical="center" textRotation="90"/>
    </xf>
    <xf numFmtId="0" fontId="49" fillId="5" borderId="24" xfId="2" applyFont="1" applyFill="1" applyBorder="1" applyAlignment="1">
      <alignment horizontal="center" vertical="center" textRotation="90"/>
    </xf>
    <xf numFmtId="0" fontId="49" fillId="5" borderId="135" xfId="2" applyFont="1" applyFill="1" applyBorder="1" applyAlignment="1">
      <alignment horizontal="center" vertical="center" textRotation="90"/>
    </xf>
    <xf numFmtId="0" fontId="49" fillId="5" borderId="142" xfId="2" applyFont="1" applyFill="1" applyBorder="1" applyAlignment="1">
      <alignment horizontal="center" vertical="center" textRotation="90"/>
    </xf>
    <xf numFmtId="0" fontId="49" fillId="5" borderId="27" xfId="2" applyFont="1" applyFill="1" applyBorder="1" applyAlignment="1">
      <alignment horizontal="center" vertical="center" textRotation="90"/>
    </xf>
    <xf numFmtId="0" fontId="49" fillId="6" borderId="75" xfId="2" applyFont="1" applyFill="1" applyBorder="1" applyAlignment="1">
      <alignment horizontal="center" vertical="center" textRotation="90" wrapText="1"/>
    </xf>
    <xf numFmtId="0" fontId="49" fillId="6" borderId="134" xfId="2" applyFont="1" applyFill="1" applyBorder="1" applyAlignment="1">
      <alignment horizontal="center" vertical="center" textRotation="90" wrapText="1"/>
    </xf>
    <xf numFmtId="0" fontId="49" fillId="6" borderId="73" xfId="2" applyFont="1" applyFill="1" applyBorder="1" applyAlignment="1">
      <alignment horizontal="center" vertical="center" textRotation="90" wrapText="1"/>
    </xf>
    <xf numFmtId="0" fontId="49" fillId="5" borderId="75" xfId="2" applyFont="1" applyFill="1" applyBorder="1" applyAlignment="1">
      <alignment horizontal="center" vertical="center" textRotation="90"/>
    </xf>
    <xf numFmtId="0" fontId="49" fillId="5" borderId="134" xfId="2" applyFont="1" applyFill="1" applyBorder="1" applyAlignment="1">
      <alignment horizontal="center" vertical="center" textRotation="90"/>
    </xf>
    <xf numFmtId="0" fontId="49" fillId="5" borderId="73" xfId="2" applyFont="1" applyFill="1" applyBorder="1" applyAlignment="1">
      <alignment horizontal="center" vertical="center" textRotation="90"/>
    </xf>
    <xf numFmtId="14" fontId="0" fillId="0" borderId="28" xfId="0" applyNumberFormat="1" applyFont="1" applyFill="1" applyBorder="1"/>
    <xf numFmtId="14" fontId="26" fillId="0" borderId="29" xfId="0" applyNumberFormat="1" applyFont="1" applyFill="1" applyBorder="1"/>
    <xf numFmtId="0" fontId="29" fillId="16" borderId="2" xfId="0" applyFont="1" applyFill="1" applyBorder="1" applyAlignment="1">
      <alignment horizontal="center" vertical="center"/>
    </xf>
    <xf numFmtId="0" fontId="29" fillId="16" borderId="4" xfId="0" applyFont="1" applyFill="1" applyBorder="1" applyAlignment="1">
      <alignment horizontal="center" vertical="center"/>
    </xf>
    <xf numFmtId="0" fontId="26" fillId="0" borderId="28" xfId="0" applyFont="1" applyBorder="1" applyAlignment="1">
      <alignment horizontal="left" vertical="center"/>
    </xf>
    <xf numFmtId="0" fontId="26" fillId="0" borderId="29" xfId="0" applyFont="1" applyBorder="1" applyAlignment="1">
      <alignment horizontal="left" vertical="center"/>
    </xf>
    <xf numFmtId="0" fontId="26" fillId="0" borderId="30" xfId="0" applyFont="1" applyBorder="1" applyAlignment="1">
      <alignment horizontal="center" vertical="center"/>
    </xf>
    <xf numFmtId="0" fontId="26" fillId="0" borderId="31" xfId="0" applyFont="1" applyBorder="1" applyAlignment="1">
      <alignment horizontal="center" vertical="center"/>
    </xf>
    <xf numFmtId="0" fontId="26" fillId="0" borderId="28" xfId="0" applyFont="1" applyFill="1" applyBorder="1" applyAlignment="1">
      <alignment horizontal="left" vertical="center"/>
    </xf>
    <xf numFmtId="0" fontId="26" fillId="0" borderId="29" xfId="0" applyFont="1" applyFill="1" applyBorder="1" applyAlignment="1">
      <alignment horizontal="left" vertical="center"/>
    </xf>
    <xf numFmtId="0" fontId="23" fillId="4" borderId="28" xfId="0" applyFont="1" applyFill="1" applyBorder="1" applyAlignment="1">
      <alignment horizontal="left" vertical="center"/>
    </xf>
    <xf numFmtId="0" fontId="23" fillId="4" borderId="29" xfId="0" applyFont="1" applyFill="1" applyBorder="1" applyAlignment="1">
      <alignment horizontal="left" vertical="center"/>
    </xf>
    <xf numFmtId="0" fontId="26" fillId="0" borderId="128" xfId="0" applyFont="1" applyBorder="1" applyAlignment="1">
      <alignment horizontal="left" vertical="center"/>
    </xf>
    <xf numFmtId="0" fontId="26" fillId="0" borderId="129" xfId="0" applyFont="1" applyBorder="1" applyAlignment="1">
      <alignment horizontal="left" vertical="center"/>
    </xf>
    <xf numFmtId="0" fontId="26" fillId="0" borderId="131" xfId="0" applyFont="1" applyFill="1" applyBorder="1" applyAlignment="1">
      <alignment horizontal="left" vertical="center"/>
    </xf>
    <xf numFmtId="0" fontId="26" fillId="0" borderId="68" xfId="0" applyFont="1" applyFill="1" applyBorder="1" applyAlignment="1">
      <alignment horizontal="left" vertical="center"/>
    </xf>
    <xf numFmtId="0" fontId="0" fillId="0" borderId="28" xfId="0" applyFont="1" applyBorder="1" applyAlignment="1">
      <alignment horizontal="left" vertical="center"/>
    </xf>
    <xf numFmtId="0" fontId="0" fillId="0" borderId="29" xfId="0" applyFont="1" applyBorder="1" applyAlignment="1">
      <alignment horizontal="left" vertical="center"/>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23" xfId="0" applyFont="1" applyFill="1" applyBorder="1" applyAlignment="1">
      <alignment horizontal="center" vertical="center"/>
    </xf>
    <xf numFmtId="4" fontId="29" fillId="3" borderId="2" xfId="0" applyNumberFormat="1" applyFont="1" applyFill="1" applyBorder="1" applyAlignment="1">
      <alignment horizontal="center" vertical="center"/>
    </xf>
    <xf numFmtId="4" fontId="29" fillId="3" borderId="4" xfId="0" applyNumberFormat="1" applyFont="1" applyFill="1" applyBorder="1" applyAlignment="1">
      <alignment horizontal="center" vertical="center"/>
    </xf>
    <xf numFmtId="4" fontId="29" fillId="2" borderId="5" xfId="0" applyNumberFormat="1" applyFont="1" applyFill="1" applyBorder="1" applyAlignment="1">
      <alignment horizontal="center" vertical="center"/>
    </xf>
    <xf numFmtId="4" fontId="29" fillId="2" borderId="6" xfId="0" applyNumberFormat="1" applyFont="1" applyFill="1" applyBorder="1" applyAlignment="1">
      <alignment horizontal="center" vertical="center"/>
    </xf>
    <xf numFmtId="4" fontId="1" fillId="3" borderId="2" xfId="0" applyNumberFormat="1" applyFont="1" applyFill="1" applyBorder="1" applyAlignment="1">
      <alignment horizontal="center" vertical="center"/>
    </xf>
    <xf numFmtId="4" fontId="29" fillId="3" borderId="3" xfId="0" applyNumberFormat="1" applyFont="1" applyFill="1" applyBorder="1" applyAlignment="1">
      <alignment horizontal="center" vertical="center"/>
    </xf>
    <xf numFmtId="0" fontId="26" fillId="0" borderId="7" xfId="0" applyFont="1" applyBorder="1" applyAlignment="1">
      <alignment horizontal="center" vertical="center"/>
    </xf>
    <xf numFmtId="0" fontId="26" fillId="0" borderId="0" xfId="0" applyFont="1" applyBorder="1" applyAlignment="1">
      <alignment horizontal="center" vertical="center"/>
    </xf>
    <xf numFmtId="0" fontId="31" fillId="16" borderId="2" xfId="0" applyFont="1" applyFill="1" applyBorder="1" applyAlignment="1">
      <alignment horizontal="center" vertical="center"/>
    </xf>
    <xf numFmtId="0" fontId="31" fillId="16" borderId="3" xfId="0" applyFont="1" applyFill="1" applyBorder="1" applyAlignment="1">
      <alignment horizontal="center" vertical="center"/>
    </xf>
    <xf numFmtId="0" fontId="29" fillId="3" borderId="2" xfId="0" applyFont="1" applyFill="1" applyBorder="1" applyAlignment="1">
      <alignment horizontal="center" vertical="center"/>
    </xf>
    <xf numFmtId="0" fontId="29" fillId="3" borderId="4" xfId="0" applyFont="1" applyFill="1" applyBorder="1" applyAlignment="1">
      <alignment horizontal="center" vertical="center"/>
    </xf>
    <xf numFmtId="0" fontId="26" fillId="0" borderId="5" xfId="0" applyFont="1" applyBorder="1" applyAlignment="1">
      <alignment horizontal="center" vertical="center"/>
    </xf>
    <xf numFmtId="0" fontId="26" fillId="0" borderId="9" xfId="0" applyFont="1" applyBorder="1" applyAlignment="1">
      <alignment horizontal="center" vertical="center"/>
    </xf>
    <xf numFmtId="0" fontId="26" fillId="0" borderId="30" xfId="0" applyFont="1" applyBorder="1" applyAlignment="1">
      <alignment horizontal="left" vertical="center"/>
    </xf>
    <xf numFmtId="0" fontId="26" fillId="0" borderId="31" xfId="0" applyFont="1" applyBorder="1" applyAlignment="1">
      <alignment horizontal="left" vertical="center"/>
    </xf>
    <xf numFmtId="0" fontId="0" fillId="0" borderId="28" xfId="0" applyFont="1" applyFill="1" applyBorder="1" applyAlignment="1">
      <alignment horizontal="left" vertical="center"/>
    </xf>
    <xf numFmtId="0" fontId="26" fillId="0" borderId="28" xfId="0" applyFont="1" applyBorder="1" applyAlignment="1" applyProtection="1">
      <alignment horizontal="left" vertical="center"/>
      <protection locked="0"/>
    </xf>
    <xf numFmtId="0" fontId="26" fillId="0" borderId="29" xfId="0" applyFont="1" applyBorder="1" applyAlignment="1" applyProtection="1">
      <alignment horizontal="left" vertical="center"/>
      <protection locked="0"/>
    </xf>
    <xf numFmtId="4" fontId="1" fillId="3" borderId="4" xfId="0" applyNumberFormat="1" applyFont="1" applyFill="1" applyBorder="1" applyAlignment="1">
      <alignment horizontal="center" vertical="center"/>
    </xf>
    <xf numFmtId="0" fontId="0" fillId="0" borderId="132" xfId="0" applyFont="1" applyBorder="1" applyAlignment="1">
      <alignment horizontal="left" vertical="center"/>
    </xf>
    <xf numFmtId="0" fontId="26" fillId="0" borderId="76" xfId="0" applyFont="1" applyBorder="1" applyAlignment="1">
      <alignment horizontal="left" vertical="center"/>
    </xf>
    <xf numFmtId="0" fontId="25" fillId="2" borderId="0" xfId="0" applyFont="1" applyFill="1" applyAlignment="1">
      <alignment horizontal="center" vertical="center"/>
    </xf>
    <xf numFmtId="0" fontId="26" fillId="0" borderId="34" xfId="0" applyFont="1" applyBorder="1" applyAlignment="1">
      <alignment horizontal="center" vertical="center"/>
    </xf>
    <xf numFmtId="0" fontId="26" fillId="0" borderId="35" xfId="0" applyFont="1" applyBorder="1" applyAlignment="1">
      <alignment horizontal="center" vertical="center"/>
    </xf>
    <xf numFmtId="0" fontId="0" fillId="0" borderId="128" xfId="0" applyFont="1" applyBorder="1" applyAlignment="1">
      <alignment horizontal="left" vertical="center"/>
    </xf>
    <xf numFmtId="0" fontId="46" fillId="2" borderId="0" xfId="0" applyFont="1" applyFill="1" applyAlignment="1">
      <alignment horizontal="center" vertical="center"/>
    </xf>
    <xf numFmtId="0" fontId="1" fillId="16" borderId="2" xfId="0" applyFont="1" applyFill="1" applyBorder="1" applyAlignment="1">
      <alignment horizontal="center" vertical="center"/>
    </xf>
    <xf numFmtId="0" fontId="1" fillId="16" borderId="3" xfId="0" applyFont="1" applyFill="1" applyBorder="1" applyAlignment="1">
      <alignment horizontal="center" vertical="center"/>
    </xf>
    <xf numFmtId="0" fontId="1" fillId="16" borderId="19" xfId="0" applyFont="1" applyFill="1" applyBorder="1" applyAlignment="1">
      <alignment horizontal="center"/>
    </xf>
    <xf numFmtId="0" fontId="1" fillId="16" borderId="20" xfId="0" applyFont="1" applyFill="1" applyBorder="1" applyAlignment="1">
      <alignment horizontal="center"/>
    </xf>
    <xf numFmtId="0" fontId="1" fillId="16" borderId="21" xfId="0" applyFont="1" applyFill="1" applyBorder="1" applyAlignment="1">
      <alignment horizontal="center"/>
    </xf>
    <xf numFmtId="0" fontId="1" fillId="3" borderId="19" xfId="0" applyFont="1" applyFill="1" applyBorder="1" applyAlignment="1">
      <alignment horizontal="center"/>
    </xf>
    <xf numFmtId="0" fontId="1" fillId="3" borderId="20" xfId="0" applyFont="1" applyFill="1" applyBorder="1" applyAlignment="1">
      <alignment horizontal="center"/>
    </xf>
    <xf numFmtId="0" fontId="1" fillId="3" borderId="21" xfId="0" applyFont="1" applyFill="1" applyBorder="1" applyAlignment="1">
      <alignment horizontal="center"/>
    </xf>
    <xf numFmtId="0" fontId="2" fillId="3" borderId="19" xfId="0" applyFont="1" applyFill="1" applyBorder="1" applyAlignment="1">
      <alignment horizontal="center"/>
    </xf>
    <xf numFmtId="0" fontId="2" fillId="3" borderId="20" xfId="0" applyFont="1" applyFill="1" applyBorder="1" applyAlignment="1">
      <alignment horizontal="center"/>
    </xf>
    <xf numFmtId="0" fontId="2" fillId="3" borderId="21" xfId="0" applyFont="1"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1" fillId="16" borderId="4" xfId="0" applyFont="1" applyFill="1" applyBorder="1" applyAlignment="1">
      <alignment horizontal="center" vertical="center"/>
    </xf>
    <xf numFmtId="0" fontId="0" fillId="0" borderId="10" xfId="0" applyBorder="1" applyAlignment="1" applyProtection="1">
      <alignment horizontal="left" vertical="center"/>
      <protection locked="0"/>
    </xf>
    <xf numFmtId="0" fontId="1" fillId="0" borderId="10" xfId="0" applyFont="1" applyBorder="1" applyAlignment="1" applyProtection="1">
      <alignment horizontal="left" vertical="center"/>
      <protection locked="0"/>
    </xf>
    <xf numFmtId="0" fontId="11" fillId="11" borderId="55" xfId="0" applyFont="1" applyFill="1" applyBorder="1" applyAlignment="1" applyProtection="1">
      <alignment horizontal="center" vertical="center"/>
      <protection locked="0"/>
    </xf>
    <xf numFmtId="0" fontId="11" fillId="11" borderId="56" xfId="0" applyFont="1" applyFill="1" applyBorder="1" applyAlignment="1" applyProtection="1">
      <alignment horizontal="center" vertical="center"/>
      <protection locked="0"/>
    </xf>
    <xf numFmtId="0" fontId="11" fillId="11" borderId="57" xfId="0" applyFont="1" applyFill="1"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48" xfId="0" applyFont="1" applyBorder="1" applyAlignment="1">
      <alignment horizontal="left" vertical="top" wrapText="1"/>
    </xf>
    <xf numFmtId="0" fontId="0" fillId="0" borderId="50" xfId="0" applyFont="1" applyBorder="1" applyAlignment="1">
      <alignment horizontal="left" vertical="top" wrapText="1"/>
    </xf>
    <xf numFmtId="0" fontId="0" fillId="0" borderId="58" xfId="0" applyFont="1" applyBorder="1" applyAlignment="1">
      <alignment horizontal="left" vertical="top" wrapText="1"/>
    </xf>
    <xf numFmtId="0" fontId="0" fillId="0" borderId="59" xfId="0" applyFont="1" applyBorder="1" applyAlignment="1">
      <alignment horizontal="left" vertical="top" wrapText="1"/>
    </xf>
    <xf numFmtId="0" fontId="0" fillId="0" borderId="60" xfId="0" applyFont="1" applyBorder="1" applyAlignment="1">
      <alignment horizontal="left" vertical="top" wrapText="1"/>
    </xf>
    <xf numFmtId="0" fontId="0" fillId="0" borderId="61" xfId="0" applyFont="1" applyBorder="1" applyAlignment="1">
      <alignment horizontal="left" vertical="top" wrapText="1"/>
    </xf>
    <xf numFmtId="2" fontId="4" fillId="0" borderId="85" xfId="0" applyNumberFormat="1" applyFont="1" applyBorder="1" applyAlignment="1">
      <alignment horizontal="center" vertical="center"/>
    </xf>
    <xf numFmtId="2" fontId="4" fillId="0" borderId="86" xfId="0" applyNumberFormat="1" applyFont="1" applyBorder="1" applyAlignment="1">
      <alignment horizontal="center" vertical="center"/>
    </xf>
    <xf numFmtId="0" fontId="7" fillId="19" borderId="55" xfId="0" applyFont="1" applyFill="1" applyBorder="1" applyAlignment="1">
      <alignment horizontal="center" vertical="center"/>
    </xf>
    <xf numFmtId="0" fontId="7" fillId="19" borderId="56" xfId="0" applyFont="1" applyFill="1" applyBorder="1" applyAlignment="1">
      <alignment horizontal="center" vertical="center"/>
    </xf>
    <xf numFmtId="0" fontId="7" fillId="19" borderId="57" xfId="0" applyFont="1" applyFill="1" applyBorder="1" applyAlignment="1">
      <alignment horizontal="center" vertical="center"/>
    </xf>
    <xf numFmtId="0" fontId="0" fillId="8" borderId="87" xfId="0" applyFont="1" applyFill="1" applyBorder="1" applyAlignment="1">
      <alignment horizontal="center" vertical="center"/>
    </xf>
    <xf numFmtId="0" fontId="0" fillId="8" borderId="88" xfId="0" applyFont="1" applyFill="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4" fontId="4" fillId="8" borderId="83" xfId="0" applyNumberFormat="1" applyFont="1" applyFill="1" applyBorder="1" applyAlignment="1">
      <alignment horizontal="center" vertical="center"/>
    </xf>
    <xf numFmtId="0" fontId="4" fillId="8" borderId="84" xfId="0" applyFont="1" applyFill="1" applyBorder="1" applyAlignment="1">
      <alignment horizontal="center" vertical="center"/>
    </xf>
    <xf numFmtId="0" fontId="7" fillId="5" borderId="55" xfId="0" applyFont="1" applyFill="1" applyBorder="1" applyAlignment="1">
      <alignment horizontal="center" vertical="center"/>
    </xf>
    <xf numFmtId="0" fontId="7" fillId="5" borderId="56" xfId="0" applyFont="1" applyFill="1" applyBorder="1" applyAlignment="1">
      <alignment horizontal="center" vertical="center"/>
    </xf>
    <xf numFmtId="0" fontId="7" fillId="5" borderId="57" xfId="0" applyFont="1" applyFill="1" applyBorder="1" applyAlignment="1">
      <alignment horizontal="center" vertical="center"/>
    </xf>
    <xf numFmtId="0" fontId="4" fillId="8" borderId="83" xfId="0" applyFont="1" applyFill="1" applyBorder="1" applyAlignment="1">
      <alignment horizontal="center" vertical="center"/>
    </xf>
    <xf numFmtId="0" fontId="17" fillId="0" borderId="0" xfId="0" applyFont="1" applyAlignment="1">
      <alignment horizontal="left" vertical="center" wrapText="1"/>
    </xf>
    <xf numFmtId="0" fontId="16" fillId="7" borderId="37" xfId="0" applyFont="1" applyFill="1" applyBorder="1" applyAlignment="1">
      <alignment horizontal="center" vertical="center"/>
    </xf>
    <xf numFmtId="0" fontId="16" fillId="7" borderId="38" xfId="0" applyFont="1" applyFill="1" applyBorder="1" applyAlignment="1">
      <alignment horizontal="center" vertical="center"/>
    </xf>
    <xf numFmtId="0" fontId="16" fillId="7" borderId="39" xfId="0" applyFont="1" applyFill="1" applyBorder="1" applyAlignment="1">
      <alignment horizontal="center" vertical="center"/>
    </xf>
    <xf numFmtId="0" fontId="16" fillId="7" borderId="37" xfId="0" applyFont="1" applyFill="1" applyBorder="1" applyAlignment="1">
      <alignment horizontal="center" vertical="center" wrapText="1"/>
    </xf>
    <xf numFmtId="0" fontId="16" fillId="7" borderId="38" xfId="0" applyFont="1" applyFill="1" applyBorder="1" applyAlignment="1">
      <alignment horizontal="center" vertical="center" wrapText="1"/>
    </xf>
    <xf numFmtId="0" fontId="16" fillId="7" borderId="39" xfId="0" applyFont="1" applyFill="1" applyBorder="1" applyAlignment="1">
      <alignment horizontal="center" vertical="center" wrapText="1"/>
    </xf>
    <xf numFmtId="0" fontId="15" fillId="10" borderId="55" xfId="0" applyFont="1" applyFill="1" applyBorder="1" applyAlignment="1">
      <alignment horizontal="center" vertical="center"/>
    </xf>
    <xf numFmtId="0" fontId="15" fillId="10" borderId="56" xfId="0" applyFont="1" applyFill="1" applyBorder="1" applyAlignment="1">
      <alignment horizontal="center" vertical="center"/>
    </xf>
    <xf numFmtId="0" fontId="15" fillId="10" borderId="57" xfId="0" applyFont="1" applyFill="1" applyBorder="1" applyAlignment="1">
      <alignment horizontal="center" vertical="center"/>
    </xf>
    <xf numFmtId="0" fontId="0" fillId="8" borderId="0" xfId="0" applyFont="1" applyFill="1" applyAlignment="1">
      <alignment horizontal="center" vertical="center"/>
    </xf>
    <xf numFmtId="0" fontId="13" fillId="0" borderId="49" xfId="0" applyFont="1" applyBorder="1" applyAlignment="1">
      <alignment horizontal="left" vertical="top" wrapText="1"/>
    </xf>
    <xf numFmtId="0" fontId="13" fillId="0" borderId="50" xfId="0" applyFont="1" applyBorder="1" applyAlignment="1">
      <alignment horizontal="left" vertical="top" wrapText="1"/>
    </xf>
    <xf numFmtId="0" fontId="13" fillId="0" borderId="58" xfId="0" applyFont="1" applyBorder="1" applyAlignment="1">
      <alignment horizontal="left" vertical="top" wrapText="1"/>
    </xf>
    <xf numFmtId="0" fontId="13" fillId="0" borderId="0" xfId="0" applyFont="1" applyBorder="1" applyAlignment="1">
      <alignment horizontal="left" vertical="top" wrapText="1"/>
    </xf>
    <xf numFmtId="0" fontId="13" fillId="0" borderId="59" xfId="0" applyFont="1" applyBorder="1" applyAlignment="1">
      <alignment horizontal="left" vertical="top" wrapText="1"/>
    </xf>
    <xf numFmtId="0" fontId="13" fillId="0" borderId="60" xfId="0" applyFont="1" applyBorder="1" applyAlignment="1">
      <alignment horizontal="left" vertical="top" wrapText="1"/>
    </xf>
    <xf numFmtId="0" fontId="13" fillId="0" borderId="62" xfId="0" applyFont="1" applyBorder="1" applyAlignment="1">
      <alignment horizontal="left" vertical="top" wrapText="1"/>
    </xf>
    <xf numFmtId="0" fontId="13" fillId="0" borderId="61" xfId="0" applyFont="1" applyBorder="1" applyAlignment="1">
      <alignment horizontal="left" vertical="top" wrapText="1"/>
    </xf>
    <xf numFmtId="0" fontId="1" fillId="8" borderId="19" xfId="0" applyFont="1" applyFill="1" applyBorder="1" applyAlignment="1">
      <alignment horizontal="center" vertical="center"/>
    </xf>
    <xf numFmtId="0" fontId="1" fillId="8" borderId="21" xfId="0" applyFont="1" applyFill="1" applyBorder="1" applyAlignment="1">
      <alignment horizontal="center" vertical="center"/>
    </xf>
    <xf numFmtId="0" fontId="14" fillId="0" borderId="10" xfId="0" applyFont="1" applyBorder="1" applyAlignment="1">
      <alignment horizontal="center" vertical="center"/>
    </xf>
    <xf numFmtId="0" fontId="1" fillId="8" borderId="10" xfId="0" applyFont="1" applyFill="1" applyBorder="1" applyAlignment="1">
      <alignment horizontal="center" vertical="center"/>
    </xf>
    <xf numFmtId="4" fontId="35" fillId="0" borderId="10" xfId="0" applyNumberFormat="1" applyFont="1" applyBorder="1" applyAlignment="1">
      <alignment horizontal="center" vertical="center" wrapText="1"/>
    </xf>
    <xf numFmtId="4" fontId="39" fillId="0" borderId="120" xfId="0" applyNumberFormat="1" applyFont="1" applyBorder="1" applyAlignment="1">
      <alignment horizontal="center" vertical="center"/>
    </xf>
    <xf numFmtId="4" fontId="39" fillId="0" borderId="121" xfId="0" applyNumberFormat="1" applyFont="1" applyBorder="1" applyAlignment="1">
      <alignment horizontal="center" vertical="center"/>
    </xf>
    <xf numFmtId="0" fontId="40" fillId="13" borderId="55" xfId="3" applyFont="1" applyFill="1" applyBorder="1" applyAlignment="1">
      <alignment horizontal="center" vertical="center"/>
    </xf>
    <xf numFmtId="0" fontId="40" fillId="13" borderId="56" xfId="3" applyFont="1" applyFill="1" applyBorder="1" applyAlignment="1">
      <alignment horizontal="center" vertical="center"/>
    </xf>
    <xf numFmtId="0" fontId="40" fillId="13" borderId="57" xfId="3" applyFont="1" applyFill="1" applyBorder="1" applyAlignment="1">
      <alignment horizontal="center" vertical="center"/>
    </xf>
    <xf numFmtId="0" fontId="41" fillId="0" borderId="123" xfId="3" applyFont="1" applyBorder="1" applyAlignment="1">
      <alignment horizontal="center"/>
    </xf>
    <xf numFmtId="4" fontId="22" fillId="0" borderId="114" xfId="0" applyNumberFormat="1" applyFont="1" applyFill="1" applyBorder="1" applyAlignment="1" applyProtection="1">
      <alignment horizontal="center" vertical="center"/>
    </xf>
    <xf numFmtId="4" fontId="22" fillId="0" borderId="10" xfId="0" applyNumberFormat="1" applyFont="1" applyFill="1" applyBorder="1" applyAlignment="1" applyProtection="1">
      <alignment horizontal="center" vertical="center" wrapText="1"/>
    </xf>
    <xf numFmtId="0" fontId="1" fillId="0" borderId="79" xfId="0" applyFont="1" applyBorder="1" applyAlignment="1">
      <alignment horizontal="center" vertical="center"/>
    </xf>
    <xf numFmtId="0" fontId="1" fillId="0" borderId="80" xfId="0" applyFont="1" applyBorder="1" applyAlignment="1">
      <alignment horizontal="center" vertical="center"/>
    </xf>
    <xf numFmtId="0" fontId="25" fillId="4" borderId="0" xfId="0" applyFont="1" applyFill="1" applyAlignment="1">
      <alignment horizontal="center" vertical="center"/>
    </xf>
  </cellXfs>
  <cellStyles count="4">
    <cellStyle name="Hyperlink" xfId="2" builtinId="8"/>
    <cellStyle name="Normal" xfId="0" builtinId="0"/>
    <cellStyle name="Normal 2" xfId="3"/>
    <cellStyle name="Percent" xfId="1" builtinId="5"/>
  </cellStyles>
  <dxfs count="3">
    <dxf>
      <font>
        <b/>
        <i val="0"/>
        <condense val="0"/>
        <extend val="0"/>
        <color indexed="10"/>
      </font>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99FF"/>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5</xdr:col>
      <xdr:colOff>1133475</xdr:colOff>
      <xdr:row>56</xdr:row>
      <xdr:rowOff>76200</xdr:rowOff>
    </xdr:from>
    <xdr:to>
      <xdr:col>5</xdr:col>
      <xdr:colOff>1181100</xdr:colOff>
      <xdr:row>56</xdr:row>
      <xdr:rowOff>121919</xdr:rowOff>
    </xdr:to>
    <xdr:sp macro="" textlink="">
      <xdr:nvSpPr>
        <xdr:cNvPr id="2" name="ZoneTexte 1">
          <a:extLst>
            <a:ext uri="{FF2B5EF4-FFF2-40B4-BE49-F238E27FC236}">
              <a16:creationId xmlns="" xmlns:a16="http://schemas.microsoft.com/office/drawing/2014/main" id="{00000000-0008-0000-0100-000002000000}"/>
            </a:ext>
          </a:extLst>
        </xdr:cNvPr>
        <xdr:cNvSpPr txBox="1"/>
      </xdr:nvSpPr>
      <xdr:spPr>
        <a:xfrm>
          <a:off x="8858250" y="7905750"/>
          <a:ext cx="47625" cy="457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8.bin"/><Relationship Id="rId4" Type="http://schemas.openxmlformats.org/officeDocument/2006/relationships/ctrlProp" Target="../ctrlProps/ctrlProp2.xm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rfpaye.grouperf.com/calcul/?fichier=saisie_sur_salaires" TargetMode="External"/></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codeName="Feuil2"/>
  <dimension ref="A1:C15"/>
  <sheetViews>
    <sheetView workbookViewId="0">
      <selection activeCell="E21" sqref="E21"/>
    </sheetView>
  </sheetViews>
  <sheetFormatPr defaultColWidth="11.42578125" defaultRowHeight="15"/>
  <cols>
    <col min="1" max="16384" width="11.42578125" style="490"/>
  </cols>
  <sheetData>
    <row r="1" spans="1:3">
      <c r="A1" s="490" t="s">
        <v>425</v>
      </c>
    </row>
    <row r="2" spans="1:3">
      <c r="B2" s="505" t="s">
        <v>417</v>
      </c>
    </row>
    <row r="3" spans="1:3">
      <c r="B3" s="505" t="s">
        <v>418</v>
      </c>
    </row>
    <row r="4" spans="1:3">
      <c r="B4" s="505" t="s">
        <v>419</v>
      </c>
    </row>
    <row r="5" spans="1:3">
      <c r="B5" s="505" t="s">
        <v>420</v>
      </c>
    </row>
    <row r="6" spans="1:3">
      <c r="B6" s="505" t="s">
        <v>421</v>
      </c>
    </row>
    <row r="7" spans="1:3">
      <c r="B7" s="505" t="s">
        <v>422</v>
      </c>
    </row>
    <row r="8" spans="1:3">
      <c r="B8" s="505" t="s">
        <v>423</v>
      </c>
    </row>
    <row r="9" spans="1:3">
      <c r="B9" s="505" t="s">
        <v>424</v>
      </c>
    </row>
    <row r="11" spans="1:3">
      <c r="C11" s="506">
        <v>3</v>
      </c>
    </row>
    <row r="13" spans="1:3">
      <c r="C13" s="506">
        <v>3</v>
      </c>
    </row>
    <row r="15" spans="1:3">
      <c r="C15" s="506">
        <v>4</v>
      </c>
    </row>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Feuil11"/>
  <dimension ref="A1:P141"/>
  <sheetViews>
    <sheetView tabSelected="1" topLeftCell="B1" workbookViewId="0">
      <selection activeCell="B1" sqref="B1"/>
    </sheetView>
  </sheetViews>
  <sheetFormatPr defaultColWidth="11.42578125" defaultRowHeight="18.75"/>
  <cols>
    <col min="1" max="1" width="11.42578125" style="356"/>
    <col min="2" max="2" width="41.28515625" style="72" bestFit="1" customWidth="1"/>
    <col min="3" max="3" width="35.5703125" style="72" bestFit="1" customWidth="1"/>
    <col min="4" max="4" width="4.140625" style="72" customWidth="1"/>
    <col min="5" max="5" width="25.7109375" style="72" customWidth="1"/>
    <col min="6" max="6" width="26.140625" style="72" customWidth="1"/>
    <col min="7" max="7" width="19" style="72" customWidth="1"/>
    <col min="8" max="8" width="2.85546875" style="72" customWidth="1"/>
    <col min="9" max="9" width="19.28515625" style="72" customWidth="1"/>
    <col min="10" max="10" width="34.5703125" style="72" customWidth="1"/>
    <col min="11" max="11" width="21.5703125" style="19" customWidth="1"/>
    <col min="12" max="12" width="39" style="19" bestFit="1" customWidth="1"/>
    <col min="13" max="13" width="8.7109375" style="19" bestFit="1" customWidth="1"/>
    <col min="14" max="14" width="19" style="19" bestFit="1" customWidth="1"/>
    <col min="15" max="16384" width="11.42578125" style="19"/>
  </cols>
  <sheetData>
    <row r="1" spans="1:13" ht="30">
      <c r="B1" s="659" t="s">
        <v>125</v>
      </c>
      <c r="C1" s="361" t="s">
        <v>380</v>
      </c>
      <c r="E1" s="362" t="s">
        <v>124</v>
      </c>
      <c r="F1" s="363" t="s">
        <v>381</v>
      </c>
    </row>
    <row r="2" spans="1:13" ht="20.25" customHeight="1" thickBot="1"/>
    <row r="3" spans="1:13" ht="15">
      <c r="A3" s="521" t="s">
        <v>362</v>
      </c>
      <c r="B3" s="364" t="s">
        <v>48</v>
      </c>
      <c r="C3" s="416">
        <v>42736</v>
      </c>
    </row>
    <row r="4" spans="1:13" ht="15">
      <c r="A4" s="522"/>
      <c r="B4" s="365" t="s">
        <v>38</v>
      </c>
      <c r="C4" s="366"/>
      <c r="D4" s="366"/>
      <c r="E4" s="365" t="s">
        <v>45</v>
      </c>
      <c r="F4" s="366"/>
      <c r="G4" s="367"/>
      <c r="I4" s="368" t="s">
        <v>1</v>
      </c>
      <c r="J4" s="422"/>
    </row>
    <row r="5" spans="1:13" ht="15">
      <c r="A5" s="522"/>
      <c r="B5" s="369" t="s">
        <v>490</v>
      </c>
      <c r="C5" s="417"/>
      <c r="D5" s="370"/>
      <c r="E5" s="369" t="s">
        <v>489</v>
      </c>
      <c r="F5" s="417"/>
      <c r="G5" s="417"/>
      <c r="I5" s="371" t="s">
        <v>2</v>
      </c>
      <c r="J5" s="422"/>
    </row>
    <row r="6" spans="1:13" ht="15">
      <c r="A6" s="522"/>
      <c r="B6" s="370" t="s">
        <v>40</v>
      </c>
      <c r="C6" s="417"/>
      <c r="D6" s="370"/>
      <c r="E6" s="370" t="s">
        <v>40</v>
      </c>
      <c r="F6" s="417"/>
      <c r="G6" s="372"/>
      <c r="I6" s="371" t="s">
        <v>3</v>
      </c>
      <c r="J6" s="422"/>
    </row>
    <row r="7" spans="1:13" ht="15">
      <c r="A7" s="522"/>
      <c r="B7" s="370" t="s">
        <v>41</v>
      </c>
      <c r="C7" s="417"/>
      <c r="D7" s="370"/>
      <c r="E7" s="370" t="s">
        <v>47</v>
      </c>
      <c r="F7" s="417"/>
      <c r="G7" s="372"/>
      <c r="I7" s="371" t="s">
        <v>4</v>
      </c>
      <c r="J7" s="422"/>
    </row>
    <row r="8" spans="1:13" ht="15">
      <c r="A8" s="522"/>
      <c r="B8" s="370" t="s">
        <v>42</v>
      </c>
      <c r="C8" s="417"/>
      <c r="D8" s="370"/>
      <c r="E8" s="370" t="s">
        <v>369</v>
      </c>
      <c r="F8" s="417"/>
      <c r="G8" s="372"/>
      <c r="I8" s="371" t="s">
        <v>6</v>
      </c>
      <c r="J8" s="422"/>
    </row>
    <row r="9" spans="1:13" ht="15">
      <c r="A9" s="522"/>
      <c r="B9" s="372" t="s">
        <v>44</v>
      </c>
      <c r="C9" s="417"/>
      <c r="D9" s="370"/>
      <c r="E9" s="370"/>
      <c r="F9" s="370"/>
      <c r="G9" s="372"/>
      <c r="I9" s="371" t="s">
        <v>5</v>
      </c>
      <c r="J9" s="423"/>
    </row>
    <row r="10" spans="1:13" ht="15">
      <c r="A10" s="522"/>
      <c r="B10" s="373" t="s">
        <v>43</v>
      </c>
      <c r="C10" s="418"/>
      <c r="D10" s="373"/>
      <c r="E10" s="373" t="s">
        <v>305</v>
      </c>
      <c r="F10" s="425"/>
      <c r="G10" s="374"/>
      <c r="I10" s="375" t="s">
        <v>332</v>
      </c>
      <c r="J10" s="424"/>
      <c r="L10" s="338" t="s">
        <v>409</v>
      </c>
      <c r="M10" s="339">
        <v>4.0500000000000001E-2</v>
      </c>
    </row>
    <row r="11" spans="1:13" ht="15">
      <c r="A11" s="522"/>
      <c r="B11" s="376"/>
      <c r="C11" s="376"/>
      <c r="D11" s="376"/>
      <c r="E11" s="376"/>
      <c r="F11" s="376"/>
      <c r="G11" s="376"/>
      <c r="L11" s="340" t="s">
        <v>428</v>
      </c>
      <c r="M11" s="341">
        <v>7.0000000000000007E-2</v>
      </c>
    </row>
    <row r="12" spans="1:13" ht="15">
      <c r="A12" s="522"/>
      <c r="B12" s="72" t="s">
        <v>407</v>
      </c>
      <c r="C12" s="419" t="s">
        <v>409</v>
      </c>
      <c r="D12" s="376"/>
      <c r="E12" s="376"/>
      <c r="F12" s="376"/>
      <c r="G12" s="376"/>
      <c r="L12" s="340" t="s">
        <v>429</v>
      </c>
      <c r="M12" s="341">
        <v>5.5E-2</v>
      </c>
    </row>
    <row r="13" spans="1:13" ht="15">
      <c r="A13" s="522"/>
      <c r="B13" s="72" t="s">
        <v>408</v>
      </c>
      <c r="C13" s="419" t="s">
        <v>410</v>
      </c>
      <c r="D13" s="376"/>
      <c r="E13" s="376"/>
      <c r="F13" s="376"/>
      <c r="G13" s="376"/>
      <c r="L13" s="340" t="s">
        <v>432</v>
      </c>
      <c r="M13" s="341">
        <v>4.0500000000000001E-2</v>
      </c>
    </row>
    <row r="14" spans="1:13" ht="15">
      <c r="A14" s="522"/>
      <c r="B14" s="72" t="s">
        <v>460</v>
      </c>
      <c r="C14" s="420"/>
      <c r="D14" s="376"/>
      <c r="E14" s="376"/>
      <c r="F14" s="376"/>
      <c r="G14" s="376"/>
      <c r="L14" s="340" t="s">
        <v>430</v>
      </c>
      <c r="M14" s="341">
        <v>4.4999999999999998E-2</v>
      </c>
    </row>
    <row r="15" spans="1:13" ht="15">
      <c r="A15" s="522"/>
      <c r="B15" s="72" t="s">
        <v>461</v>
      </c>
      <c r="C15" s="420"/>
      <c r="E15" s="72" t="s">
        <v>356</v>
      </c>
      <c r="F15" s="377">
        <f>C14*52/12</f>
        <v>0</v>
      </c>
      <c r="G15" s="376"/>
      <c r="L15" s="342" t="s">
        <v>431</v>
      </c>
      <c r="M15" s="343">
        <v>4.0500000000000001E-2</v>
      </c>
    </row>
    <row r="16" spans="1:13" ht="15">
      <c r="A16" s="522"/>
      <c r="B16" s="72" t="s">
        <v>242</v>
      </c>
      <c r="C16" s="420"/>
      <c r="D16" s="376"/>
      <c r="E16" s="376"/>
      <c r="F16" s="285"/>
      <c r="G16" s="376"/>
    </row>
    <row r="17" spans="1:12" ht="15">
      <c r="A17" s="522"/>
      <c r="B17" s="72" t="s">
        <v>327</v>
      </c>
      <c r="C17" s="421">
        <v>3269</v>
      </c>
      <c r="D17" s="376"/>
      <c r="E17" s="378" t="s">
        <v>326</v>
      </c>
      <c r="F17" s="379">
        <f>IF(SBASE="",0,IF(NBRE_H_SEM&lt;35,BASE_HOR*PS/151.67,PS))</f>
        <v>0</v>
      </c>
      <c r="G17" s="376"/>
      <c r="L17" s="344" t="s">
        <v>410</v>
      </c>
    </row>
    <row r="18" spans="1:12" ht="15">
      <c r="A18" s="522"/>
      <c r="B18" s="72" t="s">
        <v>329</v>
      </c>
      <c r="C18" s="421">
        <f>9.76*151.67</f>
        <v>1480.2991999999999</v>
      </c>
      <c r="E18" s="72" t="s">
        <v>330</v>
      </c>
      <c r="F18" s="380">
        <f>IF(NBRE_H_SEM=35,C18,BASE_HOR*C18/151.67)</f>
        <v>0</v>
      </c>
      <c r="L18" s="345" t="s">
        <v>411</v>
      </c>
    </row>
    <row r="19" spans="1:12" ht="15">
      <c r="A19" s="522"/>
    </row>
    <row r="20" spans="1:12" ht="15">
      <c r="A20" s="522"/>
      <c r="B20" s="72" t="s">
        <v>80</v>
      </c>
      <c r="C20" s="381">
        <f>IF(NBRE_H_MOIS=0,0,SBASE/NBRE_H_MOIS)</f>
        <v>0</v>
      </c>
    </row>
    <row r="21" spans="1:12" ht="15">
      <c r="A21" s="522"/>
      <c r="B21" s="382" t="s">
        <v>392</v>
      </c>
      <c r="C21" s="381">
        <f>C20*1.1</f>
        <v>0</v>
      </c>
      <c r="E21" s="383" t="s">
        <v>400</v>
      </c>
    </row>
    <row r="22" spans="1:12" ht="15">
      <c r="A22" s="522"/>
      <c r="B22" s="382" t="s">
        <v>393</v>
      </c>
      <c r="C22" s="381">
        <f>TX_HOR*1.25</f>
        <v>0</v>
      </c>
      <c r="L22" s="344" t="s">
        <v>389</v>
      </c>
    </row>
    <row r="23" spans="1:12" ht="15">
      <c r="A23" s="522"/>
      <c r="B23" s="382" t="s">
        <v>394</v>
      </c>
      <c r="C23" s="381">
        <f>TX_HOR*1.5</f>
        <v>0</v>
      </c>
      <c r="L23" s="345" t="s">
        <v>390</v>
      </c>
    </row>
    <row r="24" spans="1:12" ht="15">
      <c r="A24" s="522"/>
    </row>
    <row r="25" spans="1:12" ht="15">
      <c r="A25" s="522"/>
      <c r="B25" s="72" t="s">
        <v>438</v>
      </c>
      <c r="C25" s="425"/>
    </row>
    <row r="26" spans="1:12" ht="15">
      <c r="A26" s="522"/>
      <c r="B26" s="72" t="s">
        <v>331</v>
      </c>
      <c r="C26" s="384">
        <v>2.3230000000000001E-2</v>
      </c>
      <c r="E26" s="378" t="s">
        <v>395</v>
      </c>
    </row>
    <row r="27" spans="1:12" ht="15">
      <c r="A27" s="522"/>
      <c r="B27" s="72" t="s">
        <v>357</v>
      </c>
      <c r="C27" s="426"/>
      <c r="D27" s="378"/>
    </row>
    <row r="28" spans="1:12" ht="15">
      <c r="A28" s="522"/>
      <c r="B28" s="72" t="s">
        <v>358</v>
      </c>
      <c r="C28" s="385">
        <f>IF(TATD="",TATM,TATD)</f>
        <v>2.3230000000000001E-2</v>
      </c>
    </row>
    <row r="29" spans="1:12" ht="15">
      <c r="A29" s="522"/>
      <c r="B29" s="72" t="s">
        <v>427</v>
      </c>
      <c r="C29" s="386">
        <f>VLOOKUP(C12,L10:M15,2,FALSE)</f>
        <v>4.0500000000000001E-2</v>
      </c>
    </row>
    <row r="30" spans="1:12" ht="15">
      <c r="A30" s="522"/>
      <c r="B30" s="72" t="s">
        <v>375</v>
      </c>
      <c r="C30" s="426"/>
    </row>
    <row r="31" spans="1:12" ht="15">
      <c r="A31" s="522"/>
      <c r="B31" s="72" t="s">
        <v>373</v>
      </c>
      <c r="C31" s="420"/>
    </row>
    <row r="32" spans="1:12" ht="15">
      <c r="A32" s="522"/>
      <c r="B32" s="72" t="s">
        <v>374</v>
      </c>
      <c r="C32" s="427"/>
    </row>
    <row r="33" spans="1:14" ht="15">
      <c r="A33" s="522"/>
      <c r="B33" s="72" t="s">
        <v>412</v>
      </c>
      <c r="C33" s="428"/>
    </row>
    <row r="34" spans="1:14" ht="15">
      <c r="A34" s="522"/>
      <c r="B34" s="72" t="s">
        <v>413</v>
      </c>
      <c r="C34" s="427"/>
    </row>
    <row r="35" spans="1:14" ht="15">
      <c r="A35" s="522"/>
    </row>
    <row r="36" spans="1:14" ht="15">
      <c r="A36" s="522"/>
      <c r="B36" s="72" t="s">
        <v>388</v>
      </c>
      <c r="C36" s="429" t="s">
        <v>390</v>
      </c>
    </row>
    <row r="37" spans="1:14" ht="15">
      <c r="A37" s="522"/>
      <c r="B37" s="72" t="s">
        <v>188</v>
      </c>
      <c r="C37" s="430"/>
    </row>
    <row r="38" spans="1:14" ht="15.75" thickBot="1">
      <c r="A38" s="523"/>
    </row>
    <row r="39" spans="1:14" s="305" customFormat="1" ht="15">
      <c r="A39" s="357"/>
      <c r="B39" s="376"/>
      <c r="C39" s="387"/>
      <c r="D39" s="376"/>
      <c r="E39" s="387"/>
      <c r="F39" s="376"/>
      <c r="G39" s="376"/>
      <c r="H39" s="376"/>
      <c r="I39" s="376"/>
      <c r="J39" s="376"/>
    </row>
    <row r="40" spans="1:14" ht="19.5" thickBot="1">
      <c r="A40" s="358"/>
      <c r="B40" s="370"/>
      <c r="C40" s="370"/>
      <c r="D40" s="388"/>
      <c r="E40" s="388"/>
      <c r="F40" s="388"/>
      <c r="G40" s="388"/>
      <c r="H40" s="388"/>
      <c r="I40" s="388"/>
      <c r="J40" s="388"/>
      <c r="K40" s="283"/>
    </row>
    <row r="41" spans="1:14" ht="15">
      <c r="A41" s="521" t="s">
        <v>363</v>
      </c>
      <c r="B41" s="106" t="s">
        <v>237</v>
      </c>
      <c r="C41" s="420"/>
    </row>
    <row r="42" spans="1:14" ht="15">
      <c r="A42" s="522"/>
      <c r="B42" s="106" t="s">
        <v>148</v>
      </c>
      <c r="C42" s="428"/>
      <c r="E42" s="389">
        <f>C42*SBASE</f>
        <v>0</v>
      </c>
    </row>
    <row r="43" spans="1:14" ht="15">
      <c r="A43" s="522"/>
      <c r="B43" s="106" t="s">
        <v>272</v>
      </c>
      <c r="C43" s="420"/>
      <c r="D43" s="390"/>
    </row>
    <row r="44" spans="1:14" ht="15.75" thickBot="1">
      <c r="A44" s="523"/>
      <c r="B44" s="72" t="s">
        <v>368</v>
      </c>
      <c r="C44" s="420"/>
    </row>
    <row r="45" spans="1:14" s="305" customFormat="1" ht="15">
      <c r="A45" s="357"/>
      <c r="B45" s="376"/>
      <c r="C45" s="391"/>
      <c r="D45" s="376"/>
      <c r="E45" s="376"/>
      <c r="F45" s="376"/>
      <c r="G45" s="376"/>
      <c r="H45" s="376"/>
      <c r="I45" s="376"/>
      <c r="J45" s="376"/>
      <c r="L45" s="19"/>
    </row>
    <row r="46" spans="1:14" s="305" customFormat="1" ht="15.75" thickBot="1">
      <c r="A46" s="359"/>
      <c r="B46" s="388"/>
      <c r="C46" s="392"/>
      <c r="D46" s="388"/>
      <c r="E46" s="388"/>
      <c r="F46" s="388"/>
      <c r="G46" s="388"/>
      <c r="H46" s="388"/>
      <c r="I46" s="388"/>
      <c r="J46" s="388"/>
      <c r="K46" s="283"/>
      <c r="L46" s="19"/>
      <c r="M46" s="288"/>
      <c r="N46" s="288"/>
    </row>
    <row r="47" spans="1:14" s="305" customFormat="1" ht="15">
      <c r="A47" s="528" t="s">
        <v>404</v>
      </c>
      <c r="B47" s="376" t="s">
        <v>403</v>
      </c>
      <c r="C47" s="431" t="s">
        <v>110</v>
      </c>
      <c r="D47" s="376"/>
      <c r="E47" s="376" t="s">
        <v>395</v>
      </c>
      <c r="F47" s="376"/>
      <c r="G47" s="376"/>
      <c r="H47" s="376"/>
      <c r="I47" s="376"/>
      <c r="J47" s="376"/>
      <c r="L47" s="19"/>
      <c r="M47" s="288"/>
      <c r="N47" s="288"/>
    </row>
    <row r="48" spans="1:14" s="305" customFormat="1" ht="15">
      <c r="A48" s="529"/>
      <c r="B48" s="72" t="s">
        <v>401</v>
      </c>
      <c r="C48" s="425"/>
      <c r="D48" s="376"/>
      <c r="E48" s="376"/>
      <c r="F48" s="376"/>
      <c r="G48" s="376"/>
      <c r="H48" s="376"/>
      <c r="I48" s="376"/>
      <c r="J48" s="376"/>
      <c r="L48" s="19"/>
      <c r="M48" s="288"/>
      <c r="N48" s="288"/>
    </row>
    <row r="49" spans="1:14" s="305" customFormat="1" ht="15">
      <c r="A49" s="529"/>
      <c r="B49" s="393" t="s">
        <v>126</v>
      </c>
      <c r="C49" s="432"/>
      <c r="D49" s="376"/>
      <c r="E49" s="376"/>
      <c r="F49" s="376"/>
      <c r="G49" s="376"/>
      <c r="H49" s="376"/>
      <c r="I49" s="376"/>
      <c r="J49" s="376"/>
      <c r="L49" s="19"/>
      <c r="M49" s="288"/>
      <c r="N49" s="288"/>
    </row>
    <row r="50" spans="1:14" s="305" customFormat="1" ht="15">
      <c r="A50" s="529"/>
      <c r="B50" s="393" t="s">
        <v>127</v>
      </c>
      <c r="C50" s="432"/>
      <c r="D50" s="376"/>
      <c r="E50" s="376"/>
      <c r="F50" s="376"/>
      <c r="G50" s="376"/>
      <c r="H50" s="376"/>
      <c r="I50" s="376"/>
      <c r="J50" s="376"/>
      <c r="L50" s="19"/>
      <c r="M50" s="288"/>
      <c r="N50" s="288"/>
    </row>
    <row r="51" spans="1:14" s="305" customFormat="1" ht="15">
      <c r="A51" s="529"/>
      <c r="B51" s="106" t="s">
        <v>360</v>
      </c>
      <c r="C51" s="433"/>
      <c r="D51" s="376"/>
      <c r="E51" s="376"/>
      <c r="F51" s="376"/>
      <c r="G51" s="376"/>
      <c r="H51" s="376"/>
      <c r="I51" s="376"/>
      <c r="J51" s="376"/>
      <c r="L51" s="19"/>
      <c r="M51" s="288"/>
      <c r="N51" s="288"/>
    </row>
    <row r="52" spans="1:14" s="305" customFormat="1" ht="15.75" thickBot="1">
      <c r="A52" s="530"/>
      <c r="B52" s="106" t="s">
        <v>361</v>
      </c>
      <c r="C52" s="433"/>
      <c r="D52" s="376"/>
      <c r="E52" s="376"/>
      <c r="F52" s="376"/>
      <c r="G52" s="376"/>
      <c r="H52" s="376"/>
      <c r="I52" s="376"/>
      <c r="J52" s="376"/>
      <c r="L52" s="19"/>
      <c r="M52" s="288"/>
      <c r="N52" s="288"/>
    </row>
    <row r="53" spans="1:14" s="305" customFormat="1" ht="15">
      <c r="A53" s="357"/>
      <c r="B53" s="376"/>
      <c r="C53" s="391"/>
      <c r="D53" s="376"/>
      <c r="E53" s="376"/>
      <c r="F53" s="376"/>
      <c r="G53" s="376"/>
      <c r="H53" s="376"/>
      <c r="I53" s="376"/>
      <c r="J53" s="376"/>
      <c r="L53" s="175" t="s">
        <v>110</v>
      </c>
      <c r="M53" s="288" t="s">
        <v>86</v>
      </c>
      <c r="N53" s="288" t="s">
        <v>88</v>
      </c>
    </row>
    <row r="54" spans="1:14" ht="19.5" thickBot="1">
      <c r="A54" s="360"/>
      <c r="B54" s="394"/>
      <c r="C54" s="394"/>
      <c r="D54" s="395"/>
      <c r="E54" s="395"/>
      <c r="F54" s="395"/>
      <c r="G54" s="395"/>
      <c r="H54" s="388"/>
      <c r="I54" s="388"/>
      <c r="J54" s="388"/>
      <c r="K54" s="283"/>
      <c r="L54" s="177" t="s">
        <v>111</v>
      </c>
      <c r="M54" s="288" t="s">
        <v>87</v>
      </c>
      <c r="N54" s="288" t="s">
        <v>89</v>
      </c>
    </row>
    <row r="55" spans="1:14" ht="15">
      <c r="A55" s="524" t="s">
        <v>365</v>
      </c>
      <c r="B55" s="106" t="s">
        <v>359</v>
      </c>
      <c r="C55" s="429" t="s">
        <v>110</v>
      </c>
      <c r="E55" s="72" t="s">
        <v>364</v>
      </c>
      <c r="L55" s="177" t="s">
        <v>112</v>
      </c>
    </row>
    <row r="56" spans="1:14" ht="15">
      <c r="A56" s="525"/>
      <c r="B56" s="393" t="s">
        <v>126</v>
      </c>
      <c r="C56" s="432"/>
      <c r="L56" s="177" t="s">
        <v>113</v>
      </c>
    </row>
    <row r="57" spans="1:14" ht="15">
      <c r="A57" s="525"/>
      <c r="B57" s="393" t="s">
        <v>127</v>
      </c>
      <c r="C57" s="432"/>
      <c r="L57" s="177" t="s">
        <v>114</v>
      </c>
    </row>
    <row r="58" spans="1:14" ht="15">
      <c r="A58" s="525"/>
      <c r="B58" s="106" t="s">
        <v>360</v>
      </c>
      <c r="C58" s="433"/>
      <c r="L58" s="177" t="s">
        <v>115</v>
      </c>
    </row>
    <row r="59" spans="1:14" ht="15">
      <c r="A59" s="525"/>
      <c r="B59" s="106" t="s">
        <v>361</v>
      </c>
      <c r="C59" s="433"/>
      <c r="L59" s="177" t="s">
        <v>116</v>
      </c>
    </row>
    <row r="60" spans="1:14" ht="15">
      <c r="A60" s="526"/>
      <c r="B60" s="106" t="s">
        <v>491</v>
      </c>
      <c r="C60" s="425"/>
      <c r="L60" s="413"/>
    </row>
    <row r="61" spans="1:14" ht="15">
      <c r="A61" s="526"/>
      <c r="B61" s="412" t="s">
        <v>476</v>
      </c>
      <c r="C61" s="414">
        <f>ABS_CP</f>
        <v>0</v>
      </c>
      <c r="L61" s="413"/>
    </row>
    <row r="62" spans="1:14" ht="15.75" thickBot="1">
      <c r="A62" s="527"/>
      <c r="B62" s="106"/>
      <c r="C62" s="106"/>
      <c r="L62" s="179" t="s">
        <v>117</v>
      </c>
    </row>
    <row r="63" spans="1:14" ht="15" customHeight="1">
      <c r="A63" s="531" t="s">
        <v>227</v>
      </c>
      <c r="B63" s="393" t="s">
        <v>95</v>
      </c>
      <c r="C63" s="429" t="s">
        <v>87</v>
      </c>
      <c r="E63" s="72" t="s">
        <v>364</v>
      </c>
    </row>
    <row r="64" spans="1:14" ht="15">
      <c r="A64" s="532"/>
      <c r="B64" s="396" t="s">
        <v>96</v>
      </c>
      <c r="C64" s="429" t="s">
        <v>89</v>
      </c>
      <c r="E64" s="72" t="s">
        <v>364</v>
      </c>
    </row>
    <row r="65" spans="1:5" ht="15">
      <c r="A65" s="532"/>
      <c r="B65" s="72" t="s">
        <v>462</v>
      </c>
      <c r="C65" s="417"/>
    </row>
    <row r="66" spans="1:5" ht="15">
      <c r="A66" s="532"/>
      <c r="B66" s="72" t="s">
        <v>463</v>
      </c>
      <c r="C66" s="417"/>
    </row>
    <row r="67" spans="1:5" ht="15">
      <c r="A67" s="532"/>
      <c r="B67" s="106" t="s">
        <v>367</v>
      </c>
      <c r="C67" s="397">
        <f>ABS_CP</f>
        <v>0</v>
      </c>
      <c r="E67" s="383" t="s">
        <v>398</v>
      </c>
    </row>
    <row r="68" spans="1:5" ht="15">
      <c r="A68" s="532"/>
      <c r="B68" s="412" t="s">
        <v>477</v>
      </c>
      <c r="C68" s="397">
        <f>ICCP</f>
        <v>0</v>
      </c>
      <c r="E68" s="383" t="s">
        <v>399</v>
      </c>
    </row>
    <row r="69" spans="1:5" ht="15">
      <c r="A69" s="532"/>
      <c r="C69" s="106"/>
    </row>
    <row r="70" spans="1:5" ht="15">
      <c r="A70" s="532"/>
      <c r="B70" s="72" t="s">
        <v>464</v>
      </c>
      <c r="C70" s="417"/>
    </row>
    <row r="71" spans="1:5" ht="15">
      <c r="A71" s="532"/>
      <c r="B71" s="72" t="s">
        <v>465</v>
      </c>
      <c r="C71" s="417"/>
    </row>
    <row r="72" spans="1:5" ht="15">
      <c r="A72" s="532"/>
      <c r="B72" s="411" t="s">
        <v>479</v>
      </c>
      <c r="C72" s="404">
        <f>SoldeICCPN1</f>
        <v>0</v>
      </c>
    </row>
    <row r="73" spans="1:5" ht="15">
      <c r="A73" s="532"/>
      <c r="C73" s="106"/>
    </row>
    <row r="74" spans="1:5" ht="15">
      <c r="A74" s="532"/>
      <c r="B74" s="72" t="s">
        <v>466</v>
      </c>
      <c r="C74" s="417"/>
    </row>
    <row r="75" spans="1:5" ht="15">
      <c r="A75" s="532"/>
      <c r="B75" s="393" t="s">
        <v>468</v>
      </c>
      <c r="C75" s="417"/>
    </row>
    <row r="76" spans="1:5" ht="15">
      <c r="A76" s="532"/>
      <c r="B76" s="72" t="s">
        <v>467</v>
      </c>
      <c r="C76" s="417"/>
    </row>
    <row r="77" spans="1:5" ht="15">
      <c r="A77" s="532"/>
      <c r="B77" s="72" t="s">
        <v>469</v>
      </c>
      <c r="C77" s="417"/>
    </row>
    <row r="78" spans="1:5" ht="15">
      <c r="A78" s="532"/>
      <c r="B78" s="411" t="s">
        <v>478</v>
      </c>
      <c r="C78" s="404">
        <f>SoldeICCPN</f>
        <v>0</v>
      </c>
    </row>
    <row r="79" spans="1:5" ht="15">
      <c r="A79" s="532"/>
    </row>
    <row r="80" spans="1:5" ht="15">
      <c r="A80" s="532"/>
      <c r="B80" s="72" t="s">
        <v>101</v>
      </c>
      <c r="C80" s="417"/>
    </row>
    <row r="81" spans="1:14" ht="15">
      <c r="A81" s="532"/>
      <c r="B81" s="72" t="s">
        <v>470</v>
      </c>
      <c r="C81" s="417"/>
    </row>
    <row r="82" spans="1:14" ht="15.75" thickBot="1">
      <c r="A82" s="533"/>
      <c r="B82" s="411" t="s">
        <v>480</v>
      </c>
      <c r="C82" s="404">
        <f>ICCPFRACT</f>
        <v>0</v>
      </c>
    </row>
    <row r="83" spans="1:14" s="305" customFormat="1" ht="15">
      <c r="A83" s="357"/>
      <c r="B83" s="376"/>
      <c r="C83" s="378"/>
      <c r="D83" s="376"/>
      <c r="E83" s="376"/>
      <c r="F83" s="376"/>
      <c r="G83" s="376"/>
      <c r="H83" s="376"/>
      <c r="I83" s="376"/>
      <c r="J83" s="376"/>
    </row>
    <row r="84" spans="1:14" ht="11.25" customHeight="1" thickBot="1">
      <c r="A84" s="358"/>
      <c r="B84" s="388"/>
      <c r="C84" s="388"/>
      <c r="D84" s="388"/>
      <c r="E84" s="388"/>
      <c r="F84" s="388"/>
      <c r="G84" s="388"/>
      <c r="H84" s="388"/>
      <c r="I84" s="388"/>
      <c r="J84" s="388"/>
      <c r="K84" s="283"/>
    </row>
    <row r="85" spans="1:14" ht="15.75" thickBot="1">
      <c r="A85" s="513" t="s">
        <v>152</v>
      </c>
      <c r="B85" s="516" t="s">
        <v>442</v>
      </c>
      <c r="C85" s="510"/>
    </row>
    <row r="86" spans="1:14" ht="15" customHeight="1">
      <c r="A86" s="514"/>
      <c r="B86" s="72" t="s">
        <v>426</v>
      </c>
      <c r="C86" s="434"/>
    </row>
    <row r="87" spans="1:14" ht="15" customHeight="1">
      <c r="A87" s="514"/>
      <c r="B87" s="72" t="s">
        <v>371</v>
      </c>
      <c r="C87" s="433"/>
    </row>
    <row r="88" spans="1:14" ht="15" customHeight="1">
      <c r="A88" s="514"/>
      <c r="B88" s="106" t="s">
        <v>156</v>
      </c>
      <c r="C88" s="435">
        <v>5.38</v>
      </c>
    </row>
    <row r="89" spans="1:14" ht="15" customHeight="1">
      <c r="A89" s="514"/>
      <c r="B89" s="106" t="s">
        <v>155</v>
      </c>
      <c r="C89" s="426"/>
    </row>
    <row r="90" spans="1:14" ht="15" customHeight="1">
      <c r="A90" s="514"/>
      <c r="B90" s="72" t="s">
        <v>74</v>
      </c>
      <c r="C90" s="399">
        <f>100%-PSAL_TR</f>
        <v>1</v>
      </c>
    </row>
    <row r="91" spans="1:14" ht="15" customHeight="1">
      <c r="A91" s="514"/>
      <c r="B91" s="415" t="s">
        <v>154</v>
      </c>
      <c r="C91" s="397">
        <f>TR_SAL</f>
        <v>0</v>
      </c>
    </row>
    <row r="92" spans="1:14" s="305" customFormat="1" ht="15" customHeight="1">
      <c r="A92" s="514"/>
      <c r="B92" s="415" t="s">
        <v>483</v>
      </c>
      <c r="C92" s="397">
        <f>AN_TR</f>
        <v>0</v>
      </c>
      <c r="D92" s="376"/>
      <c r="E92" s="376"/>
      <c r="F92" s="376"/>
      <c r="G92" s="376"/>
      <c r="H92" s="376"/>
      <c r="I92" s="376"/>
      <c r="J92" s="376"/>
    </row>
    <row r="93" spans="1:14" ht="15">
      <c r="A93" s="514"/>
      <c r="B93" s="517"/>
      <c r="C93" s="517"/>
      <c r="D93" s="398"/>
      <c r="E93" s="398"/>
      <c r="F93" s="398"/>
      <c r="G93" s="398"/>
      <c r="J93" s="376"/>
    </row>
    <row r="94" spans="1:14" ht="15" customHeight="1">
      <c r="A94" s="514"/>
      <c r="B94" s="106" t="s">
        <v>160</v>
      </c>
      <c r="C94" s="433"/>
      <c r="D94" s="398"/>
      <c r="E94" s="398"/>
      <c r="F94" s="398"/>
      <c r="G94" s="398"/>
    </row>
    <row r="95" spans="1:14" ht="15" customHeight="1">
      <c r="A95" s="514"/>
      <c r="B95" s="106" t="s">
        <v>161</v>
      </c>
      <c r="C95" s="435">
        <v>4.75</v>
      </c>
      <c r="F95" s="398"/>
      <c r="G95" s="398"/>
    </row>
    <row r="96" spans="1:14" ht="15" customHeight="1">
      <c r="A96" s="514"/>
      <c r="B96" s="106" t="s">
        <v>163</v>
      </c>
      <c r="C96" s="433"/>
      <c r="F96" s="398"/>
      <c r="G96" s="398"/>
      <c r="L96" s="34"/>
      <c r="M96" s="34"/>
      <c r="N96" s="72"/>
    </row>
    <row r="97" spans="1:16" ht="15" customHeight="1">
      <c r="A97" s="514"/>
      <c r="B97" s="398" t="s">
        <v>164</v>
      </c>
      <c r="C97" s="400">
        <f>EF_SAL</f>
        <v>0</v>
      </c>
      <c r="D97" s="398"/>
      <c r="E97" s="398"/>
      <c r="F97" s="398"/>
      <c r="G97" s="398"/>
      <c r="L97" s="34">
        <v>1</v>
      </c>
      <c r="M97" s="34"/>
      <c r="N97" s="40" t="s">
        <v>178</v>
      </c>
      <c r="O97" s="34"/>
      <c r="P97" s="34"/>
    </row>
    <row r="98" spans="1:16" ht="15">
      <c r="A98" s="514"/>
      <c r="B98" s="415" t="s">
        <v>482</v>
      </c>
      <c r="C98" s="400">
        <f>AN_EF</f>
        <v>0</v>
      </c>
      <c r="D98" s="398"/>
      <c r="E98" s="398"/>
      <c r="F98" s="398"/>
      <c r="G98" s="398"/>
      <c r="L98" s="34">
        <v>2</v>
      </c>
      <c r="M98" s="34">
        <v>1634.5</v>
      </c>
      <c r="N98" s="43" t="s">
        <v>171</v>
      </c>
      <c r="O98" s="34"/>
      <c r="P98" s="34"/>
    </row>
    <row r="99" spans="1:16" ht="15.75" thickBot="1">
      <c r="A99" s="514"/>
      <c r="B99" s="398"/>
      <c r="C99" s="398"/>
      <c r="D99" s="398"/>
      <c r="E99" s="398"/>
      <c r="F99" s="398"/>
      <c r="G99" s="398"/>
      <c r="L99" s="34">
        <v>3</v>
      </c>
      <c r="M99" s="34">
        <v>1961.4</v>
      </c>
      <c r="N99" s="43" t="s">
        <v>172</v>
      </c>
      <c r="O99" s="34"/>
      <c r="P99" s="34"/>
    </row>
    <row r="100" spans="1:16" ht="15.75" thickBot="1">
      <c r="A100" s="514"/>
      <c r="B100" s="516" t="s">
        <v>443</v>
      </c>
      <c r="C100" s="510"/>
      <c r="D100" s="398"/>
      <c r="E100" s="398"/>
      <c r="F100" s="398"/>
      <c r="G100" s="398"/>
      <c r="L100" s="34">
        <v>4</v>
      </c>
      <c r="M100" s="34">
        <v>2288.3000000000002</v>
      </c>
      <c r="N100" s="43" t="s">
        <v>173</v>
      </c>
      <c r="O100" s="34"/>
      <c r="P100" s="34"/>
    </row>
    <row r="101" spans="1:16" ht="15" customHeight="1">
      <c r="A101" s="514"/>
      <c r="B101" s="72" t="s">
        <v>406</v>
      </c>
      <c r="C101" s="434"/>
      <c r="D101" s="398"/>
      <c r="E101" s="398"/>
      <c r="F101" s="398"/>
      <c r="G101" s="398"/>
      <c r="L101" s="34">
        <v>5</v>
      </c>
      <c r="M101" s="34">
        <v>2942.1</v>
      </c>
      <c r="N101" s="43" t="s">
        <v>174</v>
      </c>
      <c r="O101" s="34"/>
      <c r="P101" s="34"/>
    </row>
    <row r="102" spans="1:16" ht="15" customHeight="1">
      <c r="A102" s="514"/>
      <c r="B102" s="72" t="s">
        <v>474</v>
      </c>
      <c r="C102" s="436"/>
      <c r="D102" s="407">
        <f>IF(C102&gt;M106,8,IF(C102&gt;M105,7,IF(C102&gt;M102,6,IF(C102&gt;M101,5,IF(C102&gt;M100,4,IF(C102&gt;M99,3,IF(C102&gt;M98,2,1)))))))</f>
        <v>1</v>
      </c>
      <c r="E102" s="19"/>
      <c r="F102" s="19"/>
      <c r="G102" s="398"/>
      <c r="I102" s="398"/>
      <c r="L102" s="34">
        <v>6</v>
      </c>
      <c r="M102" s="34">
        <v>3595.9</v>
      </c>
      <c r="N102" s="43" t="s">
        <v>175</v>
      </c>
      <c r="O102" s="34"/>
      <c r="P102" s="34"/>
    </row>
    <row r="103" spans="1:16" ht="15" customHeight="1">
      <c r="A103" s="514"/>
      <c r="B103" s="398" t="s">
        <v>475</v>
      </c>
      <c r="C103" s="409" t="str">
        <f>VLOOKUP(D102,L97:P106,3,FALSE)</f>
        <v>Infèrieur à 1634,50</v>
      </c>
      <c r="D103" s="398"/>
      <c r="E103" s="398"/>
      <c r="F103" s="398"/>
      <c r="G103" s="398"/>
      <c r="I103" s="398"/>
      <c r="L103" s="34"/>
      <c r="M103" s="34"/>
      <c r="N103" s="408"/>
      <c r="O103" s="34"/>
      <c r="P103" s="34"/>
    </row>
    <row r="104" spans="1:16" ht="15" customHeight="1">
      <c r="A104" s="514"/>
      <c r="B104" s="415" t="s">
        <v>484</v>
      </c>
      <c r="C104" s="410">
        <f>AN_LOG</f>
        <v>0</v>
      </c>
      <c r="D104" s="398"/>
      <c r="E104" s="398"/>
      <c r="F104" s="398"/>
      <c r="G104" s="398"/>
      <c r="I104" s="398"/>
      <c r="L104" s="34"/>
      <c r="M104" s="34"/>
      <c r="N104" s="408"/>
      <c r="O104" s="34"/>
      <c r="P104" s="34"/>
    </row>
    <row r="105" spans="1:16" ht="15" customHeight="1" thickBot="1">
      <c r="A105" s="514"/>
      <c r="L105" s="34">
        <v>7</v>
      </c>
      <c r="M105" s="34">
        <v>4249.7</v>
      </c>
      <c r="N105" s="43" t="s">
        <v>176</v>
      </c>
      <c r="O105" s="34"/>
      <c r="P105" s="34"/>
    </row>
    <row r="106" spans="1:16" ht="15.75" thickBot="1">
      <c r="A106" s="514"/>
      <c r="B106" s="509" t="s">
        <v>444</v>
      </c>
      <c r="C106" s="510"/>
      <c r="L106" s="34">
        <v>8</v>
      </c>
      <c r="M106" s="34">
        <v>4903.5</v>
      </c>
      <c r="N106" s="46" t="s">
        <v>177</v>
      </c>
      <c r="O106" s="34"/>
      <c r="P106" s="34"/>
    </row>
    <row r="107" spans="1:16" ht="15" customHeight="1">
      <c r="A107" s="514"/>
      <c r="B107" s="106" t="s">
        <v>433</v>
      </c>
      <c r="C107" s="437"/>
      <c r="D107" s="72" t="s">
        <v>203</v>
      </c>
      <c r="L107" s="302" t="s">
        <v>216</v>
      </c>
    </row>
    <row r="108" spans="1:16" ht="15" customHeight="1">
      <c r="A108" s="514"/>
      <c r="B108" s="106" t="s">
        <v>182</v>
      </c>
      <c r="C108" s="438"/>
      <c r="D108" s="72" t="s">
        <v>204</v>
      </c>
      <c r="L108" s="303" t="s">
        <v>217</v>
      </c>
    </row>
    <row r="109" spans="1:16" ht="15" customHeight="1">
      <c r="A109" s="514"/>
      <c r="B109" s="106" t="s">
        <v>184</v>
      </c>
      <c r="C109" s="438"/>
      <c r="D109" s="72" t="s">
        <v>204</v>
      </c>
      <c r="L109" s="303" t="s">
        <v>218</v>
      </c>
    </row>
    <row r="110" spans="1:16" ht="15" customHeight="1">
      <c r="A110" s="514"/>
      <c r="B110" s="106" t="s">
        <v>183</v>
      </c>
      <c r="C110" s="438"/>
      <c r="D110" s="72" t="s">
        <v>204</v>
      </c>
      <c r="L110" s="303" t="s">
        <v>219</v>
      </c>
    </row>
    <row r="111" spans="1:16" ht="15" customHeight="1">
      <c r="A111" s="514"/>
      <c r="L111" s="304" t="s">
        <v>220</v>
      </c>
    </row>
    <row r="112" spans="1:16" ht="15" customHeight="1">
      <c r="A112" s="514"/>
      <c r="B112" s="72" t="s">
        <v>257</v>
      </c>
      <c r="C112" s="439"/>
    </row>
    <row r="113" spans="1:12" ht="15" customHeight="1">
      <c r="A113" s="514"/>
      <c r="B113" s="72" t="s">
        <v>258</v>
      </c>
      <c r="C113" s="439"/>
    </row>
    <row r="114" spans="1:12" ht="15" customHeight="1">
      <c r="A114" s="514"/>
      <c r="B114" s="411" t="s">
        <v>485</v>
      </c>
      <c r="C114" s="381">
        <f>+AN_VEH_HA</f>
        <v>0</v>
      </c>
    </row>
    <row r="115" spans="1:12" ht="15" customHeight="1">
      <c r="A115" s="514"/>
    </row>
    <row r="116" spans="1:12" ht="15" customHeight="1">
      <c r="A116" s="514"/>
      <c r="B116" s="72" t="s">
        <v>376</v>
      </c>
      <c r="C116" s="440" t="s">
        <v>215</v>
      </c>
      <c r="E116" s="72" t="s">
        <v>364</v>
      </c>
    </row>
    <row r="117" spans="1:12" ht="15" customHeight="1">
      <c r="A117" s="514"/>
    </row>
    <row r="118" spans="1:12" ht="15" customHeight="1">
      <c r="A118" s="514"/>
      <c r="B118" s="106" t="s">
        <v>185</v>
      </c>
      <c r="C118" s="438"/>
      <c r="D118" s="72" t="s">
        <v>204</v>
      </c>
      <c r="L118" s="301" t="s">
        <v>221</v>
      </c>
    </row>
    <row r="119" spans="1:12" ht="15" customHeight="1">
      <c r="A119" s="514"/>
      <c r="B119" s="106" t="s">
        <v>182</v>
      </c>
      <c r="C119" s="438"/>
      <c r="D119" s="72" t="s">
        <v>204</v>
      </c>
      <c r="L119" s="303" t="s">
        <v>222</v>
      </c>
    </row>
    <row r="120" spans="1:12" ht="15" customHeight="1">
      <c r="A120" s="514"/>
      <c r="B120" s="106" t="s">
        <v>184</v>
      </c>
      <c r="C120" s="438"/>
      <c r="D120" s="72" t="s">
        <v>204</v>
      </c>
      <c r="L120" s="303" t="s">
        <v>223</v>
      </c>
    </row>
    <row r="121" spans="1:12" ht="15" customHeight="1">
      <c r="A121" s="514"/>
      <c r="B121" s="106" t="s">
        <v>183</v>
      </c>
      <c r="C121" s="438"/>
      <c r="D121" s="72" t="s">
        <v>204</v>
      </c>
      <c r="L121" s="306" t="s">
        <v>224</v>
      </c>
    </row>
    <row r="122" spans="1:12" ht="15" customHeight="1">
      <c r="A122" s="514"/>
    </row>
    <row r="123" spans="1:12" ht="15" customHeight="1">
      <c r="A123" s="514"/>
      <c r="B123" s="72" t="s">
        <v>377</v>
      </c>
      <c r="C123" s="440" t="s">
        <v>221</v>
      </c>
      <c r="E123" s="72" t="s">
        <v>364</v>
      </c>
    </row>
    <row r="124" spans="1:12" ht="15" customHeight="1">
      <c r="A124" s="514"/>
      <c r="B124" s="411" t="s">
        <v>486</v>
      </c>
      <c r="C124" s="381">
        <f>AN_VEH_LOA</f>
        <v>0</v>
      </c>
    </row>
    <row r="125" spans="1:12" ht="15" customHeight="1" thickBot="1">
      <c r="A125" s="514"/>
    </row>
    <row r="126" spans="1:12" ht="15" customHeight="1" thickBot="1">
      <c r="A126" s="514"/>
      <c r="B126" s="511" t="s">
        <v>445</v>
      </c>
      <c r="C126" s="512"/>
    </row>
    <row r="127" spans="1:12" ht="15" customHeight="1">
      <c r="A127" s="514"/>
      <c r="B127" s="72" t="s">
        <v>382</v>
      </c>
      <c r="C127" s="441"/>
    </row>
    <row r="128" spans="1:12" ht="15" customHeight="1">
      <c r="A128" s="514"/>
      <c r="B128" s="72" t="s">
        <v>383</v>
      </c>
      <c r="C128" s="441"/>
      <c r="F128" s="401"/>
      <c r="G128" s="401"/>
    </row>
    <row r="129" spans="1:12" ht="15" customHeight="1">
      <c r="A129" s="514"/>
      <c r="B129" s="411" t="s">
        <v>487</v>
      </c>
      <c r="C129" s="381">
        <f>C127*10%/12</f>
        <v>0</v>
      </c>
    </row>
    <row r="130" spans="1:12" ht="15" customHeight="1">
      <c r="A130" s="514"/>
      <c r="B130" s="411" t="s">
        <v>488</v>
      </c>
      <c r="C130" s="381">
        <f>C128*10%</f>
        <v>0</v>
      </c>
    </row>
    <row r="131" spans="1:12" ht="15" customHeight="1" thickBot="1">
      <c r="A131" s="514"/>
    </row>
    <row r="132" spans="1:12" ht="15" customHeight="1" thickBot="1">
      <c r="A132" s="514"/>
      <c r="B132" s="511" t="s">
        <v>446</v>
      </c>
      <c r="C132" s="512"/>
    </row>
    <row r="133" spans="1:12" ht="15" customHeight="1">
      <c r="A133" s="514"/>
      <c r="B133" s="72" t="s">
        <v>434</v>
      </c>
      <c r="C133" s="430"/>
    </row>
    <row r="134" spans="1:12" ht="15" customHeight="1" thickBot="1">
      <c r="A134" s="515"/>
      <c r="B134" s="72" t="s">
        <v>268</v>
      </c>
      <c r="C134" s="442"/>
    </row>
    <row r="135" spans="1:12" s="305" customFormat="1" ht="15" customHeight="1">
      <c r="A135" s="357"/>
      <c r="B135" s="376"/>
      <c r="C135" s="402"/>
      <c r="D135" s="376"/>
      <c r="E135" s="376"/>
      <c r="F135" s="376"/>
      <c r="G135" s="376"/>
      <c r="H135" s="376"/>
      <c r="I135" s="376"/>
      <c r="J135" s="376"/>
      <c r="K135" s="335"/>
    </row>
    <row r="136" spans="1:12" ht="19.5" thickBot="1">
      <c r="A136" s="358"/>
      <c r="B136" s="388"/>
      <c r="C136" s="388"/>
      <c r="D136" s="388"/>
      <c r="E136" s="388"/>
      <c r="F136" s="388"/>
      <c r="G136" s="388"/>
      <c r="H136" s="388"/>
      <c r="I136" s="388"/>
      <c r="J136" s="388"/>
      <c r="K136" s="283"/>
    </row>
    <row r="137" spans="1:12" ht="12.75" customHeight="1">
      <c r="A137" s="518" t="s">
        <v>251</v>
      </c>
      <c r="B137" s="72" t="s">
        <v>391</v>
      </c>
      <c r="C137" s="429" t="s">
        <v>389</v>
      </c>
      <c r="E137" s="72" t="s">
        <v>364</v>
      </c>
      <c r="L137" s="19" t="s">
        <v>389</v>
      </c>
    </row>
    <row r="138" spans="1:12" ht="15" customHeight="1">
      <c r="A138" s="519"/>
      <c r="B138" s="72" t="s">
        <v>309</v>
      </c>
      <c r="C138" s="443">
        <v>118.33</v>
      </c>
      <c r="L138" s="19" t="s">
        <v>390</v>
      </c>
    </row>
    <row r="139" spans="1:12" ht="15" customHeight="1">
      <c r="A139" s="519"/>
      <c r="B139" s="72" t="s">
        <v>305</v>
      </c>
      <c r="C139" s="403">
        <f>NBRE_PERS_CHAR</f>
        <v>0</v>
      </c>
    </row>
    <row r="140" spans="1:12" ht="15" customHeight="1">
      <c r="A140" s="519"/>
      <c r="B140" s="72" t="s">
        <v>396</v>
      </c>
      <c r="C140" s="443">
        <v>535.16999999999996</v>
      </c>
    </row>
    <row r="141" spans="1:12" ht="15" customHeight="1" thickBot="1">
      <c r="A141" s="520"/>
      <c r="B141" s="72" t="s">
        <v>397</v>
      </c>
      <c r="C141" s="404">
        <f>SAISIE_SAL</f>
        <v>0</v>
      </c>
    </row>
  </sheetData>
  <sheetProtection selectLockedCells="1" sort="0"/>
  <mergeCells count="13">
    <mergeCell ref="A137:A141"/>
    <mergeCell ref="A3:A38"/>
    <mergeCell ref="A41:A44"/>
    <mergeCell ref="A55:A62"/>
    <mergeCell ref="A47:A52"/>
    <mergeCell ref="A63:A82"/>
    <mergeCell ref="B106:C106"/>
    <mergeCell ref="B132:C132"/>
    <mergeCell ref="A85:A134"/>
    <mergeCell ref="B85:C85"/>
    <mergeCell ref="B93:C93"/>
    <mergeCell ref="B100:C100"/>
    <mergeCell ref="B126:C126"/>
  </mergeCells>
  <dataValidations count="9">
    <dataValidation type="list" allowBlank="1" showInputMessage="1" showErrorMessage="1" sqref="C116">
      <formula1>$L$106:$L$111</formula1>
    </dataValidation>
    <dataValidation type="list" allowBlank="1" showInputMessage="1" showErrorMessage="1" sqref="C123">
      <formula1>$L$118:$L$121</formula1>
    </dataValidation>
    <dataValidation type="list" allowBlank="1" showInputMessage="1" showErrorMessage="1" sqref="C36">
      <formula1>$L$22:$L$23</formula1>
    </dataValidation>
    <dataValidation type="list" allowBlank="1" showInputMessage="1" showErrorMessage="1" sqref="C137">
      <formula1>$L$137:$L$138</formula1>
    </dataValidation>
    <dataValidation type="list" allowBlank="1" showInputMessage="1" showErrorMessage="1" sqref="C55 C47">
      <formula1>$L$53:$L$62</formula1>
    </dataValidation>
    <dataValidation type="list" allowBlank="1" showInputMessage="1" showErrorMessage="1" sqref="C63">
      <formula1>$M$53:$M$54</formula1>
    </dataValidation>
    <dataValidation type="list" allowBlank="1" showInputMessage="1" showErrorMessage="1" sqref="C64">
      <formula1>$N$53:$N$54</formula1>
    </dataValidation>
    <dataValidation type="list" allowBlank="1" showInputMessage="1" showErrorMessage="1" sqref="C13">
      <formula1>$L$17:$L$18</formula1>
    </dataValidation>
    <dataValidation type="list" allowBlank="1" showInputMessage="1" showErrorMessage="1" sqref="C12">
      <formula1>$L$10:$L$15</formula1>
    </dataValidation>
  </dataValidations>
  <hyperlinks>
    <hyperlink ref="A55:A62" location="ABS" display="Abs CP "/>
    <hyperlink ref="A137:A140" location="SAISIE" display="SAISIE"/>
    <hyperlink ref="A85:A134" location="AN_TR" display="AVANTAGE EN NATURE"/>
    <hyperlink ref="A41:A44" location="BULLETIN" display="PRIMES"/>
    <hyperlink ref="A3:A38" location="BULLETIN" display="INFORMATION GENERALE"/>
    <hyperlink ref="A63:A69" location="CP" display="CP"/>
    <hyperlink ref="E67" location="ABS_CP" display="Aller sur l'onglet Abs_CP"/>
    <hyperlink ref="E68" location="CP" display="Aller sur l'onglet CP"/>
    <hyperlink ref="E21" location="HS" display="Si HSUP aller sur l'onglet H SUP"/>
    <hyperlink ref="A47:A52" location="ABS_NR" display="abs non rémunéree"/>
    <hyperlink ref="B85:C85" location="AN_TR" display="REPAS / TR "/>
    <hyperlink ref="B100:C100" location="ANLOGEMENT" display="LOGEMENT"/>
    <hyperlink ref="B106:C106" location="AN_VEH" display="VEHICULE"/>
  </hyperlinks>
  <pageMargins left="0.7" right="0.7" top="0.75" bottom="0.75" header="0.3" footer="0.3"/>
  <pageSetup paperSize="9" orientation="portrait" r:id="rId1"/>
  <ignoredErrors>
    <ignoredError sqref="C18" unlockedFormula="1"/>
  </ignoredErrors>
  <drawing r:id="rId2"/>
  <legacyDrawing r:id="rId3"/>
</worksheet>
</file>

<file path=xl/worksheets/sheet3.xml><?xml version="1.0" encoding="utf-8"?>
<worksheet xmlns="http://schemas.openxmlformats.org/spreadsheetml/2006/main" xmlns:r="http://schemas.openxmlformats.org/officeDocument/2006/relationships">
  <sheetPr codeName="Feuil1">
    <pageSetUpPr fitToPage="1"/>
  </sheetPr>
  <dimension ref="A1:N114"/>
  <sheetViews>
    <sheetView zoomScale="110" zoomScaleNormal="110" workbookViewId="0">
      <pane ySplit="14" topLeftCell="A15" activePane="bottomLeft" state="frozen"/>
      <selection pane="bottomLeft" activeCell="F86" sqref="F86"/>
    </sheetView>
  </sheetViews>
  <sheetFormatPr defaultColWidth="11.42578125" defaultRowHeight="15"/>
  <cols>
    <col min="1" max="1" width="18.28515625" style="113" customWidth="1"/>
    <col min="2" max="2" width="36" style="113" customWidth="1"/>
    <col min="3" max="3" width="4.140625" style="113" customWidth="1"/>
    <col min="4" max="4" width="11.42578125" style="113"/>
    <col min="5" max="5" width="15" style="113" customWidth="1"/>
    <col min="6" max="6" width="19.7109375" style="113" bestFit="1" customWidth="1"/>
    <col min="7" max="7" width="4.42578125" style="113" customWidth="1"/>
    <col min="8" max="8" width="14.5703125" style="113" customWidth="1"/>
    <col min="9" max="9" width="20.85546875" style="113" bestFit="1" customWidth="1"/>
    <col min="10" max="10" width="22" style="113" customWidth="1"/>
    <col min="11" max="11" width="13" style="113" bestFit="1" customWidth="1"/>
    <col min="12" max="12" width="18.7109375" style="113" bestFit="1" customWidth="1"/>
    <col min="13" max="16384" width="11.42578125" style="113"/>
  </cols>
  <sheetData>
    <row r="1" spans="1:14" ht="10.5" customHeight="1">
      <c r="A1" s="578" t="s">
        <v>0</v>
      </c>
      <c r="B1" s="578"/>
      <c r="C1" s="109"/>
      <c r="D1" s="110" t="s">
        <v>38</v>
      </c>
      <c r="E1" s="111"/>
      <c r="F1" s="111"/>
      <c r="G1" s="111"/>
      <c r="H1" s="111"/>
      <c r="I1" s="112"/>
      <c r="J1" s="19"/>
      <c r="K1" s="19"/>
      <c r="L1" s="19"/>
      <c r="M1" s="19"/>
    </row>
    <row r="2" spans="1:14" ht="10.5" customHeight="1">
      <c r="A2" s="578"/>
      <c r="B2" s="578"/>
      <c r="C2" s="109"/>
      <c r="D2" s="114"/>
      <c r="E2" s="115" t="s">
        <v>39</v>
      </c>
      <c r="F2" s="116" t="str">
        <f>IF('info bulletin'!C5="","",'info bulletin'!C5)</f>
        <v/>
      </c>
      <c r="G2" s="116"/>
      <c r="H2" s="116"/>
      <c r="I2" s="117"/>
      <c r="J2" s="19" t="s">
        <v>108</v>
      </c>
      <c r="K2" s="236">
        <f>SBRUT</f>
        <v>0</v>
      </c>
      <c r="L2" s="19"/>
      <c r="M2" s="19"/>
    </row>
    <row r="3" spans="1:14" s="119" customFormat="1" ht="10.5" customHeight="1">
      <c r="A3" s="118"/>
      <c r="B3" s="118"/>
      <c r="C3" s="118"/>
      <c r="D3" s="114"/>
      <c r="E3" s="116" t="s">
        <v>40</v>
      </c>
      <c r="F3" s="116" t="str">
        <f>IF('info bulletin'!C6="","",'info bulletin'!C6)</f>
        <v/>
      </c>
      <c r="G3" s="116"/>
      <c r="H3" s="116"/>
      <c r="I3" s="117"/>
      <c r="J3" s="19" t="s">
        <v>26</v>
      </c>
      <c r="K3" s="236">
        <f>totcotsal</f>
        <v>0</v>
      </c>
      <c r="L3" s="19"/>
      <c r="M3" s="19"/>
      <c r="N3" s="113"/>
    </row>
    <row r="4" spans="1:14" s="119" customFormat="1" ht="10.5" customHeight="1">
      <c r="A4" s="120" t="s">
        <v>48</v>
      </c>
      <c r="B4" s="290">
        <f>IF('info bulletin'!C3="","",'info bulletin'!C3)</f>
        <v>42736</v>
      </c>
      <c r="C4" s="118"/>
      <c r="D4" s="114"/>
      <c r="E4" s="116" t="s">
        <v>41</v>
      </c>
      <c r="F4" s="116" t="str">
        <f>IF('info bulletin'!C7="","",'info bulletin'!C7)</f>
        <v/>
      </c>
      <c r="G4" s="116"/>
      <c r="H4" s="116"/>
      <c r="I4" s="117"/>
      <c r="J4" s="19" t="s">
        <v>28</v>
      </c>
      <c r="K4" s="406">
        <f>totcotpat</f>
        <v>0</v>
      </c>
      <c r="L4" s="19"/>
      <c r="M4" s="19"/>
      <c r="N4" s="113"/>
    </row>
    <row r="5" spans="1:14" s="119" customFormat="1" ht="10.5" customHeight="1">
      <c r="A5" s="118"/>
      <c r="B5" s="118"/>
      <c r="C5" s="118"/>
      <c r="D5" s="114"/>
      <c r="E5" s="116" t="s">
        <v>42</v>
      </c>
      <c r="F5" s="116" t="str">
        <f>IF('info bulletin'!C8="","",'info bulletin'!C8)</f>
        <v/>
      </c>
      <c r="G5" s="116" t="s">
        <v>43</v>
      </c>
      <c r="H5" s="291" t="str">
        <f>IF('info bulletin'!C10="","",'info bulletin'!C10)</f>
        <v/>
      </c>
      <c r="I5" s="117"/>
      <c r="J5" s="19" t="s">
        <v>471</v>
      </c>
      <c r="K5" s="236">
        <f>SNAR</f>
        <v>0</v>
      </c>
      <c r="L5" s="19"/>
      <c r="M5" s="19"/>
      <c r="N5" s="113"/>
    </row>
    <row r="6" spans="1:14" s="119" customFormat="1" ht="10.5" customHeight="1">
      <c r="A6" s="118"/>
      <c r="B6" s="118"/>
      <c r="C6" s="118"/>
      <c r="D6" s="121"/>
      <c r="E6" s="122" t="s">
        <v>44</v>
      </c>
      <c r="F6" s="122"/>
      <c r="G6" s="122"/>
      <c r="H6" s="122" t="str">
        <f>IF('info bulletin'!C9="","",'info bulletin'!C9)</f>
        <v/>
      </c>
      <c r="I6" s="123"/>
      <c r="J6" s="19" t="s">
        <v>472</v>
      </c>
      <c r="K6" s="406">
        <f>TOTRET</f>
        <v>0</v>
      </c>
      <c r="L6" s="19"/>
      <c r="M6" s="19"/>
      <c r="N6" s="113"/>
    </row>
    <row r="7" spans="1:14" s="119" customFormat="1" ht="10.5" customHeight="1">
      <c r="A7" s="507" t="s">
        <v>492</v>
      </c>
      <c r="B7" s="293" t="str">
        <f>IF('info bulletin'!J4="","",'info bulletin'!J4)</f>
        <v/>
      </c>
      <c r="C7" s="118"/>
      <c r="D7" s="118"/>
      <c r="E7" s="118"/>
      <c r="F7" s="118"/>
      <c r="G7" s="118"/>
      <c r="H7" s="118"/>
      <c r="I7" s="118"/>
      <c r="J7" s="19" t="s">
        <v>255</v>
      </c>
      <c r="K7" s="236">
        <f>NAP</f>
        <v>0</v>
      </c>
      <c r="L7" s="19"/>
      <c r="M7" s="19"/>
      <c r="N7" s="113"/>
    </row>
    <row r="8" spans="1:14" s="119" customFormat="1" ht="10.5" customHeight="1">
      <c r="A8" s="508" t="s">
        <v>493</v>
      </c>
      <c r="B8" s="117" t="str">
        <f>IF('info bulletin'!J5="","",'info bulletin'!J5)</f>
        <v/>
      </c>
      <c r="C8" s="124"/>
      <c r="D8" s="118"/>
      <c r="E8" s="118"/>
      <c r="F8" s="118"/>
      <c r="G8" s="118"/>
      <c r="H8" s="118"/>
      <c r="I8" s="118"/>
      <c r="J8" s="19" t="s">
        <v>473</v>
      </c>
      <c r="K8" s="236">
        <f>NetImposable</f>
        <v>0</v>
      </c>
    </row>
    <row r="9" spans="1:14" s="119" customFormat="1" ht="10.5" customHeight="1">
      <c r="A9" s="114" t="s">
        <v>3</v>
      </c>
      <c r="B9" s="117" t="str">
        <f>IF('info bulletin'!J6="","",'info bulletin'!J6)</f>
        <v/>
      </c>
      <c r="C9" s="124"/>
      <c r="D9" s="110" t="s">
        <v>45</v>
      </c>
      <c r="E9" s="111"/>
      <c r="F9" s="111"/>
      <c r="G9" s="111"/>
      <c r="H9" s="111"/>
      <c r="I9" s="112"/>
      <c r="K9" s="19"/>
    </row>
    <row r="10" spans="1:14" s="119" customFormat="1" ht="10.5" customHeight="1">
      <c r="A10" s="508" t="s">
        <v>494</v>
      </c>
      <c r="B10" s="294" t="str">
        <f>IF('info bulletin'!J7="","",'info bulletin'!J7)</f>
        <v/>
      </c>
      <c r="C10" s="124"/>
      <c r="D10" s="114"/>
      <c r="E10" s="115" t="s">
        <v>46</v>
      </c>
      <c r="F10" s="116" t="str">
        <f>IF('info bulletin'!F5="","",'info bulletin'!F5)</f>
        <v/>
      </c>
      <c r="G10" s="116"/>
      <c r="H10" s="116" t="str">
        <f>IF('info bulletin'!G5="","",'info bulletin'!G5)</f>
        <v/>
      </c>
      <c r="I10" s="117"/>
      <c r="K10" s="19"/>
    </row>
    <row r="11" spans="1:14" s="119" customFormat="1" ht="10.5" customHeight="1">
      <c r="A11" s="508" t="s">
        <v>495</v>
      </c>
      <c r="B11" s="294" t="str">
        <f>IF('info bulletin'!J8="","",'info bulletin'!J8)</f>
        <v/>
      </c>
      <c r="C11" s="124"/>
      <c r="D11" s="114"/>
      <c r="E11" s="116" t="s">
        <v>40</v>
      </c>
      <c r="F11" s="116" t="str">
        <f>IF('info bulletin'!F6="","",'info bulletin'!F6)</f>
        <v/>
      </c>
      <c r="G11" s="116"/>
      <c r="H11" s="116"/>
      <c r="I11" s="117"/>
      <c r="K11" s="19"/>
    </row>
    <row r="12" spans="1:14" s="119" customFormat="1" ht="10.5" customHeight="1">
      <c r="A12" s="508" t="s">
        <v>496</v>
      </c>
      <c r="B12" s="292" t="str">
        <f>IF('info bulletin'!J9="","",'info bulletin'!J9)</f>
        <v/>
      </c>
      <c r="C12" s="124"/>
      <c r="D12" s="114"/>
      <c r="E12" s="116" t="s">
        <v>47</v>
      </c>
      <c r="F12" s="116" t="str">
        <f>IF('info bulletin'!F7="","",'info bulletin'!F7)</f>
        <v/>
      </c>
      <c r="G12" s="116"/>
      <c r="H12" s="282" t="s">
        <v>369</v>
      </c>
      <c r="I12" s="117" t="str">
        <f>IF('info bulletin'!F8="","",'info bulletin'!F8)</f>
        <v/>
      </c>
      <c r="K12" s="19"/>
    </row>
    <row r="13" spans="1:14" s="119" customFormat="1" ht="10.5" customHeight="1">
      <c r="A13" s="231" t="s">
        <v>497</v>
      </c>
      <c r="B13" s="232">
        <f>'info bulletin'!F17</f>
        <v>0</v>
      </c>
      <c r="C13" s="124"/>
      <c r="D13" s="121"/>
      <c r="E13" s="122"/>
      <c r="F13" s="122"/>
      <c r="G13" s="122"/>
      <c r="H13" s="122"/>
      <c r="I13" s="123"/>
      <c r="K13" s="19"/>
    </row>
    <row r="14" spans="1:14" ht="10.5" customHeight="1" thickBot="1">
      <c r="A14" s="109"/>
      <c r="B14" s="109"/>
      <c r="C14" s="109"/>
      <c r="D14" s="109"/>
      <c r="E14" s="109"/>
      <c r="F14" s="109"/>
      <c r="G14" s="109"/>
      <c r="H14" s="109"/>
      <c r="I14" s="109"/>
    </row>
    <row r="15" spans="1:14" s="125" customFormat="1" ht="15.75" thickBot="1">
      <c r="A15" s="536" t="s">
        <v>7</v>
      </c>
      <c r="B15" s="537"/>
      <c r="C15" s="258"/>
      <c r="D15" s="259" t="s">
        <v>24</v>
      </c>
      <c r="E15" s="260" t="s">
        <v>80</v>
      </c>
      <c r="F15" s="260" t="s">
        <v>51</v>
      </c>
      <c r="G15" s="261"/>
      <c r="H15" s="261"/>
      <c r="I15" s="262"/>
      <c r="J15" s="125" t="s">
        <v>280</v>
      </c>
    </row>
    <row r="16" spans="1:14">
      <c r="A16" s="540"/>
      <c r="B16" s="541"/>
      <c r="C16" s="126"/>
      <c r="D16" s="126"/>
      <c r="E16" s="126"/>
      <c r="F16" s="126"/>
      <c r="G16" s="126"/>
      <c r="H16" s="126"/>
      <c r="I16" s="127"/>
      <c r="J16" s="128"/>
      <c r="M16" s="128"/>
      <c r="N16" s="128"/>
    </row>
    <row r="17" spans="1:14">
      <c r="A17" s="538" t="s">
        <v>8</v>
      </c>
      <c r="B17" s="539"/>
      <c r="C17" s="129" t="s">
        <v>149</v>
      </c>
      <c r="D17" s="130">
        <f>NBRE_H_MOIS</f>
        <v>0</v>
      </c>
      <c r="E17" s="131" t="str">
        <f>IFERROR(F17/D17,"")</f>
        <v/>
      </c>
      <c r="F17" s="130">
        <f>SBASE</f>
        <v>0</v>
      </c>
      <c r="G17" s="132"/>
      <c r="H17" s="132"/>
      <c r="I17" s="133"/>
      <c r="J17" s="128"/>
      <c r="M17" s="128"/>
      <c r="N17" s="128"/>
    </row>
    <row r="18" spans="1:14">
      <c r="A18" s="538" t="s">
        <v>79</v>
      </c>
      <c r="B18" s="539"/>
      <c r="C18" s="129"/>
      <c r="D18" s="131"/>
      <c r="E18" s="131"/>
      <c r="F18" s="131">
        <f>IF(BASE_HOR=0,0,IF(F17&lt;BASE_SMIC,BASE_SMIC-F17,""))</f>
        <v>0</v>
      </c>
      <c r="G18" s="132"/>
      <c r="H18" s="132"/>
      <c r="I18" s="133"/>
      <c r="J18" s="134"/>
      <c r="M18" s="128"/>
      <c r="N18" s="128"/>
    </row>
    <row r="19" spans="1:14">
      <c r="A19" s="534" t="str">
        <f>"Retenue entrée sortie "  &amp;TEXT('info bulletin'!C49,"jj/mm/aaaa") &amp; " au " &amp;TEXT('info bulletin'!C50,"jj/mm/aaaa")</f>
        <v>Retenue entrée sortie 00/01/1900 au 00/01/1900</v>
      </c>
      <c r="B19" s="535"/>
      <c r="C19" s="336" t="s">
        <v>149</v>
      </c>
      <c r="D19" s="130">
        <f>-H_ABS_NR</f>
        <v>0</v>
      </c>
      <c r="E19" s="130"/>
      <c r="F19" s="130">
        <f>-ABSNR</f>
        <v>0</v>
      </c>
      <c r="G19" s="132"/>
      <c r="H19" s="132"/>
      <c r="I19" s="133"/>
      <c r="J19" s="87" t="s">
        <v>405</v>
      </c>
      <c r="K19" s="136"/>
      <c r="M19" s="128"/>
      <c r="N19" s="128"/>
    </row>
    <row r="20" spans="1:14">
      <c r="A20" s="534" t="s">
        <v>437</v>
      </c>
      <c r="B20" s="535"/>
      <c r="C20" s="336" t="s">
        <v>149</v>
      </c>
      <c r="D20" s="130">
        <f>S_RTT</f>
        <v>0</v>
      </c>
      <c r="E20" s="130">
        <f>TX_HOR</f>
        <v>0</v>
      </c>
      <c r="F20" s="130">
        <f>E20*D20</f>
        <v>0</v>
      </c>
      <c r="G20" s="132"/>
      <c r="H20" s="132"/>
      <c r="I20" s="133"/>
      <c r="J20" s="87"/>
      <c r="K20" s="136"/>
      <c r="M20" s="128"/>
      <c r="N20" s="128"/>
    </row>
    <row r="21" spans="1:14" ht="14.25" customHeight="1">
      <c r="A21" s="538" t="s">
        <v>148</v>
      </c>
      <c r="B21" s="539"/>
      <c r="C21" s="129"/>
      <c r="D21" s="138">
        <f>'info bulletin'!C42</f>
        <v>0</v>
      </c>
      <c r="E21" s="131"/>
      <c r="F21" s="284">
        <f>'info bulletin'!E42</f>
        <v>0</v>
      </c>
      <c r="G21" s="132"/>
      <c r="H21" s="132"/>
      <c r="I21" s="133"/>
      <c r="J21" s="128"/>
      <c r="K21" s="136"/>
      <c r="M21" s="137"/>
      <c r="N21" s="128"/>
    </row>
    <row r="22" spans="1:14">
      <c r="A22" s="538" t="s">
        <v>272</v>
      </c>
      <c r="B22" s="539"/>
      <c r="C22" s="129"/>
      <c r="D22" s="131"/>
      <c r="E22" s="131"/>
      <c r="F22" s="284">
        <f>'info bulletin'!C43</f>
        <v>0</v>
      </c>
      <c r="G22" s="132"/>
      <c r="H22" s="132"/>
      <c r="I22" s="133"/>
    </row>
    <row r="23" spans="1:14">
      <c r="A23" s="542" t="s">
        <v>238</v>
      </c>
      <c r="B23" s="543"/>
      <c r="C23" s="163" t="s">
        <v>149</v>
      </c>
      <c r="D23" s="130">
        <f>H_10</f>
        <v>0</v>
      </c>
      <c r="E23" s="130">
        <f>TX_10</f>
        <v>0</v>
      </c>
      <c r="F23" s="130">
        <f>IFERROR(E23*D23,"")</f>
        <v>0</v>
      </c>
      <c r="G23" s="132"/>
      <c r="H23" s="132"/>
      <c r="I23" s="133"/>
      <c r="J23" s="128"/>
      <c r="K23" s="136"/>
      <c r="M23" s="137"/>
      <c r="N23" s="128"/>
    </row>
    <row r="24" spans="1:14">
      <c r="A24" s="542" t="s">
        <v>81</v>
      </c>
      <c r="B24" s="543"/>
      <c r="C24" s="163" t="s">
        <v>149</v>
      </c>
      <c r="D24" s="130">
        <f>H_25</f>
        <v>0</v>
      </c>
      <c r="E24" s="130">
        <f>TX_25</f>
        <v>0</v>
      </c>
      <c r="F24" s="130">
        <f>IFERROR(E24*D24,"")</f>
        <v>0</v>
      </c>
      <c r="G24" s="132"/>
      <c r="H24" s="132"/>
      <c r="I24" s="133"/>
      <c r="J24" s="139" t="s">
        <v>234</v>
      </c>
      <c r="M24" s="128"/>
      <c r="N24" s="128"/>
    </row>
    <row r="25" spans="1:14">
      <c r="A25" s="542" t="s">
        <v>82</v>
      </c>
      <c r="B25" s="543"/>
      <c r="C25" s="163" t="s">
        <v>149</v>
      </c>
      <c r="D25" s="130">
        <f>H_50</f>
        <v>0</v>
      </c>
      <c r="E25" s="130">
        <f>TX_50</f>
        <v>0</v>
      </c>
      <c r="F25" s="130">
        <f>IFERROR(E25*D25,"")</f>
        <v>0</v>
      </c>
      <c r="G25" s="132"/>
      <c r="H25" s="132"/>
      <c r="I25" s="133"/>
      <c r="J25" s="140"/>
      <c r="K25" s="136"/>
      <c r="M25" s="128"/>
      <c r="N25" s="128"/>
    </row>
    <row r="26" spans="1:14">
      <c r="A26" s="542" t="s">
        <v>229</v>
      </c>
      <c r="B26" s="543"/>
      <c r="C26" s="163"/>
      <c r="D26" s="130"/>
      <c r="E26" s="130"/>
      <c r="F26" s="130">
        <f>AN_TR+AN_EF</f>
        <v>0</v>
      </c>
      <c r="G26" s="132"/>
      <c r="H26" s="132"/>
      <c r="I26" s="133"/>
      <c r="J26" s="141" t="s">
        <v>230</v>
      </c>
      <c r="K26" s="136"/>
      <c r="M26" s="128"/>
      <c r="N26" s="128"/>
    </row>
    <row r="27" spans="1:14">
      <c r="A27" s="542" t="s">
        <v>179</v>
      </c>
      <c r="B27" s="543"/>
      <c r="C27" s="163"/>
      <c r="D27" s="130"/>
      <c r="E27" s="130"/>
      <c r="F27" s="130">
        <f>AN!E27</f>
        <v>0</v>
      </c>
      <c r="G27" s="132"/>
      <c r="H27" s="132"/>
      <c r="I27" s="133"/>
      <c r="J27" s="141" t="s">
        <v>232</v>
      </c>
      <c r="K27" s="136"/>
      <c r="M27" s="128"/>
      <c r="N27" s="128"/>
    </row>
    <row r="28" spans="1:14">
      <c r="A28" s="542" t="s">
        <v>200</v>
      </c>
      <c r="B28" s="543"/>
      <c r="C28" s="163"/>
      <c r="D28" s="130"/>
      <c r="E28" s="130"/>
      <c r="F28" s="130">
        <f>AN_VEH_HA+AN_VEH_LOA</f>
        <v>0</v>
      </c>
      <c r="G28" s="132"/>
      <c r="H28" s="132"/>
      <c r="I28" s="133"/>
      <c r="J28" s="141" t="s">
        <v>233</v>
      </c>
      <c r="K28" s="136"/>
      <c r="M28" s="128"/>
      <c r="N28" s="128"/>
    </row>
    <row r="29" spans="1:14">
      <c r="A29" s="542" t="s">
        <v>243</v>
      </c>
      <c r="B29" s="543"/>
      <c r="C29" s="163"/>
      <c r="D29" s="130"/>
      <c r="E29" s="130"/>
      <c r="F29" s="130">
        <f>AN_TECH+AN_ABO</f>
        <v>0</v>
      </c>
      <c r="G29" s="132"/>
      <c r="H29" s="132"/>
      <c r="I29" s="133"/>
      <c r="J29" s="140"/>
      <c r="K29" s="136"/>
      <c r="M29" s="128"/>
      <c r="N29" s="128"/>
    </row>
    <row r="30" spans="1:14">
      <c r="A30" s="538" t="s">
        <v>237</v>
      </c>
      <c r="B30" s="539"/>
      <c r="C30" s="129"/>
      <c r="D30" s="129"/>
      <c r="E30" s="129"/>
      <c r="F30" s="284">
        <f>'info bulletin'!C41</f>
        <v>0</v>
      </c>
      <c r="G30" s="132"/>
      <c r="H30" s="132"/>
      <c r="I30" s="133"/>
      <c r="J30" s="128"/>
      <c r="K30" s="136"/>
      <c r="M30" s="137"/>
      <c r="N30" s="128"/>
    </row>
    <row r="31" spans="1:14">
      <c r="A31" s="534" t="str">
        <f>"Retenue CP du "  &amp;TEXT('info bulletin'!C56,"jj/mm/aaaa") &amp; " au " &amp;TEXT('info bulletin'!C57,"jj/mm/aaaa")</f>
        <v>Retenue CP du 00/01/1900 au 00/01/1900</v>
      </c>
      <c r="B31" s="535"/>
      <c r="C31" s="163" t="s">
        <v>149</v>
      </c>
      <c r="D31" s="130">
        <f>-H_ABS_CP</f>
        <v>0</v>
      </c>
      <c r="E31" s="130"/>
      <c r="F31" s="130">
        <f>-ABS_CP</f>
        <v>0</v>
      </c>
      <c r="G31" s="132"/>
      <c r="H31" s="132"/>
      <c r="I31" s="133"/>
      <c r="J31" s="141" t="s">
        <v>226</v>
      </c>
      <c r="K31" s="136"/>
      <c r="M31" s="128"/>
      <c r="N31" s="128"/>
    </row>
    <row r="32" spans="1:14">
      <c r="A32" s="542" t="s">
        <v>84</v>
      </c>
      <c r="B32" s="543"/>
      <c r="C32" s="163" t="s">
        <v>150</v>
      </c>
      <c r="D32" s="130">
        <f>J_CP</f>
        <v>1</v>
      </c>
      <c r="E32" s="130"/>
      <c r="F32" s="130">
        <f>ICCP</f>
        <v>0</v>
      </c>
      <c r="G32" s="132"/>
      <c r="H32" s="132"/>
      <c r="I32" s="133"/>
      <c r="J32" s="141" t="s">
        <v>227</v>
      </c>
      <c r="K32" s="136"/>
      <c r="M32" s="137"/>
      <c r="N32" s="128"/>
    </row>
    <row r="33" spans="1:14">
      <c r="A33" s="542" t="s">
        <v>195</v>
      </c>
      <c r="B33" s="543"/>
      <c r="C33" s="163"/>
      <c r="D33" s="130"/>
      <c r="E33" s="130"/>
      <c r="F33" s="130">
        <f>CP!B18</f>
        <v>0</v>
      </c>
      <c r="G33" s="132"/>
      <c r="H33" s="132"/>
      <c r="I33" s="133"/>
      <c r="J33" s="299" t="s">
        <v>372</v>
      </c>
      <c r="K33" s="136"/>
      <c r="M33" s="137"/>
      <c r="N33" s="128"/>
    </row>
    <row r="34" spans="1:14">
      <c r="A34" s="542" t="s">
        <v>196</v>
      </c>
      <c r="B34" s="543"/>
      <c r="C34" s="163" t="s">
        <v>150</v>
      </c>
      <c r="D34" s="130">
        <f>CP!B19</f>
        <v>0</v>
      </c>
      <c r="E34" s="130"/>
      <c r="F34" s="130">
        <f>SoldeICCPN1</f>
        <v>0</v>
      </c>
      <c r="G34" s="132"/>
      <c r="H34" s="132"/>
      <c r="I34" s="133"/>
      <c r="K34" s="136"/>
      <c r="L34" s="135"/>
      <c r="M34" s="137"/>
      <c r="N34" s="128"/>
    </row>
    <row r="35" spans="1:14">
      <c r="A35" s="542" t="s">
        <v>197</v>
      </c>
      <c r="B35" s="543"/>
      <c r="C35" s="163" t="s">
        <v>150</v>
      </c>
      <c r="D35" s="130">
        <f>CP!C23</f>
        <v>0</v>
      </c>
      <c r="E35" s="130"/>
      <c r="F35" s="130">
        <f>IF(SoldeICCPNR10&gt;SoldeICCPMaintien,SoldeICCPNR10,SoldeICCPMaintien)</f>
        <v>0</v>
      </c>
      <c r="G35" s="132"/>
      <c r="H35" s="132"/>
      <c r="I35" s="133"/>
      <c r="J35" s="135"/>
      <c r="K35" s="136"/>
      <c r="M35" s="137"/>
      <c r="N35" s="128"/>
    </row>
    <row r="36" spans="1:14">
      <c r="A36" s="572" t="s">
        <v>481</v>
      </c>
      <c r="B36" s="543"/>
      <c r="C36" s="336" t="s">
        <v>150</v>
      </c>
      <c r="D36" s="130"/>
      <c r="E36" s="130"/>
      <c r="F36" s="130">
        <f>ICCPFRACT</f>
        <v>0</v>
      </c>
      <c r="G36" s="132"/>
      <c r="H36" s="132"/>
      <c r="I36" s="133"/>
      <c r="J36" s="346"/>
      <c r="K36" s="136"/>
      <c r="M36" s="137"/>
      <c r="N36" s="128"/>
    </row>
    <row r="37" spans="1:14">
      <c r="A37" s="538" t="s">
        <v>241</v>
      </c>
      <c r="B37" s="539"/>
      <c r="C37" s="129"/>
      <c r="D37" s="131"/>
      <c r="E37" s="131"/>
      <c r="F37" s="131">
        <f>'info bulletin'!C44</f>
        <v>0</v>
      </c>
      <c r="G37" s="132"/>
      <c r="H37" s="132"/>
      <c r="I37" s="133"/>
    </row>
    <row r="38" spans="1:14">
      <c r="A38" s="573"/>
      <c r="B38" s="574"/>
      <c r="C38" s="499"/>
      <c r="D38" s="500"/>
      <c r="E38" s="500"/>
      <c r="F38" s="500"/>
      <c r="G38" s="132"/>
      <c r="H38" s="132"/>
      <c r="I38" s="133"/>
      <c r="J38" s="140"/>
      <c r="K38" s="136"/>
      <c r="M38" s="128"/>
      <c r="N38" s="128"/>
    </row>
    <row r="39" spans="1:14">
      <c r="A39" s="573"/>
      <c r="B39" s="574"/>
      <c r="C39" s="499"/>
      <c r="D39" s="500"/>
      <c r="E39" s="500"/>
      <c r="F39" s="500"/>
      <c r="G39" s="132"/>
      <c r="H39" s="132"/>
      <c r="I39" s="133"/>
      <c r="J39" s="140"/>
      <c r="K39" s="136"/>
      <c r="M39" s="128"/>
      <c r="N39" s="128"/>
    </row>
    <row r="40" spans="1:14">
      <c r="A40" s="573"/>
      <c r="B40" s="574"/>
      <c r="C40" s="499"/>
      <c r="D40" s="500"/>
      <c r="E40" s="500"/>
      <c r="F40" s="500"/>
      <c r="G40" s="132"/>
      <c r="H40" s="132"/>
      <c r="I40" s="133"/>
      <c r="J40" s="140"/>
      <c r="K40" s="136"/>
      <c r="M40" s="128"/>
      <c r="N40" s="128"/>
    </row>
    <row r="41" spans="1:14">
      <c r="A41" s="573"/>
      <c r="B41" s="574"/>
      <c r="C41" s="499"/>
      <c r="D41" s="500"/>
      <c r="E41" s="500"/>
      <c r="F41" s="500"/>
      <c r="G41" s="132"/>
      <c r="H41" s="132"/>
      <c r="I41" s="133"/>
      <c r="M41" s="128"/>
      <c r="N41" s="128"/>
    </row>
    <row r="42" spans="1:14" ht="15.75" thickBot="1">
      <c r="I42" s="133"/>
    </row>
    <row r="43" spans="1:14" ht="15.75" thickBot="1">
      <c r="A43" s="566" t="s">
        <v>9</v>
      </c>
      <c r="B43" s="567"/>
      <c r="C43" s="221" t="s">
        <v>149</v>
      </c>
      <c r="D43" s="158">
        <f ca="1">SUMIF(C17:D41,C43,D17:D41)</f>
        <v>0</v>
      </c>
      <c r="E43" s="257"/>
      <c r="F43" s="157">
        <f>ROUND(SUM(F16:F41),2)</f>
        <v>0</v>
      </c>
      <c r="G43" s="132"/>
      <c r="H43" s="132"/>
      <c r="I43" s="133"/>
    </row>
    <row r="44" spans="1:14" ht="15.75" thickBot="1">
      <c r="A44" s="568"/>
      <c r="B44" s="569"/>
      <c r="C44" s="256"/>
      <c r="D44" s="169"/>
      <c r="E44" s="169"/>
      <c r="F44" s="169"/>
      <c r="G44" s="143"/>
      <c r="H44" s="143"/>
      <c r="I44" s="144"/>
    </row>
    <row r="45" spans="1:14" s="146" customFormat="1" ht="15.75" thickBot="1">
      <c r="A45" s="564" t="s">
        <v>10</v>
      </c>
      <c r="B45" s="565"/>
      <c r="C45" s="263"/>
      <c r="D45" s="263" t="s">
        <v>24</v>
      </c>
      <c r="E45" s="264" t="s">
        <v>25</v>
      </c>
      <c r="F45" s="264" t="s">
        <v>26</v>
      </c>
      <c r="G45" s="264"/>
      <c r="H45" s="264" t="s">
        <v>27</v>
      </c>
      <c r="I45" s="265" t="s">
        <v>28</v>
      </c>
    </row>
    <row r="46" spans="1:14">
      <c r="A46" s="570" t="s">
        <v>11</v>
      </c>
      <c r="B46" s="571"/>
      <c r="C46" s="147"/>
      <c r="D46" s="148">
        <f>IF(SBRUT&gt;4*PSS,SBRUT+PPMUT+PPPREVDC,(SBRUT*98.25%)+PPMUT+PPPREVDC)</f>
        <v>0</v>
      </c>
      <c r="E46" s="233">
        <v>5.0999999999999997E-2</v>
      </c>
      <c r="F46" s="148">
        <f>E46*D46</f>
        <v>0</v>
      </c>
      <c r="G46" s="148"/>
      <c r="H46" s="237"/>
      <c r="I46" s="238"/>
    </row>
    <row r="47" spans="1:14" ht="15.75" thickBot="1">
      <c r="A47" s="579"/>
      <c r="B47" s="580"/>
      <c r="C47" s="142"/>
      <c r="D47" s="150"/>
      <c r="E47" s="150"/>
      <c r="F47" s="150"/>
      <c r="G47" s="150"/>
      <c r="H47" s="150"/>
      <c r="I47" s="151"/>
    </row>
    <row r="48" spans="1:14" s="146" customFormat="1" ht="15.75" thickBot="1">
      <c r="A48" s="564" t="s">
        <v>12</v>
      </c>
      <c r="B48" s="565"/>
      <c r="C48" s="263"/>
      <c r="D48" s="266" t="s">
        <v>24</v>
      </c>
      <c r="E48" s="267" t="s">
        <v>25</v>
      </c>
      <c r="F48" s="267" t="s">
        <v>26</v>
      </c>
      <c r="G48" s="267"/>
      <c r="H48" s="267" t="s">
        <v>27</v>
      </c>
      <c r="I48" s="268" t="s">
        <v>28</v>
      </c>
    </row>
    <row r="49" spans="1:9">
      <c r="A49" s="546" t="s">
        <v>13</v>
      </c>
      <c r="B49" s="547"/>
      <c r="C49" s="242"/>
      <c r="D49" s="243">
        <f>SBRUT</f>
        <v>0</v>
      </c>
      <c r="E49" s="244">
        <v>7.4999999999999997E-3</v>
      </c>
      <c r="F49" s="243">
        <f>D49*E49</f>
        <v>0</v>
      </c>
      <c r="G49" s="243"/>
      <c r="H49" s="244">
        <v>0.12889999999999999</v>
      </c>
      <c r="I49" s="245">
        <f>D49*H49</f>
        <v>0</v>
      </c>
    </row>
    <row r="50" spans="1:9">
      <c r="A50" s="550" t="s">
        <v>328</v>
      </c>
      <c r="B50" s="539"/>
      <c r="C50" s="129"/>
      <c r="D50" s="131">
        <f>IF(SBRUT&gt;PSS,PSS,SBRUT)</f>
        <v>0</v>
      </c>
      <c r="E50" s="234">
        <v>6.9000000000000006E-2</v>
      </c>
      <c r="F50" s="131">
        <f>+E50*D50</f>
        <v>0</v>
      </c>
      <c r="G50" s="131"/>
      <c r="H50" s="234">
        <v>8.5500000000000007E-2</v>
      </c>
      <c r="I50" s="149">
        <f>H50*D50</f>
        <v>0</v>
      </c>
    </row>
    <row r="51" spans="1:9">
      <c r="A51" s="538" t="s">
        <v>14</v>
      </c>
      <c r="B51" s="539"/>
      <c r="C51" s="129"/>
      <c r="D51" s="131">
        <f>SBRUT</f>
        <v>0</v>
      </c>
      <c r="E51" s="234">
        <v>4.0000000000000001E-3</v>
      </c>
      <c r="F51" s="131">
        <f>+E51*D51</f>
        <v>0</v>
      </c>
      <c r="G51" s="131"/>
      <c r="H51" s="234">
        <v>1.9E-2</v>
      </c>
      <c r="I51" s="149">
        <f>+H51*D51</f>
        <v>0</v>
      </c>
    </row>
    <row r="52" spans="1:9">
      <c r="A52" s="538" t="s">
        <v>15</v>
      </c>
      <c r="B52" s="539"/>
      <c r="C52" s="129"/>
      <c r="D52" s="131">
        <f>SBRUT</f>
        <v>0</v>
      </c>
      <c r="E52" s="239"/>
      <c r="F52" s="240"/>
      <c r="G52" s="131"/>
      <c r="H52" s="234">
        <f>IF(SBRUT&gt;=3.5*BASE_SMIC,5.25%,3.45%)</f>
        <v>5.2499999999999998E-2</v>
      </c>
      <c r="I52" s="149">
        <f>H52*D52</f>
        <v>0</v>
      </c>
    </row>
    <row r="53" spans="1:9">
      <c r="A53" s="538" t="s">
        <v>16</v>
      </c>
      <c r="B53" s="539"/>
      <c r="C53" s="129"/>
      <c r="D53" s="131">
        <f>SBRUT</f>
        <v>0</v>
      </c>
      <c r="E53" s="239"/>
      <c r="F53" s="240"/>
      <c r="G53" s="131"/>
      <c r="H53" s="241">
        <f>TAT</f>
        <v>2.3230000000000001E-2</v>
      </c>
      <c r="I53" s="149">
        <f>+H53*D53</f>
        <v>0</v>
      </c>
    </row>
    <row r="54" spans="1:9">
      <c r="A54" s="550" t="s">
        <v>339</v>
      </c>
      <c r="B54" s="539"/>
      <c r="C54" s="129"/>
      <c r="D54" s="131">
        <f>PPMUT+PPPREVDC</f>
        <v>0</v>
      </c>
      <c r="E54" s="239"/>
      <c r="F54" s="240"/>
      <c r="G54" s="131"/>
      <c r="H54" s="241">
        <v>0.08</v>
      </c>
      <c r="I54" s="149">
        <f>H54*D54</f>
        <v>0</v>
      </c>
    </row>
    <row r="55" spans="1:9">
      <c r="A55" s="538" t="s">
        <v>23</v>
      </c>
      <c r="B55" s="539"/>
      <c r="C55" s="129"/>
      <c r="D55" s="131">
        <f>SBRUT</f>
        <v>0</v>
      </c>
      <c r="E55" s="239"/>
      <c r="F55" s="240"/>
      <c r="G55" s="131"/>
      <c r="H55" s="241">
        <v>3.0000000000000001E-3</v>
      </c>
      <c r="I55" s="149">
        <f>H55*D55</f>
        <v>0</v>
      </c>
    </row>
    <row r="56" spans="1:9" ht="15.75" thickBot="1">
      <c r="A56" s="562"/>
      <c r="B56" s="563"/>
      <c r="C56" s="135"/>
      <c r="D56" s="153"/>
      <c r="E56" s="153"/>
      <c r="F56" s="153"/>
      <c r="G56" s="153"/>
      <c r="H56" s="153"/>
      <c r="I56" s="154"/>
    </row>
    <row r="57" spans="1:9" s="146" customFormat="1" ht="15.75" thickBot="1">
      <c r="A57" s="564" t="s">
        <v>17</v>
      </c>
      <c r="B57" s="565"/>
      <c r="C57" s="263"/>
      <c r="D57" s="266" t="s">
        <v>24</v>
      </c>
      <c r="E57" s="267" t="s">
        <v>25</v>
      </c>
      <c r="F57" s="267" t="s">
        <v>26</v>
      </c>
      <c r="G57" s="267"/>
      <c r="H57" s="267" t="s">
        <v>27</v>
      </c>
      <c r="I57" s="268" t="s">
        <v>28</v>
      </c>
    </row>
    <row r="58" spans="1:9">
      <c r="A58" s="546" t="s">
        <v>18</v>
      </c>
      <c r="B58" s="547"/>
      <c r="C58" s="242"/>
      <c r="D58" s="243">
        <f>IF(SBRUT&gt;4*PSS,4*PSS,SBRUT)</f>
        <v>0</v>
      </c>
      <c r="E58" s="244">
        <v>2.4E-2</v>
      </c>
      <c r="F58" s="243">
        <f>E58*D58</f>
        <v>0</v>
      </c>
      <c r="G58" s="243"/>
      <c r="H58" s="244">
        <f>TX_CHOM</f>
        <v>4.0500000000000001E-2</v>
      </c>
      <c r="I58" s="245">
        <f>H58*D58</f>
        <v>0</v>
      </c>
    </row>
    <row r="59" spans="1:9">
      <c r="A59" s="538" t="s">
        <v>19</v>
      </c>
      <c r="B59" s="539"/>
      <c r="C59" s="129"/>
      <c r="D59" s="131">
        <f>SBRUT</f>
        <v>0</v>
      </c>
      <c r="E59" s="239"/>
      <c r="F59" s="240"/>
      <c r="G59" s="131"/>
      <c r="H59" s="234">
        <v>1.5E-3</v>
      </c>
      <c r="I59" s="149">
        <f>H59*D59</f>
        <v>0</v>
      </c>
    </row>
    <row r="60" spans="1:9" ht="15.75" thickBot="1">
      <c r="A60" s="562"/>
      <c r="B60" s="563"/>
      <c r="C60" s="135"/>
      <c r="D60" s="153"/>
      <c r="E60" s="235"/>
      <c r="F60" s="153"/>
      <c r="G60" s="153"/>
      <c r="H60" s="235"/>
      <c r="I60" s="154"/>
    </row>
    <row r="61" spans="1:9" s="146" customFormat="1" ht="15.75" thickBot="1">
      <c r="A61" s="564" t="s">
        <v>20</v>
      </c>
      <c r="B61" s="565"/>
      <c r="C61" s="263"/>
      <c r="D61" s="266" t="s">
        <v>24</v>
      </c>
      <c r="E61" s="267" t="s">
        <v>25</v>
      </c>
      <c r="F61" s="267" t="s">
        <v>26</v>
      </c>
      <c r="G61" s="267"/>
      <c r="H61" s="267" t="s">
        <v>27</v>
      </c>
      <c r="I61" s="268" t="s">
        <v>28</v>
      </c>
    </row>
    <row r="62" spans="1:9">
      <c r="A62" s="581" t="s">
        <v>334</v>
      </c>
      <c r="B62" s="547"/>
      <c r="C62" s="242"/>
      <c r="D62" s="243">
        <f>IF(SBRUT&gt;PSS,PSS,SBRUT)</f>
        <v>0</v>
      </c>
      <c r="E62" s="244">
        <v>3.1E-2</v>
      </c>
      <c r="F62" s="243">
        <f>E62*D62</f>
        <v>0</v>
      </c>
      <c r="G62" s="243"/>
      <c r="H62" s="244">
        <v>4.65E-2</v>
      </c>
      <c r="I62" s="245">
        <f>H62*D62</f>
        <v>0</v>
      </c>
    </row>
    <row r="63" spans="1:9">
      <c r="A63" s="550" t="s">
        <v>336</v>
      </c>
      <c r="B63" s="539"/>
      <c r="C63" s="129"/>
      <c r="D63" s="131">
        <f>IF(SBRUT&gt;PSS,PSS,SBRUT)</f>
        <v>0</v>
      </c>
      <c r="E63" s="234">
        <v>8.0000000000000002E-3</v>
      </c>
      <c r="F63" s="131">
        <f>E63*D63</f>
        <v>0</v>
      </c>
      <c r="G63" s="131"/>
      <c r="H63" s="234">
        <v>1.2E-2</v>
      </c>
      <c r="I63" s="149">
        <f>H63*D63</f>
        <v>0</v>
      </c>
    </row>
    <row r="64" spans="1:9">
      <c r="A64" s="550" t="s">
        <v>333</v>
      </c>
      <c r="B64" s="539"/>
      <c r="C64" s="129"/>
      <c r="D64" s="131" t="str">
        <f>IF(SBRUT&gt;3*PSS,(3*PSS)-PSS,IF(SBRUT&gt;PSS,SBRUT-PSS,""))</f>
        <v/>
      </c>
      <c r="E64" s="234">
        <v>8.1000000000000003E-2</v>
      </c>
      <c r="F64" s="131">
        <f>IFERROR(E64*D64,0)</f>
        <v>0</v>
      </c>
      <c r="G64" s="131"/>
      <c r="H64" s="234">
        <v>0.1215</v>
      </c>
      <c r="I64" s="149">
        <f>IFERROR(H64*D64,0)</f>
        <v>0</v>
      </c>
    </row>
    <row r="65" spans="1:10">
      <c r="A65" s="550" t="s">
        <v>335</v>
      </c>
      <c r="B65" s="539"/>
      <c r="C65" s="129"/>
      <c r="D65" s="131" t="str">
        <f>IF(SBRUT&gt;3*PSS,(3*PSS)-PSS,IF(SBRUT&gt;PSS,SBRUT-PSS,""))</f>
        <v/>
      </c>
      <c r="E65" s="234">
        <v>8.9999999999999993E-3</v>
      </c>
      <c r="F65" s="131">
        <f>IFERROR(E65*D65,0)</f>
        <v>0</v>
      </c>
      <c r="G65" s="131"/>
      <c r="H65" s="234">
        <v>1.2999999999999999E-2</v>
      </c>
      <c r="I65" s="149">
        <f>IFERROR(H65*D65,0)</f>
        <v>0</v>
      </c>
    </row>
    <row r="66" spans="1:10">
      <c r="A66" s="550" t="s">
        <v>338</v>
      </c>
      <c r="B66" s="539"/>
      <c r="C66" s="129"/>
      <c r="D66" s="130">
        <f>MUTUELLE</f>
        <v>0</v>
      </c>
      <c r="E66" s="241">
        <f>PSAL_MUT</f>
        <v>0</v>
      </c>
      <c r="F66" s="131">
        <f>E66*D66</f>
        <v>0</v>
      </c>
      <c r="G66" s="131"/>
      <c r="H66" s="241">
        <f>IF(PSAL_MUT=0,0%,100%-PSAL_MUT)</f>
        <v>0</v>
      </c>
      <c r="I66" s="149">
        <f t="shared" ref="I66:I67" si="0">H66*D66</f>
        <v>0</v>
      </c>
    </row>
    <row r="67" spans="1:10">
      <c r="A67" s="550" t="s">
        <v>337</v>
      </c>
      <c r="B67" s="539"/>
      <c r="C67" s="129"/>
      <c r="D67" s="131">
        <f>IF(SBRUT&gt;PSS,PSS,SBRUT)</f>
        <v>0</v>
      </c>
      <c r="E67" s="241">
        <f>PSAL_PREV_DC</f>
        <v>0</v>
      </c>
      <c r="F67" s="131">
        <f t="shared" ref="F67" si="1">E67*D67</f>
        <v>0</v>
      </c>
      <c r="G67" s="131"/>
      <c r="H67" s="241">
        <f>PPAT_PREV_DC</f>
        <v>0</v>
      </c>
      <c r="I67" s="149">
        <f t="shared" si="0"/>
        <v>0</v>
      </c>
    </row>
    <row r="68" spans="1:10" ht="15.75" thickBot="1">
      <c r="A68" s="562"/>
      <c r="B68" s="563"/>
      <c r="C68" s="135"/>
      <c r="D68" s="153"/>
      <c r="E68" s="235"/>
      <c r="F68" s="153"/>
      <c r="G68" s="153"/>
      <c r="H68" s="235"/>
      <c r="I68" s="154"/>
    </row>
    <row r="69" spans="1:10" s="146" customFormat="1" ht="15.75" thickBot="1">
      <c r="A69" s="564" t="s">
        <v>21</v>
      </c>
      <c r="B69" s="565"/>
      <c r="C69" s="263"/>
      <c r="D69" s="266" t="s">
        <v>24</v>
      </c>
      <c r="E69" s="267" t="s">
        <v>25</v>
      </c>
      <c r="F69" s="267" t="s">
        <v>26</v>
      </c>
      <c r="G69" s="267"/>
      <c r="H69" s="267" t="s">
        <v>27</v>
      </c>
      <c r="I69" s="268" t="s">
        <v>28</v>
      </c>
    </row>
    <row r="70" spans="1:10">
      <c r="A70" s="546" t="s">
        <v>22</v>
      </c>
      <c r="B70" s="547"/>
      <c r="C70" s="242"/>
      <c r="D70" s="243">
        <f>IF(NBRE_SALARIES&gt;20,SBRUT,IF(SBRUT&gt;PSS,PSS,SBRUT))</f>
        <v>0</v>
      </c>
      <c r="E70" s="246"/>
      <c r="F70" s="247"/>
      <c r="G70" s="243"/>
      <c r="H70" s="244">
        <f>IF(NBRE_SALARIES&gt;20,0.5%,0.1%)</f>
        <v>1E-3</v>
      </c>
      <c r="I70" s="245">
        <f>H70*D70</f>
        <v>0</v>
      </c>
    </row>
    <row r="71" spans="1:10">
      <c r="A71" s="550" t="s">
        <v>340</v>
      </c>
      <c r="B71" s="539"/>
      <c r="C71" s="129"/>
      <c r="D71" s="131">
        <f>SBRUT</f>
        <v>0</v>
      </c>
      <c r="E71" s="240"/>
      <c r="F71" s="240"/>
      <c r="G71" s="131"/>
      <c r="H71" s="234">
        <v>1E-4</v>
      </c>
      <c r="I71" s="149">
        <f>H71*D71</f>
        <v>0</v>
      </c>
    </row>
    <row r="72" spans="1:10">
      <c r="A72" s="576" t="s">
        <v>341</v>
      </c>
      <c r="B72" s="577"/>
      <c r="C72" s="248"/>
      <c r="D72" s="160">
        <f>SBRUT</f>
        <v>0</v>
      </c>
      <c r="E72" s="250"/>
      <c r="F72" s="251"/>
      <c r="G72" s="160"/>
      <c r="H72" s="249">
        <v>1.6000000000000001E-4</v>
      </c>
      <c r="I72" s="156">
        <f t="shared" ref="I72:I79" si="2">H72*D72</f>
        <v>0</v>
      </c>
    </row>
    <row r="73" spans="1:10">
      <c r="A73" s="550" t="s">
        <v>352</v>
      </c>
      <c r="B73" s="551"/>
      <c r="C73" s="248"/>
      <c r="D73" s="160">
        <f>IF(SBRUT&gt;4*PSS,SBRUT+PPMUT+PPPREVDC,(SBRUT*98.25%)+PPMUT+PPPREVDC)</f>
        <v>0</v>
      </c>
      <c r="E73" s="272">
        <v>2.4E-2</v>
      </c>
      <c r="F73" s="159">
        <f>E73*D73</f>
        <v>0</v>
      </c>
      <c r="G73" s="160"/>
      <c r="H73" s="250"/>
      <c r="I73" s="273"/>
    </row>
    <row r="74" spans="1:10">
      <c r="A74" s="550" t="s">
        <v>353</v>
      </c>
      <c r="B74" s="551"/>
      <c r="C74" s="248"/>
      <c r="D74" s="160">
        <f>IF(SBRUT&gt;4*PSS,SBRUT+PPMUT+PPPREVDC,(SBRUT*98.25%)+PPMUT+PPPREVDC)</f>
        <v>0</v>
      </c>
      <c r="E74" s="272">
        <v>5.0000000000000001E-3</v>
      </c>
      <c r="F74" s="159">
        <f>E74*D74</f>
        <v>0</v>
      </c>
      <c r="G74" s="160"/>
      <c r="H74" s="250"/>
      <c r="I74" s="273"/>
    </row>
    <row r="75" spans="1:10">
      <c r="A75" s="550" t="s">
        <v>342</v>
      </c>
      <c r="B75" s="539"/>
      <c r="C75" s="129"/>
      <c r="D75" s="131" t="str">
        <f>IF(NBRE_SALARIES&gt;11,SBRUT,"")</f>
        <v/>
      </c>
      <c r="E75" s="239"/>
      <c r="F75" s="240"/>
      <c r="G75" s="131"/>
      <c r="H75" s="241">
        <f>COT_TR</f>
        <v>0</v>
      </c>
      <c r="I75" s="149">
        <f>IFERROR(H75*D75,0)</f>
        <v>0</v>
      </c>
    </row>
    <row r="76" spans="1:10">
      <c r="A76" s="550" t="s">
        <v>345</v>
      </c>
      <c r="B76" s="539"/>
      <c r="C76" s="129"/>
      <c r="D76" s="131" t="str">
        <f>IF(NBRE_SALARIES&gt;=20,SBRUT,"")</f>
        <v/>
      </c>
      <c r="E76" s="239"/>
      <c r="F76" s="240"/>
      <c r="G76" s="131"/>
      <c r="H76" s="241">
        <v>4.4999999999999997E-3</v>
      </c>
      <c r="I76" s="149">
        <f>IFERROR(H76*D76,0)</f>
        <v>0</v>
      </c>
    </row>
    <row r="77" spans="1:10">
      <c r="A77" s="550" t="s">
        <v>346</v>
      </c>
      <c r="B77" s="539"/>
      <c r="C77" s="254" t="s">
        <v>347</v>
      </c>
      <c r="D77" s="131" t="str">
        <f>IF(C77="TVA","",SBRUT)</f>
        <v/>
      </c>
      <c r="E77" s="239"/>
      <c r="F77" s="240"/>
      <c r="G77" s="131"/>
      <c r="H77" s="234">
        <v>4.2500000000000003E-2</v>
      </c>
      <c r="I77" s="149">
        <f>IFERROR(H77*D77,0)</f>
        <v>0</v>
      </c>
      <c r="J77" s="255" t="s">
        <v>348</v>
      </c>
    </row>
    <row r="78" spans="1:10">
      <c r="A78" s="550" t="s">
        <v>349</v>
      </c>
      <c r="B78" s="539"/>
      <c r="C78" s="129"/>
      <c r="D78" s="131">
        <f>SBRUT</f>
        <v>0</v>
      </c>
      <c r="E78" s="239"/>
      <c r="F78" s="240"/>
      <c r="G78" s="131"/>
      <c r="H78" s="234">
        <v>6.7999999999999996E-3</v>
      </c>
      <c r="I78" s="149">
        <f t="shared" si="2"/>
        <v>0</v>
      </c>
    </row>
    <row r="79" spans="1:10">
      <c r="A79" s="550" t="s">
        <v>350</v>
      </c>
      <c r="B79" s="539"/>
      <c r="C79" s="129"/>
      <c r="D79" s="131">
        <f>SBRUT</f>
        <v>0</v>
      </c>
      <c r="E79" s="239"/>
      <c r="F79" s="240"/>
      <c r="G79" s="131"/>
      <c r="H79" s="234">
        <f>IF(NBRE_SALARIES&gt;=11,1%,0.55%)</f>
        <v>5.5000000000000005E-3</v>
      </c>
      <c r="I79" s="149">
        <f t="shared" si="2"/>
        <v>0</v>
      </c>
    </row>
    <row r="80" spans="1:10" ht="15.75" thickBot="1">
      <c r="A80" s="538"/>
      <c r="B80" s="539"/>
      <c r="C80" s="129"/>
      <c r="D80" s="131"/>
      <c r="E80" s="234"/>
      <c r="F80" s="131"/>
      <c r="G80" s="131"/>
      <c r="H80" s="234"/>
      <c r="I80" s="149"/>
    </row>
    <row r="81" spans="1:12" ht="15.75" thickBot="1">
      <c r="A81" s="155"/>
      <c r="B81" s="136"/>
      <c r="C81" s="136"/>
      <c r="D81" s="153"/>
      <c r="E81" s="274" t="s">
        <v>343</v>
      </c>
      <c r="F81" s="252">
        <f>SUM(F46:F80)</f>
        <v>0</v>
      </c>
      <c r="G81" s="153"/>
      <c r="H81" s="253" t="s">
        <v>344</v>
      </c>
      <c r="I81" s="252">
        <f>SUM(I46:I80)</f>
        <v>0</v>
      </c>
    </row>
    <row r="82" spans="1:12" ht="15.75" thickBot="1">
      <c r="A82" s="155"/>
      <c r="B82" s="276"/>
      <c r="C82" s="277"/>
      <c r="D82" s="560" t="s">
        <v>354</v>
      </c>
      <c r="E82" s="575"/>
      <c r="F82" s="158">
        <f>SBRUT-totcotsal</f>
        <v>0</v>
      </c>
      <c r="G82" s="153"/>
      <c r="H82" s="275"/>
      <c r="I82" s="154"/>
    </row>
    <row r="83" spans="1:12">
      <c r="A83" s="155"/>
      <c r="B83" s="136"/>
      <c r="C83" s="136"/>
      <c r="D83" s="153"/>
      <c r="E83" s="153"/>
      <c r="F83" s="153"/>
      <c r="G83" s="153"/>
      <c r="H83" s="153"/>
      <c r="I83" s="154"/>
      <c r="L83" s="135"/>
    </row>
    <row r="84" spans="1:12">
      <c r="A84" s="538" t="s">
        <v>29</v>
      </c>
      <c r="B84" s="539"/>
      <c r="C84" s="129"/>
      <c r="D84" s="131"/>
      <c r="E84" s="131"/>
      <c r="F84" s="131"/>
      <c r="G84" s="131"/>
      <c r="H84" s="131"/>
      <c r="I84" s="149"/>
      <c r="J84" s="152"/>
    </row>
    <row r="85" spans="1:12">
      <c r="A85" s="542" t="s">
        <v>250</v>
      </c>
      <c r="B85" s="543"/>
      <c r="C85" s="163"/>
      <c r="D85" s="130"/>
      <c r="E85" s="130"/>
      <c r="F85" s="130">
        <f>-SAISIE!I15</f>
        <v>0</v>
      </c>
      <c r="G85" s="131"/>
      <c r="H85" s="131"/>
      <c r="I85" s="149"/>
      <c r="J85" s="219" t="s">
        <v>251</v>
      </c>
    </row>
    <row r="86" spans="1:12">
      <c r="A86" s="542" t="s">
        <v>157</v>
      </c>
      <c r="B86" s="543"/>
      <c r="C86" s="163"/>
      <c r="D86" s="130"/>
      <c r="E86" s="130"/>
      <c r="F86" s="130">
        <f>-TR_SAL</f>
        <v>0</v>
      </c>
      <c r="G86" s="131"/>
      <c r="H86" s="131"/>
      <c r="I86" s="149"/>
      <c r="J86" s="161" t="s">
        <v>230</v>
      </c>
    </row>
    <row r="87" spans="1:12">
      <c r="A87" s="542" t="s">
        <v>162</v>
      </c>
      <c r="B87" s="543"/>
      <c r="C87" s="163"/>
      <c r="D87" s="130"/>
      <c r="E87" s="130"/>
      <c r="F87" s="130">
        <f>-EF_SAL</f>
        <v>0</v>
      </c>
      <c r="G87" s="131"/>
      <c r="H87" s="131"/>
      <c r="I87" s="149"/>
      <c r="J87" s="161" t="s">
        <v>231</v>
      </c>
    </row>
    <row r="88" spans="1:12">
      <c r="A88" s="542" t="s">
        <v>151</v>
      </c>
      <c r="B88" s="543"/>
      <c r="C88" s="163"/>
      <c r="D88" s="130"/>
      <c r="E88" s="130"/>
      <c r="F88" s="130">
        <f>-AN_REPAS</f>
        <v>0</v>
      </c>
      <c r="G88" s="131"/>
      <c r="H88" s="131"/>
      <c r="I88" s="149"/>
      <c r="J88" s="162"/>
    </row>
    <row r="89" spans="1:12">
      <c r="A89" s="542" t="s">
        <v>179</v>
      </c>
      <c r="B89" s="543"/>
      <c r="C89" s="163"/>
      <c r="D89" s="130"/>
      <c r="E89" s="130"/>
      <c r="F89" s="130">
        <f>-F27</f>
        <v>0</v>
      </c>
      <c r="G89" s="131"/>
      <c r="H89" s="131"/>
      <c r="I89" s="149"/>
      <c r="J89" s="161" t="s">
        <v>232</v>
      </c>
    </row>
    <row r="90" spans="1:12">
      <c r="A90" s="542" t="s">
        <v>200</v>
      </c>
      <c r="B90" s="543"/>
      <c r="C90" s="163"/>
      <c r="D90" s="130"/>
      <c r="E90" s="130"/>
      <c r="F90" s="130">
        <f>-AN_VEH</f>
        <v>0</v>
      </c>
      <c r="G90" s="131"/>
      <c r="H90" s="131"/>
      <c r="I90" s="149"/>
      <c r="J90" s="161" t="s">
        <v>233</v>
      </c>
    </row>
    <row r="91" spans="1:12">
      <c r="A91" s="542" t="s">
        <v>243</v>
      </c>
      <c r="B91" s="543"/>
      <c r="C91" s="163"/>
      <c r="D91" s="130"/>
      <c r="E91" s="130"/>
      <c r="F91" s="130">
        <f>-AN_TECH_ABO</f>
        <v>0</v>
      </c>
      <c r="G91" s="131"/>
      <c r="H91" s="131"/>
      <c r="I91" s="149"/>
    </row>
    <row r="92" spans="1:12" ht="12.75" customHeight="1">
      <c r="A92" s="544" t="s">
        <v>264</v>
      </c>
      <c r="B92" s="545"/>
      <c r="C92" s="163"/>
      <c r="D92" s="501"/>
      <c r="E92" s="501"/>
      <c r="F92" s="502">
        <f>E92*D92</f>
        <v>0</v>
      </c>
      <c r="G92" s="131"/>
      <c r="H92" s="131"/>
      <c r="I92" s="149"/>
      <c r="J92" s="161"/>
    </row>
    <row r="93" spans="1:12" ht="12.75" customHeight="1">
      <c r="A93" s="544" t="s">
        <v>325</v>
      </c>
      <c r="B93" s="545"/>
      <c r="C93" s="163"/>
      <c r="D93" s="501"/>
      <c r="E93" s="501"/>
      <c r="F93" s="502">
        <v>0</v>
      </c>
      <c r="G93" s="131"/>
      <c r="H93" s="131"/>
      <c r="I93" s="149"/>
      <c r="J93" s="161"/>
    </row>
    <row r="94" spans="1:12" ht="12.75" customHeight="1">
      <c r="A94" s="542" t="s">
        <v>270</v>
      </c>
      <c r="B94" s="543"/>
      <c r="C94" s="163"/>
      <c r="D94" s="163"/>
      <c r="E94" s="164"/>
      <c r="F94" s="165">
        <f>ABO_TR</f>
        <v>0</v>
      </c>
      <c r="G94" s="131"/>
      <c r="H94" s="131"/>
      <c r="I94" s="149"/>
      <c r="J94" s="161"/>
    </row>
    <row r="95" spans="1:12">
      <c r="A95" s="542" t="s">
        <v>252</v>
      </c>
      <c r="B95" s="543"/>
      <c r="C95" s="163"/>
      <c r="D95" s="130"/>
      <c r="E95" s="130"/>
      <c r="F95" s="130">
        <f>IF('info bulletin'!C36="OUI",-SNAR*10/100,0)</f>
        <v>0</v>
      </c>
      <c r="G95" s="131"/>
      <c r="H95" s="131"/>
      <c r="I95" s="149"/>
    </row>
    <row r="96" spans="1:12">
      <c r="A96" s="542" t="s">
        <v>188</v>
      </c>
      <c r="B96" s="543"/>
      <c r="C96" s="163"/>
      <c r="D96" s="130"/>
      <c r="E96" s="130"/>
      <c r="F96" s="130">
        <f>-ACOMPTE</f>
        <v>0</v>
      </c>
      <c r="G96" s="131"/>
      <c r="H96" s="131"/>
      <c r="I96" s="149"/>
      <c r="J96" s="135"/>
    </row>
    <row r="97" spans="1:10" ht="15.75" thickBot="1">
      <c r="A97" s="542"/>
      <c r="B97" s="543"/>
      <c r="C97" s="163"/>
      <c r="D97" s="130"/>
      <c r="E97" s="130"/>
      <c r="F97" s="130"/>
      <c r="G97" s="131"/>
      <c r="H97" s="131"/>
      <c r="I97" s="149"/>
      <c r="J97" s="135"/>
    </row>
    <row r="98" spans="1:10" ht="15.75" thickBot="1">
      <c r="A98" s="548"/>
      <c r="B98" s="549"/>
      <c r="C98" s="167"/>
      <c r="D98" s="167"/>
      <c r="E98" s="271" t="s">
        <v>351</v>
      </c>
      <c r="F98" s="252">
        <f>SUM(F84:F97)</f>
        <v>0</v>
      </c>
      <c r="G98" s="167"/>
      <c r="H98" s="167"/>
      <c r="I98" s="166"/>
      <c r="J98" s="135"/>
    </row>
    <row r="99" spans="1:10" ht="15.75" thickBot="1">
      <c r="A99" s="269"/>
      <c r="B99" s="270"/>
      <c r="C99" s="136"/>
      <c r="D99" s="136"/>
      <c r="E99" s="136"/>
      <c r="F99" s="136"/>
      <c r="G99" s="136"/>
      <c r="H99" s="136"/>
      <c r="I99" s="154"/>
      <c r="J99" s="220"/>
    </row>
    <row r="100" spans="1:10" ht="15.75" thickBot="1">
      <c r="A100" s="155"/>
      <c r="B100" s="136"/>
      <c r="C100" s="560" t="s">
        <v>355</v>
      </c>
      <c r="D100" s="561"/>
      <c r="E100" s="557"/>
      <c r="F100" s="158">
        <f>SNAR+TOTRET</f>
        <v>0</v>
      </c>
      <c r="G100" s="153"/>
      <c r="H100" s="157" t="s">
        <v>30</v>
      </c>
      <c r="I100" s="158">
        <f>totcotpat</f>
        <v>0</v>
      </c>
    </row>
    <row r="101" spans="1:10">
      <c r="A101" s="155"/>
      <c r="B101" s="136"/>
      <c r="C101" s="136"/>
      <c r="D101" s="153"/>
      <c r="E101" s="153"/>
      <c r="F101" s="153"/>
      <c r="G101" s="153"/>
      <c r="H101" s="153"/>
      <c r="I101" s="154"/>
    </row>
    <row r="102" spans="1:10" ht="15.75" thickBot="1">
      <c r="A102" s="155"/>
      <c r="B102" s="136"/>
      <c r="C102" s="136"/>
      <c r="D102" s="153"/>
      <c r="E102" s="153"/>
      <c r="F102" s="153"/>
      <c r="G102" s="153"/>
      <c r="H102" s="153"/>
      <c r="I102" s="154"/>
    </row>
    <row r="103" spans="1:10" ht="15.75" thickBot="1">
      <c r="A103" s="155"/>
      <c r="B103" s="136"/>
      <c r="C103" s="136"/>
      <c r="D103" s="153"/>
      <c r="E103" s="153"/>
      <c r="F103" s="153"/>
      <c r="G103" s="153"/>
      <c r="H103" s="556" t="s">
        <v>31</v>
      </c>
      <c r="I103" s="557"/>
    </row>
    <row r="104" spans="1:10" ht="15.75" thickBot="1">
      <c r="A104" s="168"/>
      <c r="B104" s="169"/>
      <c r="C104" s="169"/>
      <c r="D104" s="170"/>
      <c r="E104" s="170"/>
      <c r="F104" s="170"/>
      <c r="G104" s="170"/>
      <c r="H104" s="558">
        <f>NAP</f>
        <v>0</v>
      </c>
      <c r="I104" s="559"/>
    </row>
    <row r="105" spans="1:10" ht="15.75" thickBot="1">
      <c r="A105" s="552" t="s">
        <v>32</v>
      </c>
      <c r="B105" s="553"/>
      <c r="C105" s="145"/>
      <c r="D105" s="171"/>
      <c r="E105" s="171"/>
      <c r="F105" s="171"/>
      <c r="G105" s="171"/>
      <c r="H105" s="171"/>
      <c r="I105" s="172"/>
    </row>
    <row r="106" spans="1:10">
      <c r="A106" s="155"/>
      <c r="B106" s="136"/>
      <c r="C106" s="136"/>
      <c r="D106" s="136"/>
      <c r="E106" s="136"/>
      <c r="F106" s="136"/>
      <c r="G106" s="136"/>
      <c r="H106" s="136"/>
      <c r="I106" s="173"/>
    </row>
    <row r="107" spans="1:10">
      <c r="A107" s="155"/>
      <c r="B107" s="136"/>
      <c r="C107" s="136"/>
      <c r="D107" s="136"/>
      <c r="E107" s="136"/>
      <c r="F107" s="136"/>
      <c r="G107" s="136"/>
      <c r="H107" s="136"/>
      <c r="I107" s="173"/>
    </row>
    <row r="108" spans="1:10" ht="15.75" thickBot="1">
      <c r="A108" s="155"/>
      <c r="B108" s="136"/>
      <c r="C108" s="136"/>
      <c r="D108" s="136"/>
      <c r="E108" s="136"/>
      <c r="F108" s="136"/>
      <c r="G108" s="136"/>
      <c r="H108" s="136"/>
      <c r="I108" s="173"/>
    </row>
    <row r="109" spans="1:10" ht="15.75" thickBot="1">
      <c r="A109" s="552" t="s">
        <v>33</v>
      </c>
      <c r="B109" s="553"/>
      <c r="C109" s="145"/>
      <c r="D109" s="171"/>
      <c r="E109" s="171"/>
      <c r="F109" s="171"/>
      <c r="G109" s="171"/>
      <c r="H109" s="171"/>
      <c r="I109" s="172"/>
    </row>
    <row r="110" spans="1:10">
      <c r="A110" s="155"/>
      <c r="B110" s="136"/>
      <c r="C110" s="136"/>
      <c r="D110" s="136"/>
      <c r="E110" s="136"/>
      <c r="F110" s="136"/>
      <c r="G110" s="136"/>
      <c r="H110" s="136"/>
      <c r="I110" s="173"/>
    </row>
    <row r="111" spans="1:10">
      <c r="A111" s="155"/>
      <c r="B111" s="136"/>
      <c r="C111" s="136"/>
      <c r="D111" s="136"/>
      <c r="E111" s="136"/>
      <c r="F111" s="136"/>
      <c r="G111" s="136"/>
      <c r="H111" s="136"/>
      <c r="I111" s="173"/>
    </row>
    <row r="112" spans="1:10" ht="15.75" thickBot="1">
      <c r="A112" s="168"/>
      <c r="B112" s="169"/>
      <c r="C112" s="169"/>
      <c r="D112" s="169"/>
      <c r="E112" s="169"/>
      <c r="F112" s="169"/>
      <c r="G112" s="169"/>
      <c r="H112" s="169"/>
      <c r="I112" s="174"/>
    </row>
    <row r="113" spans="1:9">
      <c r="A113" s="113" t="s">
        <v>35</v>
      </c>
      <c r="G113" s="554" t="s">
        <v>37</v>
      </c>
      <c r="H113" s="555"/>
      <c r="I113" s="280" t="s">
        <v>36</v>
      </c>
    </row>
    <row r="114" spans="1:9" ht="15.75" thickBot="1">
      <c r="A114" s="113" t="s">
        <v>34</v>
      </c>
      <c r="G114" s="281"/>
      <c r="H114" s="278">
        <f>NAP</f>
        <v>0</v>
      </c>
      <c r="I114" s="279">
        <f>NAP+F73+F74+PPPREVDC-F96-F95</f>
        <v>0</v>
      </c>
    </row>
  </sheetData>
  <mergeCells count="88">
    <mergeCell ref="A1:B2"/>
    <mergeCell ref="A80:B80"/>
    <mergeCell ref="A55:B55"/>
    <mergeCell ref="A65:B65"/>
    <mergeCell ref="A31:B31"/>
    <mergeCell ref="A21:B21"/>
    <mergeCell ref="A66:B66"/>
    <mergeCell ref="A67:B67"/>
    <mergeCell ref="A77:B77"/>
    <mergeCell ref="A27:B27"/>
    <mergeCell ref="A38:B38"/>
    <mergeCell ref="A41:B41"/>
    <mergeCell ref="A47:B47"/>
    <mergeCell ref="A20:B20"/>
    <mergeCell ref="A61:B61"/>
    <mergeCell ref="A62:B62"/>
    <mergeCell ref="A50:B50"/>
    <mergeCell ref="A29:B29"/>
    <mergeCell ref="A59:B59"/>
    <mergeCell ref="D82:E82"/>
    <mergeCell ref="A63:B63"/>
    <mergeCell ref="A64:B64"/>
    <mergeCell ref="A68:B68"/>
    <mergeCell ref="A69:B69"/>
    <mergeCell ref="A70:B70"/>
    <mergeCell ref="A79:B79"/>
    <mergeCell ref="A72:B72"/>
    <mergeCell ref="A75:B75"/>
    <mergeCell ref="A76:B76"/>
    <mergeCell ref="A74:B74"/>
    <mergeCell ref="A60:B60"/>
    <mergeCell ref="A53:B53"/>
    <mergeCell ref="A28:B28"/>
    <mergeCell ref="A56:B56"/>
    <mergeCell ref="A57:B57"/>
    <mergeCell ref="A51:B51"/>
    <mergeCell ref="A43:B43"/>
    <mergeCell ref="A44:B44"/>
    <mergeCell ref="A45:B45"/>
    <mergeCell ref="A46:B46"/>
    <mergeCell ref="A54:B54"/>
    <mergeCell ref="A52:B52"/>
    <mergeCell ref="A36:B36"/>
    <mergeCell ref="A39:B39"/>
    <mergeCell ref="A40:B40"/>
    <mergeCell ref="A48:B48"/>
    <mergeCell ref="A49:B49"/>
    <mergeCell ref="A109:B109"/>
    <mergeCell ref="G113:H113"/>
    <mergeCell ref="H103:I103"/>
    <mergeCell ref="H104:I104"/>
    <mergeCell ref="A96:B96"/>
    <mergeCell ref="A97:B97"/>
    <mergeCell ref="A105:B105"/>
    <mergeCell ref="C100:E100"/>
    <mergeCell ref="A94:B94"/>
    <mergeCell ref="A98:B98"/>
    <mergeCell ref="A71:B71"/>
    <mergeCell ref="A73:B73"/>
    <mergeCell ref="A78:B78"/>
    <mergeCell ref="A89:B89"/>
    <mergeCell ref="A88:B88"/>
    <mergeCell ref="A86:B86"/>
    <mergeCell ref="A85:B85"/>
    <mergeCell ref="A90:B90"/>
    <mergeCell ref="A84:B84"/>
    <mergeCell ref="A87:B87"/>
    <mergeCell ref="A22:B22"/>
    <mergeCell ref="A95:B95"/>
    <mergeCell ref="A92:B92"/>
    <mergeCell ref="A93:B93"/>
    <mergeCell ref="A91:B91"/>
    <mergeCell ref="A30:B30"/>
    <mergeCell ref="A23:B23"/>
    <mergeCell ref="A32:B32"/>
    <mergeCell ref="A26:B26"/>
    <mergeCell ref="A24:B24"/>
    <mergeCell ref="A25:B25"/>
    <mergeCell ref="A33:B33"/>
    <mergeCell ref="A34:B34"/>
    <mergeCell ref="A35:B35"/>
    <mergeCell ref="A37:B37"/>
    <mergeCell ref="A58:B58"/>
    <mergeCell ref="A19:B19"/>
    <mergeCell ref="A15:B15"/>
    <mergeCell ref="A17:B17"/>
    <mergeCell ref="A18:B18"/>
    <mergeCell ref="A16:B16"/>
  </mergeCells>
  <hyperlinks>
    <hyperlink ref="J31" location="ABS" display="ABS"/>
    <hyperlink ref="J32" location="CP" display="CP"/>
    <hyperlink ref="J86" location="ANTR" display="ANTR"/>
    <hyperlink ref="J87" location="ANREPAS" display="ANREPAS"/>
    <hyperlink ref="J89" location="ANLOGEMENT" display="ANLOGEMENT"/>
    <hyperlink ref="J90" location="ANVEHICULE" display="ANVEHICULE"/>
    <hyperlink ref="J26" location="ANTR" display="ANTR"/>
    <hyperlink ref="J27" location="ANLOGEMENT" display="ANLOGEMENT"/>
    <hyperlink ref="J28" location="ANVEHICULE" display="ANVEHICULE"/>
    <hyperlink ref="J24" location="HS" display="HS"/>
    <hyperlink ref="J85" location="SAISIE" display="SAISIE"/>
    <hyperlink ref="J19" location="ABS_NR" display="ABS_NR"/>
  </hyperlinks>
  <printOptions horizontalCentered="1" verticalCentered="1"/>
  <pageMargins left="0.23622047244094491" right="0.23622047244094491" top="0.74803149606299213" bottom="0.74803149606299213" header="0.31496062992125984" footer="0.31496062992125984"/>
  <pageSetup paperSize="9" scale="47" fitToWidth="0" orientation="portrait" r:id="rId1"/>
  <headerFooter>
    <oddFooter>&amp;LMORALES Sandrine&amp;RGestionnaire de paie 2 
&amp;D</oddFooter>
  </headerFooter>
  <ignoredErrors>
    <ignoredError sqref="I52:I53 I51 I75" formula="1"/>
  </ignoredErrors>
  <legacyDrawing r:id="rId2"/>
</worksheet>
</file>

<file path=xl/worksheets/sheet4.xml><?xml version="1.0" encoding="utf-8"?>
<worksheet xmlns="http://schemas.openxmlformats.org/spreadsheetml/2006/main" xmlns:r="http://schemas.openxmlformats.org/officeDocument/2006/relationships">
  <sheetPr codeName="Feuil3">
    <pageSetUpPr fitToPage="1"/>
  </sheetPr>
  <dimension ref="A1:I52"/>
  <sheetViews>
    <sheetView workbookViewId="0">
      <pane ySplit="15" topLeftCell="A16" activePane="bottomLeft" state="frozen"/>
      <selection pane="bottomLeft" activeCell="C52" sqref="C52:F52"/>
    </sheetView>
  </sheetViews>
  <sheetFormatPr defaultColWidth="11.42578125" defaultRowHeight="15"/>
  <cols>
    <col min="1" max="1" width="30.7109375" customWidth="1"/>
    <col min="2" max="2" width="17.28515625" customWidth="1"/>
    <col min="3" max="3" width="2.5703125" customWidth="1"/>
    <col min="4" max="4" width="14.85546875" customWidth="1"/>
    <col min="5" max="5" width="22.5703125" customWidth="1"/>
    <col min="6" max="6" width="17" customWidth="1"/>
    <col min="7" max="8" width="16.5703125" customWidth="1"/>
  </cols>
  <sheetData>
    <row r="1" spans="1:9">
      <c r="A1" s="582" t="s">
        <v>0</v>
      </c>
      <c r="B1" s="582"/>
      <c r="C1" s="316"/>
      <c r="D1" s="327" t="s">
        <v>38</v>
      </c>
      <c r="E1" s="328"/>
      <c r="F1" s="328"/>
      <c r="G1" s="328"/>
      <c r="H1" s="328"/>
      <c r="I1" s="322"/>
    </row>
    <row r="2" spans="1:9">
      <c r="A2" s="582"/>
      <c r="B2" s="582"/>
      <c r="C2" s="316"/>
      <c r="D2" s="323"/>
      <c r="E2" s="329" t="s">
        <v>39</v>
      </c>
      <c r="F2" s="329" t="str">
        <f>'Modèle Non Cadre'!F2</f>
        <v/>
      </c>
      <c r="G2" s="329"/>
      <c r="H2" s="329"/>
      <c r="I2" s="324"/>
    </row>
    <row r="3" spans="1:9" ht="12" customHeight="1">
      <c r="A3" s="318"/>
      <c r="B3" s="318"/>
      <c r="C3" s="318"/>
      <c r="D3" s="323"/>
      <c r="E3" s="329" t="s">
        <v>40</v>
      </c>
      <c r="F3" s="329" t="str">
        <f>'Modèle Non Cadre'!F3</f>
        <v/>
      </c>
      <c r="G3" s="329"/>
      <c r="H3" s="329"/>
      <c r="I3" s="324"/>
    </row>
    <row r="4" spans="1:9" ht="12" customHeight="1">
      <c r="A4" s="320" t="s">
        <v>48</v>
      </c>
      <c r="B4" s="320">
        <f>'Modèle Non Cadre'!B4</f>
        <v>42736</v>
      </c>
      <c r="C4" s="318"/>
      <c r="D4" s="323"/>
      <c r="E4" s="329" t="s">
        <v>41</v>
      </c>
      <c r="F4" s="329" t="str">
        <f>'Modèle Non Cadre'!F4</f>
        <v/>
      </c>
      <c r="G4" s="329"/>
      <c r="H4" s="329"/>
      <c r="I4" s="324"/>
    </row>
    <row r="5" spans="1:9" ht="12" customHeight="1">
      <c r="A5" s="318"/>
      <c r="B5" s="318"/>
      <c r="C5" s="318"/>
      <c r="D5" s="323"/>
      <c r="E5" s="329" t="s">
        <v>42</v>
      </c>
      <c r="F5" s="329" t="str">
        <f>'Modèle Non Cadre'!F5</f>
        <v/>
      </c>
      <c r="G5" s="329" t="s">
        <v>43</v>
      </c>
      <c r="H5" s="332" t="str">
        <f>'Modèle Non Cadre'!H5</f>
        <v/>
      </c>
      <c r="I5" s="324"/>
    </row>
    <row r="6" spans="1:9" ht="12" customHeight="1">
      <c r="A6" s="321" t="s">
        <v>1</v>
      </c>
      <c r="B6" s="322" t="str">
        <f>'Modèle Non Cadre'!B7</f>
        <v/>
      </c>
      <c r="C6" s="318"/>
      <c r="D6" s="325"/>
      <c r="E6" s="334" t="s">
        <v>44</v>
      </c>
      <c r="F6" s="330" t="str">
        <f>'Modèle Non Cadre'!H6</f>
        <v/>
      </c>
      <c r="G6" s="330"/>
      <c r="H6" s="330"/>
      <c r="I6" s="326"/>
    </row>
    <row r="7" spans="1:9" ht="12" customHeight="1">
      <c r="A7" s="323" t="s">
        <v>2</v>
      </c>
      <c r="B7" s="324" t="str">
        <f>'Modèle Non Cadre'!B8</f>
        <v/>
      </c>
      <c r="C7" s="318"/>
      <c r="D7" s="318"/>
      <c r="E7" s="318"/>
      <c r="F7" s="318"/>
      <c r="G7" s="318"/>
      <c r="H7" s="318"/>
      <c r="I7" s="318"/>
    </row>
    <row r="8" spans="1:9" ht="12" customHeight="1">
      <c r="A8" s="323" t="s">
        <v>3</v>
      </c>
      <c r="B8" s="324" t="str">
        <f>'Modèle Non Cadre'!B9</f>
        <v/>
      </c>
      <c r="C8" s="317"/>
      <c r="D8" s="318"/>
      <c r="E8" s="318"/>
      <c r="F8" s="318"/>
      <c r="G8" s="318"/>
      <c r="H8" s="318"/>
      <c r="I8" s="318"/>
    </row>
    <row r="9" spans="1:9" ht="12" customHeight="1">
      <c r="A9" s="323" t="s">
        <v>4</v>
      </c>
      <c r="B9" s="324" t="str">
        <f>'Modèle Non Cadre'!B10</f>
        <v/>
      </c>
      <c r="C9" s="317"/>
      <c r="D9" s="327" t="s">
        <v>45</v>
      </c>
      <c r="E9" s="328"/>
      <c r="F9" s="328"/>
      <c r="G9" s="328"/>
      <c r="H9" s="328"/>
      <c r="I9" s="322"/>
    </row>
    <row r="10" spans="1:9" ht="12" customHeight="1">
      <c r="A10" s="323" t="s">
        <v>6</v>
      </c>
      <c r="B10" s="324" t="str">
        <f>'Modèle Non Cadre'!B11</f>
        <v/>
      </c>
      <c r="C10" s="317"/>
      <c r="D10" s="323"/>
      <c r="E10" s="329" t="s">
        <v>46</v>
      </c>
      <c r="F10" s="329" t="str">
        <f>'Modèle Non Cadre'!F10</f>
        <v/>
      </c>
      <c r="G10" s="329" t="str">
        <f>'Modèle Non Cadre'!H10</f>
        <v/>
      </c>
      <c r="H10" s="329"/>
      <c r="I10" s="324"/>
    </row>
    <row r="11" spans="1:9" ht="12" customHeight="1">
      <c r="A11" s="323" t="s">
        <v>5</v>
      </c>
      <c r="B11" s="331" t="str">
        <f>'Modèle Non Cadre'!B12</f>
        <v/>
      </c>
      <c r="C11" s="317"/>
      <c r="D11" s="323"/>
      <c r="E11" s="329" t="s">
        <v>40</v>
      </c>
      <c r="F11" s="329" t="str">
        <f>'Modèle Non Cadre'!F11</f>
        <v/>
      </c>
      <c r="G11" s="329"/>
      <c r="H11" s="329"/>
      <c r="I11" s="324"/>
    </row>
    <row r="12" spans="1:9" ht="12" customHeight="1">
      <c r="A12" s="325" t="s">
        <v>78</v>
      </c>
      <c r="B12" s="333">
        <f>PSS</f>
        <v>0</v>
      </c>
      <c r="C12" s="317"/>
      <c r="D12" s="323"/>
      <c r="E12" s="329" t="s">
        <v>47</v>
      </c>
      <c r="F12" s="329" t="str">
        <f>'Modèle Non Cadre'!F12</f>
        <v/>
      </c>
      <c r="G12" s="329" t="s">
        <v>369</v>
      </c>
      <c r="H12" s="329" t="str">
        <f>'Modèle Non Cadre'!I12</f>
        <v/>
      </c>
      <c r="I12" s="324"/>
    </row>
    <row r="13" spans="1:9" ht="12" customHeight="1">
      <c r="A13" s="319"/>
      <c r="B13" s="319"/>
      <c r="C13" s="317"/>
      <c r="D13" s="325"/>
      <c r="E13" s="330"/>
      <c r="F13" s="330"/>
      <c r="G13" s="330"/>
      <c r="H13" s="330"/>
      <c r="I13" s="326"/>
    </row>
    <row r="14" spans="1:9" ht="12" customHeight="1" thickBot="1">
      <c r="C14" s="20"/>
      <c r="D14" s="20"/>
      <c r="E14" s="20"/>
      <c r="F14" s="20"/>
      <c r="G14" s="20"/>
      <c r="H14" s="20"/>
      <c r="I14" s="20"/>
    </row>
    <row r="15" spans="1:9" ht="15.75" thickBot="1">
      <c r="A15" s="583" t="s">
        <v>49</v>
      </c>
      <c r="B15" s="584"/>
      <c r="C15" s="313"/>
      <c r="D15" s="313" t="s">
        <v>24</v>
      </c>
      <c r="E15" s="313" t="s">
        <v>50</v>
      </c>
      <c r="F15" s="313" t="s">
        <v>51</v>
      </c>
      <c r="G15" s="584" t="s">
        <v>52</v>
      </c>
      <c r="H15" s="584"/>
      <c r="I15" s="597"/>
    </row>
    <row r="16" spans="1:9">
      <c r="A16" s="2" t="s">
        <v>53</v>
      </c>
      <c r="B16" s="4"/>
      <c r="C16" s="2"/>
      <c r="D16" s="4"/>
      <c r="E16" s="5"/>
      <c r="F16" s="4"/>
      <c r="G16" s="2"/>
      <c r="H16" s="3"/>
      <c r="I16" s="4"/>
    </row>
    <row r="17" spans="1:9">
      <c r="A17" s="2"/>
      <c r="B17" s="4"/>
      <c r="C17" s="2"/>
      <c r="D17" s="4"/>
      <c r="E17" s="5"/>
      <c r="F17" s="4"/>
      <c r="G17" s="2"/>
      <c r="H17" s="3"/>
      <c r="I17" s="4"/>
    </row>
    <row r="18" spans="1:9">
      <c r="A18" s="2"/>
      <c r="B18" s="4"/>
      <c r="C18" s="2"/>
      <c r="D18" s="4"/>
      <c r="E18" s="5"/>
      <c r="F18" s="4"/>
      <c r="G18" s="2"/>
      <c r="H18" s="3"/>
      <c r="I18" s="4"/>
    </row>
    <row r="19" spans="1:9">
      <c r="A19" s="6"/>
      <c r="B19" s="4"/>
      <c r="C19" s="2"/>
      <c r="D19" s="4"/>
      <c r="E19" s="5"/>
      <c r="F19" s="4"/>
      <c r="G19" s="2"/>
      <c r="H19" s="3"/>
      <c r="I19" s="4"/>
    </row>
    <row r="20" spans="1:9" ht="6.75" customHeight="1"/>
    <row r="21" spans="1:9">
      <c r="A21" s="10" t="s">
        <v>54</v>
      </c>
      <c r="B21" s="11"/>
      <c r="C21" s="10"/>
      <c r="D21" s="11"/>
      <c r="E21" s="12"/>
      <c r="F21" s="12"/>
    </row>
    <row r="23" spans="1:9" s="1" customFormat="1">
      <c r="A23" s="314" t="s">
        <v>55</v>
      </c>
      <c r="B23" s="315"/>
      <c r="C23" s="585" t="s">
        <v>73</v>
      </c>
      <c r="D23" s="586"/>
      <c r="E23" s="586"/>
      <c r="F23" s="587"/>
      <c r="G23" s="585" t="s">
        <v>74</v>
      </c>
      <c r="H23" s="586"/>
      <c r="I23" s="587"/>
    </row>
    <row r="24" spans="1:9">
      <c r="A24" s="1" t="s">
        <v>68</v>
      </c>
      <c r="C24" s="7"/>
      <c r="D24" s="8"/>
      <c r="E24" s="8"/>
      <c r="F24" s="9"/>
      <c r="G24" s="7"/>
      <c r="H24" s="8"/>
      <c r="I24" s="9"/>
    </row>
    <row r="25" spans="1:9">
      <c r="A25" t="s">
        <v>56</v>
      </c>
      <c r="C25" s="7"/>
      <c r="D25" s="8"/>
      <c r="E25" s="8"/>
      <c r="F25" s="9"/>
      <c r="G25" s="7"/>
      <c r="H25" s="8"/>
      <c r="I25" s="9"/>
    </row>
    <row r="26" spans="1:9">
      <c r="A26" t="s">
        <v>57</v>
      </c>
      <c r="C26" s="7"/>
      <c r="D26" s="8"/>
      <c r="E26" s="8"/>
      <c r="F26" s="9"/>
      <c r="G26" s="7"/>
      <c r="H26" s="8"/>
      <c r="I26" s="9"/>
    </row>
    <row r="27" spans="1:9">
      <c r="A27" t="s">
        <v>58</v>
      </c>
      <c r="C27" s="7"/>
      <c r="D27" s="8"/>
      <c r="E27" s="8"/>
      <c r="F27" s="9"/>
      <c r="G27" s="7"/>
      <c r="H27" s="8"/>
      <c r="I27" s="9"/>
    </row>
    <row r="28" spans="1:9">
      <c r="C28" s="7"/>
      <c r="D28" s="8"/>
      <c r="E28" s="8"/>
      <c r="F28" s="9"/>
      <c r="G28" s="7"/>
      <c r="H28" s="8"/>
      <c r="I28" s="9"/>
    </row>
    <row r="29" spans="1:9">
      <c r="A29" s="1" t="s">
        <v>59</v>
      </c>
      <c r="C29" s="7"/>
      <c r="D29" s="8"/>
      <c r="E29" s="8"/>
      <c r="F29" s="9"/>
      <c r="G29" s="7"/>
      <c r="H29" s="8"/>
      <c r="I29" s="9"/>
    </row>
    <row r="30" spans="1:9">
      <c r="C30" s="7"/>
      <c r="D30" s="8"/>
      <c r="E30" s="8"/>
      <c r="F30" s="9"/>
      <c r="G30" s="7"/>
      <c r="H30" s="8"/>
      <c r="I30" s="9"/>
    </row>
    <row r="31" spans="1:9">
      <c r="A31" s="1" t="s">
        <v>60</v>
      </c>
      <c r="C31" s="7"/>
      <c r="D31" s="8"/>
      <c r="E31" s="8"/>
      <c r="F31" s="9"/>
      <c r="G31" s="7"/>
      <c r="H31" s="8"/>
      <c r="I31" s="9"/>
    </row>
    <row r="32" spans="1:9">
      <c r="A32" t="s">
        <v>56</v>
      </c>
      <c r="C32" s="7"/>
      <c r="D32" s="8"/>
      <c r="E32" s="8"/>
      <c r="F32" s="9"/>
      <c r="G32" s="7"/>
      <c r="H32" s="8"/>
      <c r="I32" s="9"/>
    </row>
    <row r="33" spans="1:9">
      <c r="A33" t="s">
        <v>61</v>
      </c>
      <c r="C33" s="7"/>
      <c r="D33" s="8"/>
      <c r="E33" s="8"/>
      <c r="F33" s="9"/>
      <c r="G33" s="7"/>
      <c r="H33" s="8"/>
      <c r="I33" s="9"/>
    </row>
    <row r="34" spans="1:9">
      <c r="A34" t="s">
        <v>62</v>
      </c>
      <c r="C34" s="7"/>
      <c r="D34" s="8"/>
      <c r="E34" s="8"/>
      <c r="F34" s="9"/>
      <c r="G34" s="7"/>
      <c r="H34" s="8"/>
      <c r="I34" s="9"/>
    </row>
    <row r="35" spans="1:9">
      <c r="C35" s="7"/>
      <c r="D35" s="8"/>
      <c r="E35" s="8"/>
      <c r="F35" s="9"/>
      <c r="G35" s="7"/>
      <c r="H35" s="8"/>
      <c r="I35" s="9"/>
    </row>
    <row r="36" spans="1:9">
      <c r="A36" s="1" t="s">
        <v>63</v>
      </c>
      <c r="C36" s="7"/>
      <c r="D36" s="8"/>
      <c r="E36" s="8"/>
      <c r="F36" s="9"/>
      <c r="G36" s="7"/>
      <c r="H36" s="8"/>
      <c r="I36" s="9"/>
    </row>
    <row r="37" spans="1:9">
      <c r="C37" s="7"/>
      <c r="D37" s="8"/>
      <c r="E37" s="8"/>
      <c r="F37" s="9"/>
      <c r="G37" s="7"/>
      <c r="H37" s="8"/>
      <c r="I37" s="9"/>
    </row>
    <row r="38" spans="1:9">
      <c r="A38" s="1" t="s">
        <v>64</v>
      </c>
      <c r="C38" s="7"/>
      <c r="D38" s="8"/>
      <c r="E38" s="8"/>
      <c r="F38" s="9"/>
      <c r="G38" s="7"/>
      <c r="H38" s="8"/>
      <c r="I38" s="9"/>
    </row>
    <row r="39" spans="1:9">
      <c r="A39" t="s">
        <v>65</v>
      </c>
      <c r="C39" s="7"/>
      <c r="D39" s="8"/>
      <c r="E39" s="8"/>
      <c r="F39" s="9"/>
      <c r="G39" s="7"/>
      <c r="H39" s="8"/>
      <c r="I39" s="9"/>
    </row>
    <row r="40" spans="1:9">
      <c r="C40" s="7"/>
      <c r="D40" s="8"/>
      <c r="E40" s="8"/>
      <c r="F40" s="9"/>
      <c r="G40" s="7"/>
      <c r="H40" s="8"/>
      <c r="I40" s="9"/>
    </row>
    <row r="41" spans="1:9">
      <c r="A41" t="s">
        <v>66</v>
      </c>
      <c r="C41" s="7"/>
      <c r="D41" s="8"/>
      <c r="E41" s="8"/>
      <c r="F41" s="9"/>
      <c r="G41" s="7"/>
      <c r="H41" s="8"/>
      <c r="I41" s="9"/>
    </row>
    <row r="42" spans="1:9">
      <c r="A42" t="s">
        <v>67</v>
      </c>
      <c r="C42" s="7"/>
      <c r="D42" s="8"/>
      <c r="E42" s="8"/>
      <c r="F42" s="9"/>
      <c r="G42" s="7"/>
      <c r="H42" s="8"/>
      <c r="I42" s="9"/>
    </row>
    <row r="43" spans="1:9">
      <c r="A43" t="s">
        <v>69</v>
      </c>
      <c r="C43" s="7"/>
      <c r="D43" s="8"/>
      <c r="E43" s="8"/>
      <c r="F43" s="9"/>
      <c r="G43" s="7"/>
      <c r="H43" s="8"/>
      <c r="I43" s="9"/>
    </row>
    <row r="44" spans="1:9">
      <c r="A44" t="s">
        <v>70</v>
      </c>
      <c r="C44" s="7"/>
      <c r="D44" s="8"/>
      <c r="E44" s="8"/>
      <c r="F44" s="9"/>
      <c r="G44" s="7"/>
      <c r="H44" s="8"/>
      <c r="I44" s="9"/>
    </row>
    <row r="45" spans="1:9">
      <c r="A45" t="s">
        <v>71</v>
      </c>
      <c r="C45" s="7"/>
      <c r="D45" s="8"/>
      <c r="E45" s="8"/>
      <c r="F45" s="9"/>
      <c r="G45" s="7"/>
      <c r="H45" s="8"/>
      <c r="I45" s="9"/>
    </row>
    <row r="46" spans="1:9">
      <c r="C46" s="7"/>
      <c r="D46" s="8"/>
      <c r="E46" s="8"/>
      <c r="F46" s="9"/>
      <c r="G46" s="7"/>
      <c r="H46" s="8"/>
      <c r="I46" s="9"/>
    </row>
    <row r="47" spans="1:9">
      <c r="A47" s="15" t="s">
        <v>72</v>
      </c>
      <c r="B47" s="14"/>
      <c r="C47" s="13"/>
      <c r="D47" s="14"/>
      <c r="E47" s="14"/>
      <c r="F47" s="16"/>
      <c r="G47" s="13"/>
      <c r="H47" s="14"/>
      <c r="I47" s="16"/>
    </row>
    <row r="48" spans="1:9" ht="9.75" customHeight="1"/>
    <row r="49" spans="3:9">
      <c r="C49" s="588" t="s">
        <v>75</v>
      </c>
      <c r="D49" s="589"/>
      <c r="E49" s="589"/>
      <c r="F49" s="589"/>
      <c r="G49" s="589"/>
      <c r="H49" s="589"/>
      <c r="I49" s="590"/>
    </row>
    <row r="50" spans="3:9">
      <c r="C50" s="594"/>
      <c r="D50" s="595"/>
      <c r="E50" s="595"/>
      <c r="F50" s="595"/>
      <c r="G50" s="595"/>
      <c r="H50" s="595"/>
      <c r="I50" s="596"/>
    </row>
    <row r="51" spans="3:9">
      <c r="C51" s="591" t="s">
        <v>76</v>
      </c>
      <c r="D51" s="592"/>
      <c r="E51" s="592"/>
      <c r="F51" s="593"/>
      <c r="G51" s="591" t="s">
        <v>77</v>
      </c>
      <c r="H51" s="592"/>
      <c r="I51" s="593"/>
    </row>
    <row r="52" spans="3:9">
      <c r="C52" s="594"/>
      <c r="D52" s="595"/>
      <c r="E52" s="595"/>
      <c r="F52" s="596"/>
      <c r="G52" s="594"/>
      <c r="H52" s="595"/>
      <c r="I52" s="596"/>
    </row>
  </sheetData>
  <mergeCells count="11">
    <mergeCell ref="C51:F51"/>
    <mergeCell ref="G51:I51"/>
    <mergeCell ref="C52:F52"/>
    <mergeCell ref="G52:I52"/>
    <mergeCell ref="G15:I15"/>
    <mergeCell ref="C50:I50"/>
    <mergeCell ref="A1:B2"/>
    <mergeCell ref="A15:B15"/>
    <mergeCell ref="C23:F23"/>
    <mergeCell ref="G23:I23"/>
    <mergeCell ref="C49:I49"/>
  </mergeCells>
  <pageMargins left="0.25" right="0.25" top="0.75" bottom="0.75" header="0.3" footer="0.3"/>
  <pageSetup paperSize="9" scale="83" orientation="portrait" r:id="rId1"/>
</worksheet>
</file>

<file path=xl/worksheets/sheet5.xml><?xml version="1.0" encoding="utf-8"?>
<worksheet xmlns="http://schemas.openxmlformats.org/spreadsheetml/2006/main" xmlns:r="http://schemas.openxmlformats.org/officeDocument/2006/relationships">
  <sheetPr codeName="Feuil4">
    <tabColor rgb="FFFF3300"/>
  </sheetPr>
  <dimension ref="A1:O61"/>
  <sheetViews>
    <sheetView workbookViewId="0">
      <selection activeCell="H4" sqref="H4"/>
    </sheetView>
  </sheetViews>
  <sheetFormatPr defaultColWidth="11.42578125" defaultRowHeight="15"/>
  <cols>
    <col min="1" max="9" width="11.42578125" style="446"/>
    <col min="10" max="10" width="12.5703125" style="446" customWidth="1"/>
    <col min="11" max="16384" width="11.42578125" style="446"/>
  </cols>
  <sheetData>
    <row r="1" spans="1:15" ht="37.5" customHeight="1" thickBot="1">
      <c r="A1" s="600" t="s">
        <v>118</v>
      </c>
      <c r="B1" s="601"/>
      <c r="C1" s="601"/>
      <c r="D1" s="601"/>
      <c r="E1" s="601"/>
      <c r="F1" s="601"/>
      <c r="G1" s="601"/>
      <c r="H1" s="601"/>
      <c r="I1" s="602"/>
      <c r="J1" s="444" t="s">
        <v>228</v>
      </c>
      <c r="K1" s="444" t="s">
        <v>370</v>
      </c>
      <c r="L1" s="445"/>
      <c r="M1" s="445"/>
      <c r="N1" s="445"/>
      <c r="O1" s="445"/>
    </row>
    <row r="2" spans="1:15" s="448" customFormat="1" ht="15.75" customHeight="1">
      <c r="A2" s="447"/>
      <c r="B2" s="447"/>
      <c r="C2" s="447"/>
      <c r="D2" s="447"/>
      <c r="E2" s="447"/>
      <c r="F2" s="447"/>
      <c r="G2" s="447"/>
      <c r="H2" s="447"/>
      <c r="I2" s="447"/>
      <c r="J2" s="444"/>
      <c r="K2" s="444"/>
      <c r="L2" s="445"/>
      <c r="M2" s="445"/>
      <c r="N2" s="445"/>
      <c r="O2" s="445"/>
    </row>
    <row r="3" spans="1:15" s="448" customFormat="1" ht="15.75" customHeight="1">
      <c r="A3" s="449" t="s">
        <v>384</v>
      </c>
      <c r="B3" s="447"/>
      <c r="C3" s="447"/>
      <c r="D3" s="450"/>
      <c r="E3" s="449" t="s">
        <v>387</v>
      </c>
      <c r="F3" s="447"/>
      <c r="G3" s="447"/>
      <c r="H3" s="447"/>
      <c r="I3" s="447"/>
      <c r="J3" s="444"/>
      <c r="K3" s="444"/>
      <c r="L3" s="445"/>
      <c r="M3" s="445"/>
      <c r="N3" s="445"/>
      <c r="O3" s="445"/>
    </row>
    <row r="4" spans="1:15" s="448" customFormat="1" ht="15.75" customHeight="1">
      <c r="A4" s="449" t="s">
        <v>385</v>
      </c>
      <c r="B4" s="447"/>
      <c r="C4" s="447"/>
      <c r="D4" s="450"/>
      <c r="E4" s="449" t="s">
        <v>387</v>
      </c>
      <c r="F4" s="447"/>
      <c r="G4" s="447"/>
      <c r="H4" s="447"/>
      <c r="I4" s="447"/>
      <c r="J4" s="444"/>
      <c r="K4" s="444"/>
      <c r="L4" s="445"/>
      <c r="M4" s="445"/>
      <c r="N4" s="445"/>
      <c r="O4" s="445"/>
    </row>
    <row r="5" spans="1:15" s="448" customFormat="1" ht="15.75" customHeight="1">
      <c r="A5" s="449" t="s">
        <v>386</v>
      </c>
      <c r="B5" s="447"/>
      <c r="C5" s="447"/>
      <c r="D5" s="450"/>
      <c r="E5" s="449" t="s">
        <v>387</v>
      </c>
      <c r="F5" s="447"/>
      <c r="G5" s="447"/>
      <c r="H5" s="447"/>
      <c r="I5" s="447"/>
      <c r="J5" s="444"/>
      <c r="K5" s="444"/>
      <c r="L5" s="445"/>
      <c r="M5" s="445"/>
      <c r="N5" s="445"/>
      <c r="O5" s="445"/>
    </row>
    <row r="6" spans="1:15" s="448" customFormat="1" ht="15.75" customHeight="1">
      <c r="A6" s="449"/>
      <c r="B6" s="447"/>
      <c r="C6" s="447"/>
      <c r="D6" s="447"/>
      <c r="E6" s="447"/>
      <c r="F6" s="447"/>
      <c r="G6" s="447"/>
      <c r="H6" s="447"/>
      <c r="I6" s="447"/>
      <c r="J6" s="444"/>
      <c r="K6" s="444"/>
      <c r="L6" s="445"/>
      <c r="M6" s="445"/>
      <c r="N6" s="445"/>
      <c r="O6" s="445"/>
    </row>
    <row r="7" spans="1:15" ht="15.75" thickBot="1">
      <c r="A7" s="451"/>
      <c r="B7" s="451" t="s">
        <v>208</v>
      </c>
      <c r="C7" s="451"/>
      <c r="D7" s="451"/>
      <c r="E7" s="451"/>
      <c r="F7" s="451"/>
      <c r="G7" s="451"/>
      <c r="H7" s="451"/>
    </row>
    <row r="8" spans="1:15" ht="15.75" thickBot="1">
      <c r="A8" s="451"/>
      <c r="B8" s="452" t="s">
        <v>209</v>
      </c>
      <c r="C8" s="453" t="s">
        <v>210</v>
      </c>
      <c r="D8" s="453" t="s">
        <v>211</v>
      </c>
      <c r="E8" s="454" t="s">
        <v>212</v>
      </c>
      <c r="F8" s="452" t="s">
        <v>209</v>
      </c>
      <c r="G8" s="453" t="s">
        <v>213</v>
      </c>
      <c r="H8" s="455" t="s">
        <v>214</v>
      </c>
      <c r="J8" s="446" t="s">
        <v>284</v>
      </c>
    </row>
    <row r="9" spans="1:15">
      <c r="A9" s="451">
        <v>1</v>
      </c>
      <c r="B9" s="456">
        <v>0.35416666666666669</v>
      </c>
      <c r="C9" s="457">
        <v>0.5</v>
      </c>
      <c r="D9" s="457">
        <v>0.58333333333333337</v>
      </c>
      <c r="E9" s="458">
        <v>0.70833333333333337</v>
      </c>
      <c r="F9" s="459">
        <f>C9-B9</f>
        <v>0.14583333333333331</v>
      </c>
      <c r="G9" s="460">
        <f>E9-D9</f>
        <v>0.125</v>
      </c>
      <c r="H9" s="461">
        <f>G9+F9</f>
        <v>0.27083333333333331</v>
      </c>
      <c r="J9" s="462">
        <v>1.4583333333333333</v>
      </c>
      <c r="K9" s="463"/>
      <c r="L9" s="463">
        <v>0.33333333333333331</v>
      </c>
      <c r="M9" s="463"/>
    </row>
    <row r="10" spans="1:15">
      <c r="A10" s="451">
        <v>2</v>
      </c>
      <c r="B10" s="464">
        <v>0.35416666666666669</v>
      </c>
      <c r="C10" s="465">
        <v>0.5</v>
      </c>
      <c r="D10" s="465">
        <v>0.58333333333333337</v>
      </c>
      <c r="E10" s="466">
        <v>0.6875</v>
      </c>
      <c r="F10" s="467">
        <f t="shared" ref="F10:F31" si="0">C10-B10</f>
        <v>0.14583333333333331</v>
      </c>
      <c r="G10" s="468">
        <f t="shared" ref="G10:G31" si="1">E10-D10</f>
        <v>0.10416666666666663</v>
      </c>
      <c r="H10" s="469">
        <f t="shared" ref="H10:H31" si="2">G10+F10</f>
        <v>0.24999999999999994</v>
      </c>
      <c r="J10" s="470" t="s">
        <v>260</v>
      </c>
      <c r="K10" s="471" t="s">
        <v>261</v>
      </c>
      <c r="L10" s="471" t="s">
        <v>262</v>
      </c>
      <c r="M10" s="472" t="s">
        <v>263</v>
      </c>
    </row>
    <row r="11" spans="1:15">
      <c r="A11" s="451">
        <v>3</v>
      </c>
      <c r="B11" s="464">
        <v>0.36458333333333331</v>
      </c>
      <c r="C11" s="465">
        <v>0.5</v>
      </c>
      <c r="D11" s="465">
        <v>0.58333333333333337</v>
      </c>
      <c r="E11" s="466">
        <v>0.75</v>
      </c>
      <c r="F11" s="467">
        <f t="shared" si="0"/>
        <v>0.13541666666666669</v>
      </c>
      <c r="G11" s="468">
        <f t="shared" si="1"/>
        <v>0.16666666666666663</v>
      </c>
      <c r="H11" s="469">
        <f t="shared" si="2"/>
        <v>0.30208333333333331</v>
      </c>
      <c r="J11" s="473">
        <v>1.875</v>
      </c>
      <c r="K11" s="474">
        <f>IF(J11="","",J11-$J$9)</f>
        <v>0.41666666666666674</v>
      </c>
      <c r="L11" s="474">
        <f>IF(J11="","",IF(K11&gt;L9,L9,K11))</f>
        <v>0.33333333333333331</v>
      </c>
      <c r="M11" s="475">
        <f>IF(J11="","",K11-L11)</f>
        <v>8.3333333333333426E-2</v>
      </c>
    </row>
    <row r="12" spans="1:15">
      <c r="A12" s="451">
        <v>4</v>
      </c>
      <c r="B12" s="464">
        <v>0.34375</v>
      </c>
      <c r="C12" s="465">
        <v>0.5</v>
      </c>
      <c r="D12" s="465">
        <v>0.58333333333333337</v>
      </c>
      <c r="E12" s="466">
        <v>0.73958333333333337</v>
      </c>
      <c r="F12" s="467">
        <f t="shared" si="0"/>
        <v>0.15625</v>
      </c>
      <c r="G12" s="468">
        <f t="shared" si="1"/>
        <v>0.15625</v>
      </c>
      <c r="H12" s="469">
        <f t="shared" si="2"/>
        <v>0.3125</v>
      </c>
      <c r="J12" s="476">
        <v>2</v>
      </c>
      <c r="K12" s="474">
        <f t="shared" ref="K12:K27" si="3">IF(J12="","",J12-$J$9)</f>
        <v>0.54166666666666674</v>
      </c>
      <c r="L12" s="474">
        <f t="shared" ref="L12:L27" si="4">IF(J12="","",IF(K12&gt;L10,L10,K12))</f>
        <v>0.54166666666666674</v>
      </c>
      <c r="M12" s="475">
        <f t="shared" ref="M12:M27" si="5">IF(J12="","",K12-L12)</f>
        <v>0</v>
      </c>
    </row>
    <row r="13" spans="1:15">
      <c r="A13" s="451">
        <v>5</v>
      </c>
      <c r="B13" s="464">
        <v>0.375</v>
      </c>
      <c r="C13" s="465">
        <v>0.5</v>
      </c>
      <c r="D13" s="465">
        <v>0.58333333333333337</v>
      </c>
      <c r="E13" s="466">
        <v>0.72916666666666663</v>
      </c>
      <c r="F13" s="467">
        <f t="shared" si="0"/>
        <v>0.125</v>
      </c>
      <c r="G13" s="468">
        <f t="shared" si="1"/>
        <v>0.14583333333333326</v>
      </c>
      <c r="H13" s="469">
        <f t="shared" si="2"/>
        <v>0.27083333333333326</v>
      </c>
      <c r="J13" s="476">
        <v>1.4583333333333333</v>
      </c>
      <c r="K13" s="474">
        <f>IF(J13="","",J13-$J$9)</f>
        <v>0</v>
      </c>
      <c r="L13" s="474">
        <f t="shared" si="4"/>
        <v>0</v>
      </c>
      <c r="M13" s="475">
        <f t="shared" si="5"/>
        <v>0</v>
      </c>
    </row>
    <row r="14" spans="1:15">
      <c r="A14" s="451">
        <v>6</v>
      </c>
      <c r="B14" s="464">
        <v>0.36458333333333331</v>
      </c>
      <c r="C14" s="465">
        <v>0.5</v>
      </c>
      <c r="D14" s="465">
        <v>0.58333333333333337</v>
      </c>
      <c r="E14" s="466">
        <v>0.71875</v>
      </c>
      <c r="F14" s="467">
        <f t="shared" si="0"/>
        <v>0.13541666666666669</v>
      </c>
      <c r="G14" s="468">
        <f t="shared" si="1"/>
        <v>0.13541666666666663</v>
      </c>
      <c r="H14" s="469">
        <f t="shared" si="2"/>
        <v>0.27083333333333331</v>
      </c>
      <c r="J14" s="476"/>
      <c r="K14" s="474" t="str">
        <f t="shared" si="3"/>
        <v/>
      </c>
      <c r="L14" s="474" t="str">
        <f t="shared" si="4"/>
        <v/>
      </c>
      <c r="M14" s="475" t="str">
        <f t="shared" si="5"/>
        <v/>
      </c>
    </row>
    <row r="15" spans="1:15">
      <c r="A15" s="451">
        <v>7</v>
      </c>
      <c r="B15" s="464">
        <v>0.34375</v>
      </c>
      <c r="C15" s="465">
        <v>0.5</v>
      </c>
      <c r="D15" s="465">
        <v>0.58333333333333337</v>
      </c>
      <c r="E15" s="466">
        <v>0.70833333333333337</v>
      </c>
      <c r="F15" s="467">
        <f t="shared" si="0"/>
        <v>0.15625</v>
      </c>
      <c r="G15" s="468">
        <f t="shared" si="1"/>
        <v>0.125</v>
      </c>
      <c r="H15" s="469">
        <f t="shared" si="2"/>
        <v>0.28125</v>
      </c>
      <c r="J15" s="476"/>
      <c r="K15" s="474" t="str">
        <f t="shared" si="3"/>
        <v/>
      </c>
      <c r="L15" s="474" t="str">
        <f t="shared" si="4"/>
        <v/>
      </c>
      <c r="M15" s="475" t="str">
        <f t="shared" si="5"/>
        <v/>
      </c>
    </row>
    <row r="16" spans="1:15">
      <c r="A16" s="451">
        <v>8</v>
      </c>
      <c r="B16" s="464">
        <v>0.32291666666666669</v>
      </c>
      <c r="C16" s="465">
        <v>0.5</v>
      </c>
      <c r="D16" s="465">
        <v>0.58333333333333337</v>
      </c>
      <c r="E16" s="466">
        <v>0.72916666666666663</v>
      </c>
      <c r="F16" s="467">
        <f t="shared" si="0"/>
        <v>0.17708333333333331</v>
      </c>
      <c r="G16" s="468">
        <f t="shared" si="1"/>
        <v>0.14583333333333326</v>
      </c>
      <c r="H16" s="469">
        <f t="shared" si="2"/>
        <v>0.32291666666666657</v>
      </c>
      <c r="J16" s="476"/>
      <c r="K16" s="474" t="str">
        <f t="shared" si="3"/>
        <v/>
      </c>
      <c r="L16" s="474" t="str">
        <f t="shared" si="4"/>
        <v/>
      </c>
      <c r="M16" s="475" t="str">
        <f t="shared" si="5"/>
        <v/>
      </c>
    </row>
    <row r="17" spans="1:13">
      <c r="A17" s="477">
        <v>9</v>
      </c>
      <c r="B17" s="464">
        <v>0.33333333333333331</v>
      </c>
      <c r="C17" s="465">
        <v>0.5</v>
      </c>
      <c r="D17" s="465">
        <v>0.58333333333333337</v>
      </c>
      <c r="E17" s="466">
        <v>0.70833333333333337</v>
      </c>
      <c r="F17" s="464">
        <f t="shared" si="0"/>
        <v>0.16666666666666669</v>
      </c>
      <c r="G17" s="466">
        <f t="shared" si="1"/>
        <v>0.125</v>
      </c>
      <c r="H17" s="478">
        <f t="shared" si="2"/>
        <v>0.29166666666666669</v>
      </c>
      <c r="J17" s="476"/>
      <c r="K17" s="474" t="str">
        <f t="shared" si="3"/>
        <v/>
      </c>
      <c r="L17" s="474" t="str">
        <f t="shared" si="4"/>
        <v/>
      </c>
      <c r="M17" s="475" t="str">
        <f t="shared" si="5"/>
        <v/>
      </c>
    </row>
    <row r="18" spans="1:13">
      <c r="A18" s="477">
        <v>10</v>
      </c>
      <c r="B18" s="464">
        <v>0.33333333333333331</v>
      </c>
      <c r="C18" s="465">
        <v>0.5</v>
      </c>
      <c r="D18" s="465">
        <v>0.58333333333333337</v>
      </c>
      <c r="E18" s="466">
        <v>0.70833333333333337</v>
      </c>
      <c r="F18" s="464">
        <f t="shared" si="0"/>
        <v>0.16666666666666669</v>
      </c>
      <c r="G18" s="466">
        <f t="shared" si="1"/>
        <v>0.125</v>
      </c>
      <c r="H18" s="478">
        <f t="shared" si="2"/>
        <v>0.29166666666666669</v>
      </c>
      <c r="J18" s="476"/>
      <c r="K18" s="474" t="str">
        <f t="shared" si="3"/>
        <v/>
      </c>
      <c r="L18" s="474" t="str">
        <f t="shared" si="4"/>
        <v/>
      </c>
      <c r="M18" s="475" t="str">
        <f t="shared" si="5"/>
        <v/>
      </c>
    </row>
    <row r="19" spans="1:13">
      <c r="A19" s="477">
        <v>11</v>
      </c>
      <c r="B19" s="464">
        <v>0.33333333333333331</v>
      </c>
      <c r="C19" s="465">
        <v>0.5</v>
      </c>
      <c r="D19" s="465">
        <v>0.58333333333333337</v>
      </c>
      <c r="E19" s="466">
        <v>0.70833333333333337</v>
      </c>
      <c r="F19" s="464">
        <f t="shared" si="0"/>
        <v>0.16666666666666669</v>
      </c>
      <c r="G19" s="466">
        <f t="shared" si="1"/>
        <v>0.125</v>
      </c>
      <c r="H19" s="478">
        <f t="shared" si="2"/>
        <v>0.29166666666666669</v>
      </c>
      <c r="J19" s="476"/>
      <c r="K19" s="474" t="str">
        <f t="shared" si="3"/>
        <v/>
      </c>
      <c r="L19" s="474" t="str">
        <f t="shared" si="4"/>
        <v/>
      </c>
      <c r="M19" s="475" t="str">
        <f t="shared" si="5"/>
        <v/>
      </c>
    </row>
    <row r="20" spans="1:13">
      <c r="A20" s="477">
        <v>12</v>
      </c>
      <c r="B20" s="464">
        <v>0.33333333333333331</v>
      </c>
      <c r="C20" s="465">
        <v>0.5</v>
      </c>
      <c r="D20" s="465">
        <v>0.58333333333333337</v>
      </c>
      <c r="E20" s="466">
        <v>0.70833333333333337</v>
      </c>
      <c r="F20" s="464">
        <f t="shared" si="0"/>
        <v>0.16666666666666669</v>
      </c>
      <c r="G20" s="466">
        <f t="shared" si="1"/>
        <v>0.125</v>
      </c>
      <c r="H20" s="478">
        <f t="shared" si="2"/>
        <v>0.29166666666666669</v>
      </c>
      <c r="J20" s="476"/>
      <c r="K20" s="474" t="str">
        <f t="shared" si="3"/>
        <v/>
      </c>
      <c r="L20" s="474" t="str">
        <f t="shared" si="4"/>
        <v/>
      </c>
      <c r="M20" s="475" t="str">
        <f t="shared" si="5"/>
        <v/>
      </c>
    </row>
    <row r="21" spans="1:13">
      <c r="A21" s="451">
        <v>13</v>
      </c>
      <c r="B21" s="464">
        <v>0.32291666666666669</v>
      </c>
      <c r="C21" s="465">
        <v>0.5</v>
      </c>
      <c r="D21" s="465">
        <v>0.58333333333333337</v>
      </c>
      <c r="E21" s="466">
        <v>0.70833333333333337</v>
      </c>
      <c r="F21" s="467">
        <f t="shared" si="0"/>
        <v>0.17708333333333331</v>
      </c>
      <c r="G21" s="468">
        <f t="shared" si="1"/>
        <v>0.125</v>
      </c>
      <c r="H21" s="469">
        <f t="shared" si="2"/>
        <v>0.30208333333333331</v>
      </c>
      <c r="J21" s="476"/>
      <c r="K21" s="474" t="str">
        <f t="shared" si="3"/>
        <v/>
      </c>
      <c r="L21" s="474" t="str">
        <f t="shared" si="4"/>
        <v/>
      </c>
      <c r="M21" s="475" t="str">
        <f t="shared" si="5"/>
        <v/>
      </c>
    </row>
    <row r="22" spans="1:13">
      <c r="A22" s="451">
        <v>14</v>
      </c>
      <c r="B22" s="464">
        <v>0.36458333333333331</v>
      </c>
      <c r="C22" s="465">
        <v>0.5</v>
      </c>
      <c r="D22" s="465">
        <v>0.58333333333333337</v>
      </c>
      <c r="E22" s="466">
        <v>0.71875</v>
      </c>
      <c r="F22" s="467">
        <f t="shared" si="0"/>
        <v>0.13541666666666669</v>
      </c>
      <c r="G22" s="468">
        <f t="shared" si="1"/>
        <v>0.13541666666666663</v>
      </c>
      <c r="H22" s="469">
        <f t="shared" si="2"/>
        <v>0.27083333333333331</v>
      </c>
      <c r="J22" s="476"/>
      <c r="K22" s="474" t="str">
        <f t="shared" si="3"/>
        <v/>
      </c>
      <c r="L22" s="474" t="str">
        <f t="shared" si="4"/>
        <v/>
      </c>
      <c r="M22" s="475" t="str">
        <f t="shared" si="5"/>
        <v/>
      </c>
    </row>
    <row r="23" spans="1:13">
      <c r="A23" s="451">
        <v>15</v>
      </c>
      <c r="B23" s="464">
        <v>0.32291666666666669</v>
      </c>
      <c r="C23" s="465">
        <v>0.5</v>
      </c>
      <c r="D23" s="465">
        <v>0.58333333333333337</v>
      </c>
      <c r="E23" s="466">
        <v>0.72916666666666663</v>
      </c>
      <c r="F23" s="467">
        <f t="shared" si="0"/>
        <v>0.17708333333333331</v>
      </c>
      <c r="G23" s="468">
        <f t="shared" si="1"/>
        <v>0.14583333333333326</v>
      </c>
      <c r="H23" s="469">
        <f t="shared" si="2"/>
        <v>0.32291666666666657</v>
      </c>
      <c r="J23" s="476"/>
      <c r="K23" s="474" t="str">
        <f t="shared" si="3"/>
        <v/>
      </c>
      <c r="L23" s="474" t="str">
        <f t="shared" si="4"/>
        <v/>
      </c>
      <c r="M23" s="475" t="str">
        <f t="shared" si="5"/>
        <v/>
      </c>
    </row>
    <row r="24" spans="1:13">
      <c r="A24" s="451">
        <v>16</v>
      </c>
      <c r="B24" s="464">
        <v>0.375</v>
      </c>
      <c r="C24" s="465">
        <v>0.5</v>
      </c>
      <c r="D24" s="465">
        <v>0.58333333333333337</v>
      </c>
      <c r="E24" s="466">
        <v>0.72916666666666663</v>
      </c>
      <c r="F24" s="467">
        <f t="shared" si="0"/>
        <v>0.125</v>
      </c>
      <c r="G24" s="468">
        <f t="shared" si="1"/>
        <v>0.14583333333333326</v>
      </c>
      <c r="H24" s="469">
        <f t="shared" si="2"/>
        <v>0.27083333333333326</v>
      </c>
      <c r="J24" s="476"/>
      <c r="K24" s="474" t="str">
        <f t="shared" si="3"/>
        <v/>
      </c>
      <c r="L24" s="474" t="str">
        <f t="shared" si="4"/>
        <v/>
      </c>
      <c r="M24" s="475" t="str">
        <f t="shared" si="5"/>
        <v/>
      </c>
    </row>
    <row r="25" spans="1:13">
      <c r="A25" s="451">
        <v>17</v>
      </c>
      <c r="B25" s="464">
        <v>0.33333333333333331</v>
      </c>
      <c r="C25" s="465">
        <v>0.5</v>
      </c>
      <c r="D25" s="465">
        <v>0.58333333333333337</v>
      </c>
      <c r="E25" s="466">
        <v>0.75</v>
      </c>
      <c r="F25" s="467">
        <f t="shared" si="0"/>
        <v>0.16666666666666669</v>
      </c>
      <c r="G25" s="468">
        <f t="shared" si="1"/>
        <v>0.16666666666666663</v>
      </c>
      <c r="H25" s="469">
        <f t="shared" si="2"/>
        <v>0.33333333333333331</v>
      </c>
      <c r="J25" s="476"/>
      <c r="K25" s="474" t="str">
        <f t="shared" si="3"/>
        <v/>
      </c>
      <c r="L25" s="474" t="str">
        <f t="shared" si="4"/>
        <v/>
      </c>
      <c r="M25" s="475" t="str">
        <f t="shared" si="5"/>
        <v/>
      </c>
    </row>
    <row r="26" spans="1:13">
      <c r="A26" s="451">
        <v>18</v>
      </c>
      <c r="B26" s="464">
        <v>0.33333333333333331</v>
      </c>
      <c r="C26" s="465">
        <v>0.5</v>
      </c>
      <c r="D26" s="465">
        <v>0.58333333333333337</v>
      </c>
      <c r="E26" s="466">
        <v>0.77083333333333337</v>
      </c>
      <c r="F26" s="467">
        <f t="shared" si="0"/>
        <v>0.16666666666666669</v>
      </c>
      <c r="G26" s="468">
        <f t="shared" si="1"/>
        <v>0.1875</v>
      </c>
      <c r="H26" s="469">
        <f t="shared" si="2"/>
        <v>0.35416666666666669</v>
      </c>
      <c r="J26" s="476"/>
      <c r="K26" s="474" t="str">
        <f t="shared" si="3"/>
        <v/>
      </c>
      <c r="L26" s="474" t="str">
        <f t="shared" si="4"/>
        <v/>
      </c>
      <c r="M26" s="475" t="str">
        <f t="shared" si="5"/>
        <v/>
      </c>
    </row>
    <row r="27" spans="1:13">
      <c r="A27" s="451">
        <v>19</v>
      </c>
      <c r="B27" s="464">
        <v>0.36458333333333331</v>
      </c>
      <c r="C27" s="465">
        <v>0.5</v>
      </c>
      <c r="D27" s="465">
        <v>0.58333333333333337</v>
      </c>
      <c r="E27" s="466">
        <v>0.73958333333333337</v>
      </c>
      <c r="F27" s="467">
        <f t="shared" si="0"/>
        <v>0.13541666666666669</v>
      </c>
      <c r="G27" s="468">
        <f t="shared" si="1"/>
        <v>0.15625</v>
      </c>
      <c r="H27" s="469">
        <f t="shared" si="2"/>
        <v>0.29166666666666669</v>
      </c>
      <c r="J27" s="479"/>
      <c r="K27" s="480" t="str">
        <f t="shared" si="3"/>
        <v/>
      </c>
      <c r="L27" s="480" t="str">
        <f t="shared" si="4"/>
        <v/>
      </c>
      <c r="M27" s="481" t="str">
        <f t="shared" si="5"/>
        <v/>
      </c>
    </row>
    <row r="28" spans="1:13">
      <c r="A28" s="451">
        <v>20</v>
      </c>
      <c r="B28" s="464">
        <v>0.33333333333333331</v>
      </c>
      <c r="C28" s="465">
        <v>0.5</v>
      </c>
      <c r="D28" s="465">
        <v>0.58333333333333337</v>
      </c>
      <c r="E28" s="466">
        <v>0.70833333333333337</v>
      </c>
      <c r="F28" s="467">
        <f t="shared" si="0"/>
        <v>0.16666666666666669</v>
      </c>
      <c r="G28" s="468">
        <f t="shared" si="1"/>
        <v>0.125</v>
      </c>
      <c r="H28" s="469">
        <f t="shared" si="2"/>
        <v>0.29166666666666669</v>
      </c>
      <c r="K28" s="482" t="s">
        <v>285</v>
      </c>
      <c r="L28" s="483">
        <f>SUM(L11:L14)</f>
        <v>0.875</v>
      </c>
      <c r="M28" s="484">
        <f>SUM(M11:M14)</f>
        <v>8.3333333333333426E-2</v>
      </c>
    </row>
    <row r="29" spans="1:13">
      <c r="A29" s="451">
        <v>21</v>
      </c>
      <c r="B29" s="464">
        <v>0.33333333333333331</v>
      </c>
      <c r="C29" s="465">
        <v>0.5</v>
      </c>
      <c r="D29" s="465">
        <v>0.58333333333333337</v>
      </c>
      <c r="E29" s="466">
        <v>0.6875</v>
      </c>
      <c r="F29" s="467">
        <f t="shared" si="0"/>
        <v>0.16666666666666669</v>
      </c>
      <c r="G29" s="468">
        <f t="shared" si="1"/>
        <v>0.10416666666666663</v>
      </c>
      <c r="H29" s="469">
        <f t="shared" si="2"/>
        <v>0.27083333333333331</v>
      </c>
    </row>
    <row r="30" spans="1:13">
      <c r="A30" s="451">
        <v>22</v>
      </c>
      <c r="B30" s="464">
        <v>0.33333333333333331</v>
      </c>
      <c r="C30" s="465">
        <v>0.5</v>
      </c>
      <c r="D30" s="465">
        <v>0.58333333333333337</v>
      </c>
      <c r="E30" s="466">
        <v>0.71875</v>
      </c>
      <c r="F30" s="467">
        <f t="shared" si="0"/>
        <v>0.16666666666666669</v>
      </c>
      <c r="G30" s="468">
        <f t="shared" si="1"/>
        <v>0.13541666666666663</v>
      </c>
      <c r="H30" s="469">
        <f t="shared" si="2"/>
        <v>0.30208333333333331</v>
      </c>
      <c r="K30" s="446" t="s">
        <v>286</v>
      </c>
      <c r="L30" s="485">
        <f>L28/"1:00"</f>
        <v>21</v>
      </c>
      <c r="M30" s="485">
        <f>M28/"1:00"</f>
        <v>2.0000000000000022</v>
      </c>
    </row>
    <row r="31" spans="1:13" ht="15.75" thickBot="1">
      <c r="A31" s="477">
        <v>23</v>
      </c>
      <c r="B31" s="486">
        <v>0.33333333333333331</v>
      </c>
      <c r="C31" s="487">
        <v>0.5</v>
      </c>
      <c r="D31" s="487">
        <v>0.58333333333333337</v>
      </c>
      <c r="E31" s="488">
        <v>0.70833333333333337</v>
      </c>
      <c r="F31" s="486">
        <f t="shared" si="0"/>
        <v>0.16666666666666669</v>
      </c>
      <c r="G31" s="488">
        <f t="shared" si="1"/>
        <v>0.125</v>
      </c>
      <c r="H31" s="489">
        <f t="shared" si="2"/>
        <v>0.29166666666666669</v>
      </c>
    </row>
    <row r="32" spans="1:13">
      <c r="A32" s="451">
        <v>7</v>
      </c>
      <c r="B32" s="490"/>
      <c r="C32" s="490"/>
      <c r="D32" s="490"/>
      <c r="E32" s="490"/>
      <c r="F32" s="490"/>
      <c r="G32" s="490"/>
      <c r="H32" s="490"/>
    </row>
    <row r="33" spans="1:13">
      <c r="A33" s="451">
        <f>A31*A32</f>
        <v>161</v>
      </c>
      <c r="B33" s="490"/>
      <c r="C33" s="490"/>
      <c r="D33" s="490"/>
      <c r="E33" s="490"/>
      <c r="F33" s="491">
        <f>SUM(F9:F31)</f>
        <v>3.5937499999999991</v>
      </c>
      <c r="G33" s="491">
        <f>SUM(G9:G31)</f>
        <v>3.1562499999999987</v>
      </c>
      <c r="H33" s="491">
        <f>SUM(H9:H31)</f>
        <v>6.7499999999999991</v>
      </c>
    </row>
    <row r="34" spans="1:13">
      <c r="A34" s="451"/>
      <c r="B34" s="490"/>
      <c r="C34" s="490"/>
      <c r="D34" s="490"/>
      <c r="E34" s="490"/>
      <c r="F34" s="490"/>
      <c r="G34" s="490"/>
      <c r="H34" s="491">
        <v>6.708333333333333</v>
      </c>
    </row>
    <row r="35" spans="1:13">
      <c r="A35" s="451"/>
      <c r="B35" s="490"/>
      <c r="C35" s="490"/>
      <c r="D35" s="490"/>
      <c r="E35" s="490"/>
      <c r="F35" s="490"/>
      <c r="G35" s="490"/>
      <c r="H35" s="491">
        <f>H33-H34</f>
        <v>4.1666666666666075E-2</v>
      </c>
    </row>
    <row r="39" spans="1:13">
      <c r="A39" s="603" t="s">
        <v>119</v>
      </c>
      <c r="B39" s="603"/>
      <c r="C39" s="492" t="s">
        <v>120</v>
      </c>
      <c r="D39" s="492"/>
      <c r="E39" s="492"/>
      <c r="F39" s="493">
        <v>0.25</v>
      </c>
      <c r="H39" s="494" t="s">
        <v>271</v>
      </c>
      <c r="M39" s="490"/>
    </row>
    <row r="40" spans="1:13">
      <c r="A40" s="603" t="s">
        <v>121</v>
      </c>
      <c r="B40" s="603"/>
      <c r="C40" s="603"/>
      <c r="D40" s="603"/>
      <c r="E40" s="603"/>
      <c r="F40" s="493">
        <v>0.5</v>
      </c>
      <c r="H40" s="495" t="s">
        <v>273</v>
      </c>
      <c r="M40" s="490"/>
    </row>
    <row r="41" spans="1:13">
      <c r="M41" s="490"/>
    </row>
    <row r="42" spans="1:13" ht="15.75">
      <c r="A42" s="599" t="s">
        <v>122</v>
      </c>
      <c r="B42" s="599"/>
      <c r="C42" s="599"/>
      <c r="D42" s="599"/>
      <c r="E42" s="599"/>
      <c r="F42" s="493">
        <v>0.1</v>
      </c>
      <c r="M42" s="496" t="s">
        <v>300</v>
      </c>
    </row>
    <row r="43" spans="1:13">
      <c r="A43" s="598" t="s">
        <v>123</v>
      </c>
      <c r="B43" s="598"/>
      <c r="C43" s="598"/>
      <c r="D43" s="598"/>
      <c r="E43" s="598"/>
      <c r="F43" s="493">
        <v>0.25</v>
      </c>
      <c r="M43" s="490" t="s">
        <v>289</v>
      </c>
    </row>
    <row r="44" spans="1:13">
      <c r="A44" s="598" t="s">
        <v>121</v>
      </c>
      <c r="B44" s="598"/>
      <c r="C44" s="598"/>
      <c r="D44" s="598"/>
      <c r="E44" s="598"/>
      <c r="F44" s="493">
        <v>0.5</v>
      </c>
      <c r="M44" s="490" t="s">
        <v>290</v>
      </c>
    </row>
    <row r="45" spans="1:13">
      <c r="M45" s="490" t="s">
        <v>291</v>
      </c>
    </row>
    <row r="46" spans="1:13">
      <c r="A46" s="446" t="s">
        <v>147</v>
      </c>
      <c r="M46" s="490" t="s">
        <v>292</v>
      </c>
    </row>
    <row r="47" spans="1:13">
      <c r="M47" s="490" t="s">
        <v>293</v>
      </c>
    </row>
    <row r="48" spans="1:13">
      <c r="A48" s="446" t="s">
        <v>206</v>
      </c>
      <c r="M48" s="490" t="s">
        <v>294</v>
      </c>
    </row>
    <row r="49" spans="1:13" ht="17.25">
      <c r="A49" s="446" t="s">
        <v>207</v>
      </c>
      <c r="M49" s="490" t="s">
        <v>295</v>
      </c>
    </row>
    <row r="50" spans="1:13">
      <c r="M50" s="490" t="s">
        <v>296</v>
      </c>
    </row>
    <row r="51" spans="1:13">
      <c r="M51" s="490" t="s">
        <v>297</v>
      </c>
    </row>
    <row r="52" spans="1:13">
      <c r="A52" s="497" t="s">
        <v>274</v>
      </c>
      <c r="M52" s="490" t="s">
        <v>298</v>
      </c>
    </row>
    <row r="53" spans="1:13">
      <c r="A53" s="446" t="s">
        <v>275</v>
      </c>
      <c r="M53" s="490" t="s">
        <v>299</v>
      </c>
    </row>
    <row r="54" spans="1:13">
      <c r="A54" s="446" t="s">
        <v>276</v>
      </c>
      <c r="M54" s="490"/>
    </row>
    <row r="56" spans="1:13">
      <c r="A56" s="446" t="s">
        <v>281</v>
      </c>
      <c r="B56" s="498">
        <v>24</v>
      </c>
    </row>
    <row r="57" spans="1:13">
      <c r="A57" s="446" t="s">
        <v>282</v>
      </c>
      <c r="B57" s="446">
        <f>B56/10</f>
        <v>2.4</v>
      </c>
    </row>
    <row r="58" spans="1:13">
      <c r="A58" s="446" t="s">
        <v>283</v>
      </c>
      <c r="B58" s="446">
        <f>B56/3</f>
        <v>8</v>
      </c>
    </row>
    <row r="59" spans="1:13">
      <c r="A59" s="446" t="s">
        <v>414</v>
      </c>
      <c r="C59" s="498">
        <v>6</v>
      </c>
    </row>
    <row r="60" spans="1:13">
      <c r="A60" s="446" t="s">
        <v>415</v>
      </c>
      <c r="C60" s="446">
        <f>IF(C59&gt;10%*B56,10%*B56,C59)</f>
        <v>2.4000000000000004</v>
      </c>
    </row>
    <row r="61" spans="1:13">
      <c r="A61" s="446" t="s">
        <v>416</v>
      </c>
      <c r="C61" s="446">
        <f>C59-C60</f>
        <v>3.5999999999999996</v>
      </c>
    </row>
  </sheetData>
  <mergeCells count="7">
    <mergeCell ref="A43:E43"/>
    <mergeCell ref="A44:E44"/>
    <mergeCell ref="A42:E42"/>
    <mergeCell ref="A1:I1"/>
    <mergeCell ref="A39:B39"/>
    <mergeCell ref="A40:B40"/>
    <mergeCell ref="C40:E40"/>
  </mergeCells>
  <hyperlinks>
    <hyperlink ref="J1" location="BULLETIN" display="BULLETIN"/>
    <hyperlink ref="K1" location="INFO" display="INFO"/>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12">
    <tabColor theme="8" tint="0.59999389629810485"/>
  </sheetPr>
  <dimension ref="A1:K30"/>
  <sheetViews>
    <sheetView workbookViewId="0">
      <selection activeCell="B3" sqref="B3"/>
    </sheetView>
  </sheetViews>
  <sheetFormatPr defaultColWidth="11.42578125" defaultRowHeight="15"/>
  <cols>
    <col min="1" max="1" width="18.28515625" bestFit="1" customWidth="1"/>
    <col min="2" max="5" width="16.5703125" customWidth="1"/>
    <col min="7" max="7" width="10.5703125" customWidth="1"/>
    <col min="8" max="8" width="32.85546875" customWidth="1"/>
  </cols>
  <sheetData>
    <row r="1" spans="1:11" ht="21.75" thickBot="1">
      <c r="A1" s="612" t="s">
        <v>402</v>
      </c>
      <c r="B1" s="613"/>
      <c r="C1" s="613"/>
      <c r="D1" s="613"/>
      <c r="E1" s="613"/>
      <c r="F1" s="614"/>
    </row>
    <row r="2" spans="1:11">
      <c r="H2" s="604" t="s">
        <v>315</v>
      </c>
      <c r="I2" s="605"/>
    </row>
    <row r="3" spans="1:11">
      <c r="A3" s="29" t="s">
        <v>108</v>
      </c>
      <c r="B3" s="337">
        <f>'info bulletin'!C48</f>
        <v>0</v>
      </c>
      <c r="C3" s="21"/>
      <c r="D3" s="21"/>
      <c r="E3" s="30" t="s">
        <v>145</v>
      </c>
      <c r="F3" s="285">
        <f>NBRE_H_SEM</f>
        <v>0</v>
      </c>
      <c r="G3" s="21"/>
      <c r="H3" s="606"/>
      <c r="I3" s="607"/>
      <c r="J3" s="56"/>
      <c r="K3" s="56"/>
    </row>
    <row r="4" spans="1:11">
      <c r="A4" s="21"/>
      <c r="B4" s="21"/>
      <c r="C4" s="21"/>
      <c r="D4" s="21"/>
      <c r="E4" s="30" t="s">
        <v>146</v>
      </c>
      <c r="F4" s="285">
        <f>NBRE_J_SEM</f>
        <v>0</v>
      </c>
      <c r="G4" s="21"/>
      <c r="H4" s="606"/>
      <c r="I4" s="607"/>
      <c r="J4" s="56"/>
      <c r="K4" s="56"/>
    </row>
    <row r="5" spans="1:11">
      <c r="A5" s="21"/>
      <c r="B5" s="21"/>
      <c r="C5" s="21"/>
      <c r="D5" s="21"/>
      <c r="E5" s="21"/>
      <c r="F5" s="21"/>
      <c r="G5" s="21"/>
      <c r="H5" s="606"/>
      <c r="I5" s="607"/>
      <c r="J5" s="56"/>
      <c r="K5" s="56"/>
    </row>
    <row r="6" spans="1:11">
      <c r="A6" s="28" t="s">
        <v>109</v>
      </c>
      <c r="B6" s="21"/>
      <c r="C6" s="21"/>
      <c r="D6" s="21"/>
      <c r="E6" s="21"/>
      <c r="F6" s="21"/>
      <c r="G6" s="21"/>
      <c r="H6" s="606"/>
      <c r="I6" s="607"/>
      <c r="J6" s="56"/>
      <c r="K6" s="56"/>
    </row>
    <row r="7" spans="1:11">
      <c r="A7" s="31" t="s">
        <v>126</v>
      </c>
      <c r="B7" s="286">
        <f>D_ABS_NR</f>
        <v>0</v>
      </c>
      <c r="C7" s="29" t="s">
        <v>128</v>
      </c>
      <c r="D7" s="33">
        <f>MOIS_BULLETIN-DAY(MOIS_BULLETIN)+1</f>
        <v>42736</v>
      </c>
      <c r="E7" s="21"/>
      <c r="F7" s="21"/>
      <c r="G7" s="21"/>
      <c r="H7" s="606"/>
      <c r="I7" s="607"/>
      <c r="J7" s="56"/>
      <c r="K7" s="56"/>
    </row>
    <row r="8" spans="1:11">
      <c r="A8" s="32" t="s">
        <v>127</v>
      </c>
      <c r="B8" s="287">
        <f>F_ABS_NR</f>
        <v>0</v>
      </c>
      <c r="C8" s="21"/>
      <c r="D8" s="24">
        <f>EOMONTH(D7,0)</f>
        <v>42766</v>
      </c>
      <c r="E8" s="21"/>
      <c r="F8" s="21"/>
      <c r="G8" s="21"/>
      <c r="H8" s="606"/>
      <c r="I8" s="607"/>
      <c r="J8" s="56"/>
      <c r="K8" s="56"/>
    </row>
    <row r="9" spans="1:11">
      <c r="A9" s="21"/>
      <c r="B9" s="21"/>
      <c r="C9" s="21"/>
      <c r="D9" s="21"/>
      <c r="E9" s="21"/>
      <c r="F9" s="21"/>
      <c r="G9" s="21"/>
      <c r="H9" s="606"/>
      <c r="I9" s="607"/>
      <c r="J9" s="56"/>
      <c r="K9" s="56"/>
    </row>
    <row r="10" spans="1:11">
      <c r="A10" s="21"/>
      <c r="B10" s="29" t="s">
        <v>287</v>
      </c>
      <c r="C10" s="29" t="s">
        <v>105</v>
      </c>
      <c r="D10" s="29" t="s">
        <v>106</v>
      </c>
      <c r="E10" s="29" t="s">
        <v>107</v>
      </c>
      <c r="F10" s="21"/>
      <c r="G10" s="21"/>
      <c r="H10" s="606"/>
      <c r="I10" s="607"/>
      <c r="J10" s="56"/>
      <c r="K10" s="56"/>
    </row>
    <row r="11" spans="1:11">
      <c r="A11" s="29" t="s">
        <v>83</v>
      </c>
      <c r="B11" s="23">
        <f>H_ABS_NR</f>
        <v>0</v>
      </c>
      <c r="C11" s="23">
        <f>NETWORKDAYS(B7,B8,FERIES)</f>
        <v>0</v>
      </c>
      <c r="D11" s="26">
        <f>B8-B7-INT((B8-B7-IF(WEEKDAY(B8)=1,0,8-WEEKDAY(B7)))/7)</f>
        <v>1</v>
      </c>
      <c r="E11" s="27">
        <f>_xlfn.DAYS(B8,B7)+1</f>
        <v>1</v>
      </c>
      <c r="F11" s="21"/>
      <c r="G11" s="21"/>
      <c r="H11" s="606"/>
      <c r="I11" s="607"/>
      <c r="J11" s="56"/>
      <c r="K11" s="56"/>
    </row>
    <row r="12" spans="1:11">
      <c r="A12" s="29" t="s">
        <v>278</v>
      </c>
      <c r="B12" s="23">
        <f>'info bulletin'!C52</f>
        <v>0</v>
      </c>
      <c r="C12" s="181">
        <f>NETWORKDAYS(D7,D8)</f>
        <v>22</v>
      </c>
      <c r="D12" s="21">
        <f>D8-D7-INT((D8-D7-IF(WEEKDAY(D7)=1,0,8-WEEKDAY(D7)))/7)</f>
        <v>26</v>
      </c>
      <c r="E12" s="27">
        <f>_xlfn.DAYS(D8,D7)+1</f>
        <v>31</v>
      </c>
      <c r="F12" s="21"/>
      <c r="G12" s="21"/>
      <c r="H12" s="606"/>
      <c r="I12" s="607"/>
      <c r="J12" s="56"/>
      <c r="K12" s="56"/>
    </row>
    <row r="13" spans="1:11">
      <c r="A13" s="29" t="s">
        <v>279</v>
      </c>
      <c r="B13" s="25">
        <f>ROUND((F3*52)/12,2)</f>
        <v>0</v>
      </c>
      <c r="C13" s="25">
        <f>ROUND(F4*52,2)/12</f>
        <v>0</v>
      </c>
      <c r="D13" s="27">
        <f>(F4+1)*52/12</f>
        <v>4.333333333333333</v>
      </c>
      <c r="E13" s="27">
        <f>ROUNDDOWN(((F4+2)*52/12),0)</f>
        <v>8</v>
      </c>
      <c r="F13" s="21"/>
      <c r="G13" s="21"/>
      <c r="H13" s="606"/>
      <c r="I13" s="607"/>
      <c r="J13" s="56"/>
      <c r="K13" s="56"/>
    </row>
    <row r="14" spans="1:11">
      <c r="A14" s="21"/>
      <c r="B14" s="21"/>
      <c r="C14" s="21"/>
      <c r="D14" s="21"/>
      <c r="E14" s="21"/>
      <c r="F14" s="21"/>
      <c r="G14" s="21"/>
      <c r="H14" s="608"/>
      <c r="I14" s="609"/>
      <c r="J14" s="56"/>
      <c r="K14" s="56"/>
    </row>
    <row r="15" spans="1:11">
      <c r="A15" s="615" t="s">
        <v>288</v>
      </c>
      <c r="B15" s="616"/>
      <c r="C15" s="21"/>
      <c r="D15" s="21"/>
      <c r="E15" s="21"/>
      <c r="F15" s="21"/>
      <c r="G15" s="21"/>
      <c r="J15" s="56"/>
      <c r="K15" s="56"/>
    </row>
    <row r="16" spans="1:11">
      <c r="A16" s="175" t="s">
        <v>110</v>
      </c>
      <c r="B16" s="176">
        <f>IF(B11=0,0,B11*B3/B12)</f>
        <v>0</v>
      </c>
      <c r="C16" s="21"/>
      <c r="D16" s="56"/>
      <c r="E16" s="21"/>
      <c r="F16" s="21"/>
      <c r="G16" s="21"/>
      <c r="J16" s="56"/>
      <c r="K16" s="56"/>
    </row>
    <row r="17" spans="1:11">
      <c r="A17" s="177" t="s">
        <v>111</v>
      </c>
      <c r="B17" s="178" t="str">
        <f>IFERROR((B11/B13)*$B$3,"")</f>
        <v/>
      </c>
      <c r="C17" s="21"/>
      <c r="D17" s="617" t="s">
        <v>277</v>
      </c>
      <c r="E17" s="618"/>
      <c r="F17" s="21"/>
      <c r="G17" s="21"/>
      <c r="H17" s="21"/>
      <c r="I17" s="21"/>
      <c r="J17" s="56"/>
      <c r="K17" s="56"/>
    </row>
    <row r="18" spans="1:11">
      <c r="A18" s="177" t="s">
        <v>112</v>
      </c>
      <c r="B18" s="178">
        <f>IFERROR((C11/C12)*$B$3,"")</f>
        <v>0</v>
      </c>
      <c r="C18" s="21"/>
      <c r="D18" s="619" t="str">
        <f>'info bulletin'!C47</f>
        <v>Horaire réèl</v>
      </c>
      <c r="E18" s="620"/>
      <c r="F18" s="21"/>
      <c r="G18" s="21"/>
      <c r="J18" s="56"/>
      <c r="K18" s="56"/>
    </row>
    <row r="19" spans="1:11">
      <c r="A19" s="177" t="s">
        <v>113</v>
      </c>
      <c r="B19" s="178" t="e">
        <f>(C11/C13)*B3</f>
        <v>#DIV/0!</v>
      </c>
      <c r="C19" s="21"/>
      <c r="D19" s="610">
        <f>IF(B3=0,0,VLOOKUP(D18,A16:B23,2,FALSE))</f>
        <v>0</v>
      </c>
      <c r="E19" s="611"/>
      <c r="F19" s="21"/>
      <c r="G19" s="21"/>
      <c r="J19" s="56"/>
      <c r="K19" s="56"/>
    </row>
    <row r="20" spans="1:11">
      <c r="A20" s="177" t="s">
        <v>114</v>
      </c>
      <c r="B20" s="178">
        <f>IFERROR((D11/D12)*$B$3,"")</f>
        <v>0</v>
      </c>
      <c r="C20" s="21"/>
      <c r="D20" s="21"/>
      <c r="E20" s="21"/>
      <c r="F20" s="21"/>
      <c r="G20" s="21"/>
      <c r="J20" s="56"/>
      <c r="K20" s="56"/>
    </row>
    <row r="21" spans="1:11">
      <c r="A21" s="177" t="s">
        <v>115</v>
      </c>
      <c r="B21" s="178">
        <f>IFERROR((D11/D13)*$B$3,"")</f>
        <v>0</v>
      </c>
      <c r="C21" s="21"/>
      <c r="D21" s="21"/>
      <c r="E21" s="21"/>
      <c r="F21" s="21"/>
      <c r="G21" s="21"/>
      <c r="J21" s="56"/>
      <c r="K21" s="56"/>
    </row>
    <row r="22" spans="1:11">
      <c r="A22" s="177" t="s">
        <v>116</v>
      </c>
      <c r="B22" s="178">
        <f>IFERROR((E11/E12)*$B$3,"")</f>
        <v>0</v>
      </c>
      <c r="C22" s="21"/>
      <c r="D22" s="21"/>
      <c r="E22" s="21"/>
      <c r="F22" s="21"/>
      <c r="G22" s="21"/>
      <c r="J22" s="56"/>
      <c r="K22" s="56"/>
    </row>
    <row r="23" spans="1:11">
      <c r="A23" s="179" t="s">
        <v>117</v>
      </c>
      <c r="B23" s="180">
        <f>IFERROR((E11/E13)*$B$3,"")</f>
        <v>0</v>
      </c>
      <c r="C23" s="21"/>
      <c r="D23" s="21"/>
      <c r="E23" s="21"/>
      <c r="F23" s="21"/>
      <c r="G23" s="21"/>
      <c r="J23" s="56"/>
      <c r="K23" s="56"/>
    </row>
    <row r="24" spans="1:11">
      <c r="A24" s="21"/>
      <c r="B24" s="21"/>
      <c r="C24" s="21"/>
      <c r="D24" s="21"/>
      <c r="E24" s="21"/>
      <c r="F24" s="21"/>
      <c r="G24" s="21"/>
      <c r="J24" s="56"/>
      <c r="K24" s="56"/>
    </row>
    <row r="25" spans="1:11">
      <c r="A25" s="21"/>
      <c r="B25" s="21"/>
      <c r="C25" s="21"/>
      <c r="D25" s="21"/>
      <c r="E25" s="21"/>
      <c r="F25" s="21"/>
      <c r="G25" s="21"/>
      <c r="J25" s="56"/>
      <c r="K25" s="56"/>
    </row>
    <row r="26" spans="1:11">
      <c r="A26" s="21"/>
      <c r="B26" s="21"/>
      <c r="C26" s="21"/>
      <c r="D26" s="21"/>
      <c r="E26" s="21"/>
      <c r="F26" s="21"/>
      <c r="G26" s="21"/>
      <c r="J26" s="56"/>
      <c r="K26" s="56"/>
    </row>
    <row r="27" spans="1:11">
      <c r="A27" s="21"/>
      <c r="B27" s="21"/>
      <c r="C27" s="21"/>
      <c r="D27" s="21"/>
      <c r="E27" s="21"/>
      <c r="F27" s="21"/>
      <c r="G27" s="21"/>
      <c r="J27" s="56"/>
      <c r="K27" s="56"/>
    </row>
    <row r="28" spans="1:11">
      <c r="A28" s="21"/>
      <c r="B28" s="21"/>
      <c r="C28" s="21"/>
      <c r="D28" s="21"/>
      <c r="E28" s="21"/>
      <c r="F28" s="21"/>
      <c r="G28" s="21"/>
      <c r="J28" s="56"/>
      <c r="K28" s="56"/>
    </row>
    <row r="29" spans="1:11">
      <c r="A29" s="21"/>
      <c r="B29" s="21"/>
      <c r="C29" s="21"/>
      <c r="D29" s="21"/>
      <c r="E29" s="21"/>
      <c r="F29" s="21"/>
      <c r="G29" s="21"/>
      <c r="J29" s="56"/>
      <c r="K29" s="56"/>
    </row>
    <row r="30" spans="1:11">
      <c r="A30" s="21"/>
      <c r="B30" s="21"/>
      <c r="C30" s="21"/>
      <c r="D30" s="21"/>
      <c r="E30" s="21"/>
      <c r="F30" s="21"/>
      <c r="G30" s="21"/>
      <c r="J30" s="56"/>
      <c r="K30" s="56"/>
    </row>
  </sheetData>
  <mergeCells count="6">
    <mergeCell ref="H2:I14"/>
    <mergeCell ref="D19:E19"/>
    <mergeCell ref="A1:F1"/>
    <mergeCell ref="A15:B15"/>
    <mergeCell ref="D17:E17"/>
    <mergeCell ref="D18:E18"/>
  </mergeCells>
  <conditionalFormatting sqref="B16:B23">
    <cfRule type="top10" dxfId="2" priority="1" bottom="1" rank="1"/>
  </conditionalFormatting>
  <dataValidations count="1">
    <dataValidation type="list" allowBlank="1" showInputMessage="1" showErrorMessage="1" sqref="D18">
      <formula1>$A$16:$A$23</formula1>
    </dataValidation>
  </dataValidation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sheetPr codeName="Feuil5">
    <tabColor rgb="FFFFC000"/>
  </sheetPr>
  <dimension ref="A1:K30"/>
  <sheetViews>
    <sheetView workbookViewId="0">
      <selection activeCell="B4" sqref="B4"/>
    </sheetView>
  </sheetViews>
  <sheetFormatPr defaultColWidth="11.42578125" defaultRowHeight="15"/>
  <cols>
    <col min="1" max="1" width="19.42578125" style="21" bestFit="1" customWidth="1"/>
    <col min="2" max="5" width="14.85546875" style="21" customWidth="1"/>
    <col min="6" max="6" width="11.42578125" style="21"/>
    <col min="7" max="7" width="13.42578125" style="21" bestFit="1" customWidth="1"/>
    <col min="8" max="8" width="29.28515625" style="21" bestFit="1" customWidth="1"/>
    <col min="9" max="10" width="11.42578125" style="21"/>
    <col min="11" max="11" width="18.28515625" style="21" bestFit="1" customWidth="1"/>
    <col min="12" max="16384" width="11.42578125" style="21"/>
  </cols>
  <sheetData>
    <row r="1" spans="1:11" ht="37.5" customHeight="1" thickBot="1">
      <c r="A1" s="621" t="s">
        <v>366</v>
      </c>
      <c r="B1" s="622"/>
      <c r="C1" s="622"/>
      <c r="D1" s="622"/>
      <c r="E1" s="622"/>
      <c r="F1" s="623"/>
      <c r="G1" s="87" t="s">
        <v>228</v>
      </c>
      <c r="H1" s="87" t="s">
        <v>370</v>
      </c>
    </row>
    <row r="2" spans="1:11" ht="21" customHeight="1">
      <c r="A2" s="86"/>
      <c r="B2" s="22"/>
      <c r="C2" s="22"/>
      <c r="D2" s="22"/>
      <c r="E2" s="22"/>
      <c r="F2" s="22"/>
    </row>
    <row r="3" spans="1:11">
      <c r="A3" s="29" t="s">
        <v>108</v>
      </c>
      <c r="B3" s="337">
        <f>'info bulletin'!C60</f>
        <v>0</v>
      </c>
      <c r="E3" s="30" t="s">
        <v>145</v>
      </c>
      <c r="F3" s="285">
        <f>NBRE_H_SEM</f>
        <v>0</v>
      </c>
      <c r="H3" s="21" t="s">
        <v>459</v>
      </c>
      <c r="J3" s="56"/>
      <c r="K3" s="56"/>
    </row>
    <row r="4" spans="1:11">
      <c r="E4" s="30" t="s">
        <v>146</v>
      </c>
      <c r="F4" s="285">
        <f>NBRE_J_SEM</f>
        <v>0</v>
      </c>
      <c r="H4" s="21">
        <f>D8-D7-INT((D8-D7-IF(WEEKDAY(D8)=1,0,8-WEEKDAY(D7)))/7)-SUMPRODUCT((FERIES&gt;=D7)*(FERIES&lt;=D8)*(WEEKDAY(FERIES)&lt;&gt;1))</f>
        <v>27</v>
      </c>
      <c r="J4" s="56"/>
      <c r="K4" s="56"/>
    </row>
    <row r="5" spans="1:11">
      <c r="J5" s="56"/>
      <c r="K5" s="56"/>
    </row>
    <row r="6" spans="1:11">
      <c r="A6" s="28" t="s">
        <v>109</v>
      </c>
      <c r="J6" s="56"/>
      <c r="K6" s="56"/>
    </row>
    <row r="7" spans="1:11">
      <c r="A7" s="31" t="s">
        <v>126</v>
      </c>
      <c r="B7" s="286">
        <f>D_ABS_CP</f>
        <v>0</v>
      </c>
      <c r="C7" s="29" t="s">
        <v>128</v>
      </c>
      <c r="D7" s="33">
        <f>MOIS_BULLETIN-DAY(MOIS_BULLETIN)+1</f>
        <v>42736</v>
      </c>
      <c r="J7" s="56"/>
      <c r="K7" s="56"/>
    </row>
    <row r="8" spans="1:11">
      <c r="A8" s="32" t="s">
        <v>127</v>
      </c>
      <c r="B8" s="287">
        <f>F_ABS_CP</f>
        <v>0</v>
      </c>
      <c r="D8" s="24">
        <f>EOMONTH(D7,0)</f>
        <v>42766</v>
      </c>
      <c r="J8" s="56"/>
      <c r="K8" s="56"/>
    </row>
    <row r="9" spans="1:11">
      <c r="J9" s="56"/>
      <c r="K9" s="56"/>
    </row>
    <row r="10" spans="1:11">
      <c r="B10" s="29" t="s">
        <v>287</v>
      </c>
      <c r="C10" s="29" t="s">
        <v>105</v>
      </c>
      <c r="D10" s="29" t="s">
        <v>106</v>
      </c>
      <c r="E10" s="29" t="s">
        <v>107</v>
      </c>
      <c r="J10" s="56"/>
      <c r="K10" s="56"/>
    </row>
    <row r="11" spans="1:11">
      <c r="A11" s="29" t="s">
        <v>83</v>
      </c>
      <c r="B11" s="23">
        <f>H_ABS_CP</f>
        <v>0</v>
      </c>
      <c r="C11" s="23">
        <f>NETWORKDAYS(B7,B8,FERIES)</f>
        <v>0</v>
      </c>
      <c r="D11" s="26">
        <f>B8-B7-INT((B8-B7-IF(WEEKDAY(B8)=1,0,8-WEEKDAY(B7)))/7)</f>
        <v>1</v>
      </c>
      <c r="E11" s="27">
        <f>_xlfn.DAYS(B8,B7)+1</f>
        <v>1</v>
      </c>
      <c r="J11" s="56"/>
      <c r="K11" s="56"/>
    </row>
    <row r="12" spans="1:11">
      <c r="A12" s="29" t="s">
        <v>278</v>
      </c>
      <c r="B12" s="23">
        <f>H_R_W_M</f>
        <v>0</v>
      </c>
      <c r="C12" s="181">
        <f>NETWORKDAYS(D7,D8)</f>
        <v>22</v>
      </c>
      <c r="D12" s="21">
        <f>D8-D7-INT((D8-D7-IF(WEEKDAY(D7)=1,0,8-WEEKDAY(D7)))/7)</f>
        <v>26</v>
      </c>
      <c r="E12" s="27">
        <f>_xlfn.DAYS(D8,D7)+1</f>
        <v>31</v>
      </c>
      <c r="J12" s="56"/>
      <c r="K12" s="56"/>
    </row>
    <row r="13" spans="1:11">
      <c r="A13" s="29" t="s">
        <v>279</v>
      </c>
      <c r="B13" s="25">
        <f>ROUND((F3*52)/12,2)</f>
        <v>0</v>
      </c>
      <c r="C13" s="25">
        <f>ROUND(F4*52,2)/12</f>
        <v>0</v>
      </c>
      <c r="D13" s="27">
        <f>(F4+1)*52/12</f>
        <v>4.333333333333333</v>
      </c>
      <c r="E13" s="27">
        <f>ROUNDDOWN(((F4+2)*52/12),0)</f>
        <v>8</v>
      </c>
      <c r="J13" s="56"/>
      <c r="K13" s="56"/>
    </row>
    <row r="14" spans="1:11">
      <c r="J14" s="56"/>
      <c r="K14" s="56"/>
    </row>
    <row r="15" spans="1:11">
      <c r="A15" s="615" t="s">
        <v>288</v>
      </c>
      <c r="B15" s="616"/>
      <c r="J15" s="56"/>
      <c r="K15" s="56"/>
    </row>
    <row r="16" spans="1:11">
      <c r="A16" s="175" t="s">
        <v>110</v>
      </c>
      <c r="B16" s="176">
        <f>IF(B11=0,0,B11*B3/B12)</f>
        <v>0</v>
      </c>
      <c r="D16" s="56"/>
      <c r="J16" s="56"/>
      <c r="K16" s="56"/>
    </row>
    <row r="17" spans="1:11">
      <c r="A17" s="177" t="s">
        <v>111</v>
      </c>
      <c r="B17" s="178" t="str">
        <f>IFERROR((B11/B13)*$B$3,"")</f>
        <v/>
      </c>
      <c r="D17" s="617" t="s">
        <v>277</v>
      </c>
      <c r="E17" s="618"/>
      <c r="J17" s="56"/>
      <c r="K17" s="56"/>
    </row>
    <row r="18" spans="1:11" ht="15" customHeight="1">
      <c r="A18" s="177" t="s">
        <v>112</v>
      </c>
      <c r="B18" s="178">
        <f>IFERROR((C11/C12)*$B$3,"")</f>
        <v>0</v>
      </c>
      <c r="D18" s="624" t="str">
        <f>'info bulletin'!C55</f>
        <v>Horaire réèl</v>
      </c>
      <c r="E18" s="620"/>
      <c r="H18" s="604" t="s">
        <v>315</v>
      </c>
      <c r="I18" s="605"/>
      <c r="J18" s="56"/>
      <c r="K18" s="56"/>
    </row>
    <row r="19" spans="1:11">
      <c r="A19" s="177" t="s">
        <v>113</v>
      </c>
      <c r="B19" s="178" t="e">
        <f>(C11/C13)*B3</f>
        <v>#DIV/0!</v>
      </c>
      <c r="D19" s="610">
        <f>IF(B3=0,0,VLOOKUP(D18,A16:B23,2,FALSE))</f>
        <v>0</v>
      </c>
      <c r="E19" s="611"/>
      <c r="H19" s="606"/>
      <c r="I19" s="607"/>
      <c r="J19" s="56"/>
      <c r="K19" s="56"/>
    </row>
    <row r="20" spans="1:11">
      <c r="A20" s="177" t="s">
        <v>114</v>
      </c>
      <c r="B20" s="178">
        <f>IFERROR((D11/D12)*$B$3,"")</f>
        <v>0</v>
      </c>
      <c r="H20" s="606"/>
      <c r="I20" s="607"/>
      <c r="J20" s="56"/>
      <c r="K20" s="56"/>
    </row>
    <row r="21" spans="1:11">
      <c r="A21" s="177" t="s">
        <v>115</v>
      </c>
      <c r="B21" s="178">
        <f>IFERROR((D11/D13)*$B$3,"")</f>
        <v>0</v>
      </c>
      <c r="H21" s="606"/>
      <c r="I21" s="607"/>
      <c r="J21" s="56"/>
      <c r="K21" s="56"/>
    </row>
    <row r="22" spans="1:11">
      <c r="A22" s="177" t="s">
        <v>116</v>
      </c>
      <c r="B22" s="178">
        <f>IFERROR((E11/E12)*$B$3,"")</f>
        <v>0</v>
      </c>
      <c r="H22" s="606"/>
      <c r="I22" s="607"/>
      <c r="J22" s="56"/>
      <c r="K22" s="56"/>
    </row>
    <row r="23" spans="1:11">
      <c r="A23" s="179" t="s">
        <v>117</v>
      </c>
      <c r="B23" s="180">
        <f>IFERROR((E11/E13)*$B$3,"")</f>
        <v>0</v>
      </c>
      <c r="H23" s="606"/>
      <c r="I23" s="607"/>
      <c r="J23" s="56"/>
      <c r="K23" s="56"/>
    </row>
    <row r="24" spans="1:11">
      <c r="H24" s="606"/>
      <c r="I24" s="607"/>
      <c r="J24" s="56"/>
      <c r="K24" s="56"/>
    </row>
    <row r="25" spans="1:11">
      <c r="H25" s="606"/>
      <c r="I25" s="607"/>
      <c r="J25" s="56"/>
      <c r="K25" s="56"/>
    </row>
    <row r="26" spans="1:11">
      <c r="H26" s="606"/>
      <c r="I26" s="607"/>
      <c r="J26" s="56"/>
      <c r="K26" s="56"/>
    </row>
    <row r="27" spans="1:11">
      <c r="H27" s="606"/>
      <c r="I27" s="607"/>
      <c r="J27" s="56"/>
      <c r="K27" s="56"/>
    </row>
    <row r="28" spans="1:11">
      <c r="H28" s="606"/>
      <c r="I28" s="607"/>
      <c r="J28" s="56"/>
      <c r="K28" s="56"/>
    </row>
    <row r="29" spans="1:11">
      <c r="H29" s="606"/>
      <c r="I29" s="607"/>
      <c r="J29" s="56"/>
      <c r="K29" s="56"/>
    </row>
    <row r="30" spans="1:11">
      <c r="H30" s="608"/>
      <c r="I30" s="609"/>
      <c r="J30" s="56"/>
      <c r="K30" s="56"/>
    </row>
  </sheetData>
  <mergeCells count="6">
    <mergeCell ref="A1:F1"/>
    <mergeCell ref="H18:I30"/>
    <mergeCell ref="D17:E17"/>
    <mergeCell ref="D18:E18"/>
    <mergeCell ref="D19:E19"/>
    <mergeCell ref="A15:B15"/>
  </mergeCells>
  <conditionalFormatting sqref="B16:B23">
    <cfRule type="top10" dxfId="1" priority="1" bottom="1" rank="1"/>
  </conditionalFormatting>
  <dataValidations count="1">
    <dataValidation type="list" allowBlank="1" showInputMessage="1" showErrorMessage="1" sqref="D18">
      <formula1>$A$16:$A$23</formula1>
    </dataValidation>
  </dataValidations>
  <hyperlinks>
    <hyperlink ref="G1" location="BULLETIN" display="BULLETIN"/>
    <hyperlink ref="H1" location="INFO" display="INFO"/>
  </hyperlink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sheetPr codeName="Feuil6">
    <tabColor rgb="FFFFC000"/>
  </sheetPr>
  <dimension ref="A1:I34"/>
  <sheetViews>
    <sheetView topLeftCell="A16" workbookViewId="0">
      <selection activeCell="E35" sqref="E35"/>
    </sheetView>
  </sheetViews>
  <sheetFormatPr defaultColWidth="11.42578125" defaultRowHeight="15"/>
  <cols>
    <col min="1" max="1" width="36.140625" style="56" customWidth="1"/>
    <col min="2" max="2" width="14.7109375" style="56" bestFit="1" customWidth="1"/>
    <col min="3" max="3" width="14.28515625" style="56" customWidth="1"/>
    <col min="4" max="4" width="17.5703125" style="56" bestFit="1" customWidth="1"/>
    <col min="5" max="5" width="16.42578125" style="56" customWidth="1"/>
    <col min="6" max="12" width="11.42578125" style="56"/>
    <col min="13" max="13" width="20.28515625" style="56" customWidth="1"/>
    <col min="14" max="16384" width="11.42578125" style="56"/>
  </cols>
  <sheetData>
    <row r="1" spans="1:9" ht="37.5" customHeight="1" thickBot="1">
      <c r="A1" s="626" t="s">
        <v>85</v>
      </c>
      <c r="B1" s="627"/>
      <c r="C1" s="627"/>
      <c r="D1" s="627"/>
      <c r="E1" s="627"/>
      <c r="F1" s="627"/>
      <c r="G1" s="628"/>
      <c r="H1" s="87" t="s">
        <v>228</v>
      </c>
      <c r="I1" s="87" t="s">
        <v>370</v>
      </c>
    </row>
    <row r="3" spans="1:9">
      <c r="A3" s="107" t="s">
        <v>95</v>
      </c>
      <c r="B3" s="289" t="str">
        <f>CP_JOUR</f>
        <v>ouvrables</v>
      </c>
      <c r="D3" s="56" t="s">
        <v>142</v>
      </c>
      <c r="E3" s="59">
        <f>D_ABS_CP</f>
        <v>0</v>
      </c>
      <c r="F3" s="59">
        <f>MOIS_BULLETIN-DAY(MOIS_BULLETIN)+1</f>
        <v>42736</v>
      </c>
    </row>
    <row r="4" spans="1:9">
      <c r="A4" s="182" t="s">
        <v>96</v>
      </c>
      <c r="B4" s="289" t="str">
        <f>CP_R_M</f>
        <v>moyen</v>
      </c>
      <c r="D4" s="56" t="s">
        <v>143</v>
      </c>
      <c r="E4" s="59">
        <f>F_ABS_CP</f>
        <v>0</v>
      </c>
      <c r="F4" s="62">
        <f>EOMONTH(F3,0)</f>
        <v>42766</v>
      </c>
    </row>
    <row r="5" spans="1:9">
      <c r="A5" s="183" t="s">
        <v>91</v>
      </c>
      <c r="B5" s="184">
        <f>IF(B6="","",IF(B3="ouvrés",NETWORKDAYS(E3,E4,FERIES),E4-E3-INT((E4-E3-IF(WEEKDAY(E4)=1,0,8-WEEKDAY(E3)))/7)-SUMPRODUCT((FERIES&gt;=E3)*(FERIES&lt;=E4)*(WEEKDAY(FERIES)&lt;&gt;1))))</f>
        <v>1</v>
      </c>
    </row>
    <row r="6" spans="1:9" ht="14.25" customHeight="1">
      <c r="A6" s="183" t="s">
        <v>92</v>
      </c>
      <c r="B6" s="185">
        <f>'info bulletin'!C65</f>
        <v>0</v>
      </c>
    </row>
    <row r="7" spans="1:9">
      <c r="A7" s="183" t="s">
        <v>93</v>
      </c>
      <c r="B7" s="185">
        <f>'info bulletin'!C66</f>
        <v>0</v>
      </c>
    </row>
    <row r="8" spans="1:9">
      <c r="A8" s="91" t="s">
        <v>144</v>
      </c>
      <c r="B8" s="184">
        <f>F4-F3-INT((F4-F3-IF(WEEKDAY(F4)=1,0,8-WEEKDAY(F3)))/7)-SUMPRODUCT((FERIES&gt;=F3)*(FERIES&lt;=F4)*(WEEKDAY(FERIES)&lt;&gt;1))</f>
        <v>27</v>
      </c>
    </row>
    <row r="9" spans="1:9">
      <c r="A9" s="91" t="s">
        <v>236</v>
      </c>
      <c r="B9" s="185">
        <f>NETWORKDAYS(F3,F4,FERIES)</f>
        <v>22</v>
      </c>
      <c r="D9" s="17" t="s">
        <v>90</v>
      </c>
      <c r="E9" s="18">
        <f>IF(J_CP="","",(B5/B10)*B6)</f>
        <v>0</v>
      </c>
    </row>
    <row r="10" spans="1:9">
      <c r="A10" s="90" t="s">
        <v>235</v>
      </c>
      <c r="B10" s="184">
        <f>IF(AND(B3="ouvrables",B4="moyen"),26,IF(AND(B3="ouvrables",B4="réèls"),B8,IF(AND(B3="ouvrés",B4="moyen"),21.67,B9)))</f>
        <v>26</v>
      </c>
      <c r="D10" s="17" t="s">
        <v>99</v>
      </c>
      <c r="E10" s="18">
        <f>IF(J_CP="","",((B7/10)*B5)/B11)</f>
        <v>0</v>
      </c>
    </row>
    <row r="11" spans="1:9">
      <c r="A11" s="90" t="s">
        <v>94</v>
      </c>
      <c r="B11" s="184">
        <f>IF(B3="ouvrables",30,25)</f>
        <v>30</v>
      </c>
      <c r="D11" s="17" t="s">
        <v>84</v>
      </c>
      <c r="E11" s="18">
        <f>MAX(E9:E10)</f>
        <v>0</v>
      </c>
    </row>
    <row r="12" spans="1:9" ht="15.75" thickBot="1"/>
    <row r="13" spans="1:9" ht="37.5" customHeight="1" thickBot="1">
      <c r="A13" s="626" t="s">
        <v>97</v>
      </c>
      <c r="B13" s="627"/>
      <c r="C13" s="627"/>
      <c r="D13" s="627"/>
      <c r="E13" s="627"/>
      <c r="F13" s="627"/>
      <c r="G13" s="628"/>
      <c r="H13" s="87" t="s">
        <v>228</v>
      </c>
    </row>
    <row r="14" spans="1:9">
      <c r="A14" s="69"/>
    </row>
    <row r="15" spans="1:9">
      <c r="A15" s="625" t="s">
        <v>193</v>
      </c>
      <c r="B15" s="625"/>
      <c r="C15" s="625"/>
      <c r="D15" s="625"/>
    </row>
    <row r="16" spans="1:9">
      <c r="A16" s="65" t="s">
        <v>98</v>
      </c>
      <c r="B16" s="289">
        <f>'info bulletin'!C70</f>
        <v>0</v>
      </c>
    </row>
    <row r="17" spans="1:8">
      <c r="A17" s="26" t="s">
        <v>99</v>
      </c>
      <c r="B17" s="65">
        <f>IF(B16="",0,B6/10)</f>
        <v>0</v>
      </c>
    </row>
    <row r="18" spans="1:8">
      <c r="A18" s="66" t="s">
        <v>194</v>
      </c>
      <c r="B18" s="66">
        <f>B17-B16</f>
        <v>0</v>
      </c>
    </row>
    <row r="19" spans="1:8">
      <c r="A19" s="65" t="s">
        <v>189</v>
      </c>
      <c r="B19" s="289">
        <f>'info bulletin'!C71</f>
        <v>0</v>
      </c>
    </row>
    <row r="20" spans="1:8">
      <c r="A20" s="17" t="s">
        <v>190</v>
      </c>
      <c r="B20" s="18">
        <f>(B6/10)*B19/30</f>
        <v>0</v>
      </c>
    </row>
    <row r="21" spans="1:8">
      <c r="A21" s="348"/>
      <c r="B21" s="349"/>
    </row>
    <row r="22" spans="1:8">
      <c r="B22" s="65" t="s">
        <v>198</v>
      </c>
      <c r="C22" s="65" t="s">
        <v>199</v>
      </c>
    </row>
    <row r="23" spans="1:8">
      <c r="A23" s="65" t="s">
        <v>191</v>
      </c>
      <c r="C23" s="405">
        <f>'info bulletin'!C74</f>
        <v>0</v>
      </c>
    </row>
    <row r="24" spans="1:8">
      <c r="A24" s="65" t="s">
        <v>192</v>
      </c>
      <c r="B24" s="185">
        <f>'info bulletin'!C75</f>
        <v>0</v>
      </c>
      <c r="C24" s="185">
        <f>'info bulletin'!C76</f>
        <v>0</v>
      </c>
    </row>
    <row r="25" spans="1:8">
      <c r="A25" s="350" t="s">
        <v>191</v>
      </c>
      <c r="B25" s="351">
        <f>B24/10</f>
        <v>0</v>
      </c>
      <c r="C25" s="351">
        <f>C24*C23/B10</f>
        <v>0</v>
      </c>
    </row>
    <row r="26" spans="1:8">
      <c r="A26" s="354" t="s">
        <v>439</v>
      </c>
      <c r="B26" s="355">
        <f>'info bulletin'!C77</f>
        <v>0</v>
      </c>
    </row>
    <row r="27" spans="1:8">
      <c r="A27" s="354" t="s">
        <v>440</v>
      </c>
      <c r="B27" s="355">
        <f>IF(B3="ouvrés",25,30)</f>
        <v>30</v>
      </c>
    </row>
    <row r="28" spans="1:8">
      <c r="A28" s="352" t="s">
        <v>441</v>
      </c>
      <c r="B28" s="353">
        <f>B25*B26/B27</f>
        <v>0</v>
      </c>
      <c r="C28" s="353">
        <f>C25</f>
        <v>0</v>
      </c>
      <c r="G28" s="347"/>
    </row>
    <row r="29" spans="1:8" ht="15.75" thickBot="1"/>
    <row r="30" spans="1:8" ht="37.5" customHeight="1" thickBot="1">
      <c r="A30" s="629" t="s">
        <v>100</v>
      </c>
      <c r="B30" s="630"/>
      <c r="C30" s="630"/>
      <c r="D30" s="630"/>
      <c r="E30" s="630"/>
      <c r="F30" s="630"/>
      <c r="G30" s="631"/>
      <c r="H30" s="87" t="s">
        <v>228</v>
      </c>
    </row>
    <row r="32" spans="1:8">
      <c r="A32" s="65" t="s">
        <v>101</v>
      </c>
      <c r="B32" s="289">
        <f>'info bulletin'!C80</f>
        <v>0</v>
      </c>
    </row>
    <row r="33" spans="1:5">
      <c r="A33" s="65" t="s">
        <v>102</v>
      </c>
      <c r="B33" s="289">
        <f>'info bulletin'!C81</f>
        <v>0</v>
      </c>
    </row>
    <row r="34" spans="1:5">
      <c r="A34" s="66" t="s">
        <v>103</v>
      </c>
      <c r="B34" s="67">
        <f>IF(B32="",0,(B6/10)*((30+B32)/30))</f>
        <v>0</v>
      </c>
      <c r="D34" s="66" t="s">
        <v>104</v>
      </c>
      <c r="E34" s="67">
        <f>B34-B33</f>
        <v>0</v>
      </c>
    </row>
  </sheetData>
  <mergeCells count="4">
    <mergeCell ref="A15:D15"/>
    <mergeCell ref="A1:G1"/>
    <mergeCell ref="A13:G13"/>
    <mergeCell ref="A30:G30"/>
  </mergeCells>
  <hyperlinks>
    <hyperlink ref="H1" location="BULLETIN" display="BULLETIN"/>
    <hyperlink ref="H13" location="BULLETIN" display="BULLETIN"/>
    <hyperlink ref="H30" location="BULLETIN" display="BULLETIN"/>
    <hyperlink ref="I1" location="INFO" display="INFO"/>
  </hyperlinks>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sheetPr codeName="Feuil7">
    <tabColor rgb="FF92D050"/>
  </sheetPr>
  <dimension ref="A1:J59"/>
  <sheetViews>
    <sheetView topLeftCell="A13" workbookViewId="0">
      <selection activeCell="E10" sqref="E10"/>
    </sheetView>
  </sheetViews>
  <sheetFormatPr defaultColWidth="11.42578125" defaultRowHeight="15"/>
  <cols>
    <col min="1" max="1" width="31.5703125" style="34" customWidth="1"/>
    <col min="2" max="2" width="14.28515625" style="34" customWidth="1"/>
    <col min="3" max="3" width="14.5703125" style="34" customWidth="1"/>
    <col min="4" max="4" width="29.42578125" style="34" customWidth="1"/>
    <col min="5" max="5" width="16.7109375" style="34" customWidth="1"/>
    <col min="6" max="6" width="3" style="34" customWidth="1"/>
    <col min="7" max="7" width="11.42578125" style="78"/>
    <col min="8" max="8" width="53.42578125" style="34" bestFit="1" customWidth="1"/>
    <col min="9" max="9" width="16.42578125" style="34" customWidth="1"/>
    <col min="10" max="10" width="15.28515625" style="34" bestFit="1" customWidth="1"/>
    <col min="11" max="16384" width="11.42578125" style="34"/>
  </cols>
  <sheetData>
    <row r="1" spans="1:10" ht="37.5" customHeight="1" thickBot="1">
      <c r="A1" s="632" t="s">
        <v>158</v>
      </c>
      <c r="B1" s="633"/>
      <c r="C1" s="633"/>
      <c r="D1" s="633"/>
      <c r="E1" s="633"/>
      <c r="F1" s="634"/>
      <c r="G1" s="87" t="s">
        <v>228</v>
      </c>
      <c r="H1" s="604" t="s">
        <v>436</v>
      </c>
      <c r="I1" s="636"/>
      <c r="J1" s="637"/>
    </row>
    <row r="2" spans="1:10">
      <c r="G2" s="87" t="s">
        <v>370</v>
      </c>
      <c r="H2" s="638"/>
      <c r="I2" s="639"/>
      <c r="J2" s="640"/>
    </row>
    <row r="3" spans="1:10">
      <c r="H3" s="638"/>
      <c r="I3" s="639"/>
      <c r="J3" s="640"/>
    </row>
    <row r="4" spans="1:10">
      <c r="A4" s="103" t="s">
        <v>426</v>
      </c>
      <c r="B4" s="296">
        <f>J_TR</f>
        <v>0</v>
      </c>
      <c r="H4" s="638"/>
      <c r="I4" s="639"/>
      <c r="J4" s="640"/>
    </row>
    <row r="5" spans="1:10">
      <c r="A5" s="38" t="s">
        <v>153</v>
      </c>
      <c r="B5" s="296">
        <f>V_F_TR</f>
        <v>0</v>
      </c>
      <c r="H5" s="638"/>
      <c r="I5" s="639"/>
      <c r="J5" s="640"/>
    </row>
    <row r="6" spans="1:10">
      <c r="A6" s="38" t="s">
        <v>156</v>
      </c>
      <c r="B6" s="296">
        <f>vMax_PP_TR</f>
        <v>5.38</v>
      </c>
      <c r="H6" s="638"/>
      <c r="I6" s="639"/>
      <c r="J6" s="640"/>
    </row>
    <row r="7" spans="1:10">
      <c r="A7" s="38" t="s">
        <v>155</v>
      </c>
      <c r="B7" s="297">
        <f>PSAL_TR</f>
        <v>0</v>
      </c>
      <c r="D7" s="38" t="s">
        <v>74</v>
      </c>
      <c r="E7" s="298">
        <f>PPAT_TR</f>
        <v>1</v>
      </c>
      <c r="H7" s="638"/>
      <c r="I7" s="639"/>
      <c r="J7" s="640"/>
    </row>
    <row r="8" spans="1:10">
      <c r="D8" s="103" t="s">
        <v>435</v>
      </c>
      <c r="E8" s="39">
        <f>E7*B5</f>
        <v>0</v>
      </c>
      <c r="H8" s="638"/>
      <c r="I8" s="639"/>
      <c r="J8" s="640"/>
    </row>
    <row r="9" spans="1:10">
      <c r="E9" s="35"/>
      <c r="H9" s="638"/>
      <c r="I9" s="639"/>
      <c r="J9" s="640"/>
    </row>
    <row r="10" spans="1:10">
      <c r="A10" s="646" t="s">
        <v>154</v>
      </c>
      <c r="B10" s="646"/>
      <c r="C10" s="646"/>
      <c r="D10" s="646"/>
      <c r="E10" s="36">
        <f>(B4*B5)*B7</f>
        <v>0</v>
      </c>
      <c r="H10" s="638"/>
      <c r="I10" s="639"/>
      <c r="J10" s="640"/>
    </row>
    <row r="11" spans="1:10">
      <c r="A11" s="646" t="s">
        <v>152</v>
      </c>
      <c r="B11" s="646"/>
      <c r="C11" s="646"/>
      <c r="D11" s="646"/>
      <c r="E11" s="36">
        <f>IF(E7&gt;60%,E8*B4,IF(E8&gt;B6,(E8-B6)*B4,0))</f>
        <v>0</v>
      </c>
      <c r="H11" s="638"/>
      <c r="I11" s="639"/>
      <c r="J11" s="640"/>
    </row>
    <row r="12" spans="1:10" ht="15.75" thickBot="1">
      <c r="H12" s="638"/>
      <c r="I12" s="639"/>
      <c r="J12" s="640"/>
    </row>
    <row r="13" spans="1:10" ht="37.5" customHeight="1" thickBot="1">
      <c r="A13" s="632" t="s">
        <v>159</v>
      </c>
      <c r="B13" s="633"/>
      <c r="C13" s="633"/>
      <c r="D13" s="633"/>
      <c r="E13" s="633"/>
      <c r="F13" s="634"/>
      <c r="G13" s="87" t="s">
        <v>228</v>
      </c>
      <c r="H13" s="641"/>
      <c r="I13" s="642"/>
      <c r="J13" s="643"/>
    </row>
    <row r="15" spans="1:10">
      <c r="A15" s="38" t="s">
        <v>160</v>
      </c>
      <c r="B15" s="296">
        <f>PSAL_EF_REPAS</f>
        <v>0</v>
      </c>
    </row>
    <row r="16" spans="1:10">
      <c r="A16" s="38" t="s">
        <v>161</v>
      </c>
      <c r="B16" s="296">
        <f>EVAL_FOR_REPAS</f>
        <v>4.75</v>
      </c>
    </row>
    <row r="17" spans="1:10">
      <c r="A17" s="38" t="s">
        <v>163</v>
      </c>
      <c r="B17" s="296">
        <f>J_EF</f>
        <v>0</v>
      </c>
    </row>
    <row r="19" spans="1:10">
      <c r="A19" s="646" t="s">
        <v>164</v>
      </c>
      <c r="B19" s="646"/>
      <c r="C19" s="646"/>
      <c r="D19" s="646"/>
      <c r="E19" s="36">
        <f>B15*B17</f>
        <v>0</v>
      </c>
    </row>
    <row r="20" spans="1:10">
      <c r="A20" s="646" t="s">
        <v>152</v>
      </c>
      <c r="B20" s="646"/>
      <c r="C20" s="646"/>
      <c r="D20" s="646"/>
      <c r="E20" s="36">
        <f>IF(B15&lt;B16/2,(B16-B15)*B17,0)</f>
        <v>0</v>
      </c>
    </row>
    <row r="22" spans="1:10" ht="15.75" thickBot="1"/>
    <row r="23" spans="1:10" ht="37.5" customHeight="1" thickBot="1">
      <c r="A23" s="632" t="s">
        <v>165</v>
      </c>
      <c r="B23" s="633"/>
      <c r="C23" s="633"/>
      <c r="D23" s="633"/>
      <c r="E23" s="633"/>
      <c r="F23" s="634"/>
      <c r="G23" s="87" t="s">
        <v>228</v>
      </c>
      <c r="H23" s="647" t="s">
        <v>180</v>
      </c>
      <c r="I23" s="647"/>
      <c r="J23" s="647"/>
    </row>
    <row r="24" spans="1:10">
      <c r="H24" s="49" t="s">
        <v>166</v>
      </c>
      <c r="I24" s="38" t="s">
        <v>168</v>
      </c>
      <c r="J24" s="38" t="s">
        <v>169</v>
      </c>
    </row>
    <row r="25" spans="1:10">
      <c r="H25" s="40" t="s">
        <v>178</v>
      </c>
      <c r="I25" s="41">
        <v>68.5</v>
      </c>
      <c r="J25" s="42">
        <v>36.6</v>
      </c>
    </row>
    <row r="26" spans="1:10">
      <c r="A26" s="49" t="s">
        <v>166</v>
      </c>
      <c r="B26" s="37" t="s">
        <v>167</v>
      </c>
      <c r="C26" s="37" t="s">
        <v>168</v>
      </c>
      <c r="D26" s="37" t="s">
        <v>169</v>
      </c>
      <c r="E26" s="50" t="s">
        <v>170</v>
      </c>
      <c r="H26" s="43" t="s">
        <v>171</v>
      </c>
      <c r="I26" s="44">
        <v>80</v>
      </c>
      <c r="J26" s="45">
        <v>51.4</v>
      </c>
    </row>
    <row r="27" spans="1:10">
      <c r="A27" s="38" t="str">
        <f>'info bulletin'!C103</f>
        <v>Infèrieur à 1634,50</v>
      </c>
      <c r="B27" s="39">
        <f>VLOOKUP(A27,H25:J32,2,FALSE)</f>
        <v>68.5</v>
      </c>
      <c r="C27" s="300">
        <f>+NBRE_PIECES</f>
        <v>0</v>
      </c>
      <c r="D27" s="39">
        <f>VLOOKUP(A27,H25:J32,3,FALSE)</f>
        <v>36.6</v>
      </c>
      <c r="E27" s="36">
        <f>IF(C27=1,B27,C27*D27)</f>
        <v>0</v>
      </c>
      <c r="H27" s="43" t="s">
        <v>172</v>
      </c>
      <c r="I27" s="44">
        <v>91.3</v>
      </c>
      <c r="J27" s="45">
        <v>68.5</v>
      </c>
    </row>
    <row r="28" spans="1:10">
      <c r="H28" s="43" t="s">
        <v>173</v>
      </c>
      <c r="I28" s="44">
        <v>102.6</v>
      </c>
      <c r="J28" s="45">
        <v>85.5</v>
      </c>
    </row>
    <row r="29" spans="1:10">
      <c r="H29" s="43" t="s">
        <v>174</v>
      </c>
      <c r="I29" s="44">
        <v>125.6</v>
      </c>
      <c r="J29" s="45">
        <v>108.4</v>
      </c>
    </row>
    <row r="30" spans="1:10">
      <c r="H30" s="43" t="s">
        <v>175</v>
      </c>
      <c r="I30" s="44">
        <v>148.4</v>
      </c>
      <c r="J30" s="45">
        <v>131.1</v>
      </c>
    </row>
    <row r="31" spans="1:10">
      <c r="H31" s="43" t="s">
        <v>176</v>
      </c>
      <c r="I31" s="44">
        <v>171.2</v>
      </c>
      <c r="J31" s="45">
        <v>159.69999999999999</v>
      </c>
    </row>
    <row r="32" spans="1:10">
      <c r="H32" s="46" t="s">
        <v>177</v>
      </c>
      <c r="I32" s="47">
        <v>194</v>
      </c>
      <c r="J32" s="48">
        <v>182.6</v>
      </c>
    </row>
    <row r="33" spans="1:10" ht="15.75" thickBot="1">
      <c r="G33" s="89"/>
      <c r="H33" s="88"/>
      <c r="I33" s="54"/>
      <c r="J33" s="55"/>
    </row>
    <row r="34" spans="1:10" ht="37.5" customHeight="1" thickBot="1">
      <c r="A34" s="632" t="s">
        <v>181</v>
      </c>
      <c r="B34" s="633"/>
      <c r="C34" s="633"/>
      <c r="D34" s="633"/>
      <c r="E34" s="633"/>
      <c r="F34" s="634"/>
      <c r="G34" s="87" t="s">
        <v>228</v>
      </c>
      <c r="H34" s="644" t="s">
        <v>186</v>
      </c>
      <c r="I34" s="645"/>
    </row>
    <row r="35" spans="1:10">
      <c r="H35" s="80" t="s">
        <v>201</v>
      </c>
      <c r="I35" s="74"/>
    </row>
    <row r="36" spans="1:10">
      <c r="A36" s="103" t="s">
        <v>256</v>
      </c>
      <c r="B36" s="308">
        <f>'info bulletin'!C107</f>
        <v>0</v>
      </c>
      <c r="C36" s="72" t="s">
        <v>203</v>
      </c>
      <c r="D36" s="38" t="s">
        <v>185</v>
      </c>
      <c r="E36" s="308">
        <f>'info bulletin'!C118</f>
        <v>0</v>
      </c>
      <c r="F36" s="72" t="s">
        <v>204</v>
      </c>
      <c r="H36" s="79" t="s">
        <v>215</v>
      </c>
      <c r="I36" s="53">
        <v>0.2</v>
      </c>
    </row>
    <row r="37" spans="1:10">
      <c r="A37" s="38" t="s">
        <v>182</v>
      </c>
      <c r="B37" s="308">
        <f>'info bulletin'!C108</f>
        <v>0</v>
      </c>
      <c r="C37" s="72" t="s">
        <v>204</v>
      </c>
      <c r="D37" s="38" t="s">
        <v>182</v>
      </c>
      <c r="E37" s="308">
        <f>'info bulletin'!C119</f>
        <v>0</v>
      </c>
      <c r="F37" s="72" t="s">
        <v>204</v>
      </c>
      <c r="H37" s="82" t="s">
        <v>216</v>
      </c>
      <c r="I37" s="51">
        <v>0.1</v>
      </c>
    </row>
    <row r="38" spans="1:10">
      <c r="A38" s="38" t="s">
        <v>184</v>
      </c>
      <c r="B38" s="308">
        <f>'info bulletin'!C109</f>
        <v>0</v>
      </c>
      <c r="C38" s="72" t="s">
        <v>204</v>
      </c>
      <c r="D38" s="38" t="s">
        <v>184</v>
      </c>
      <c r="E38" s="308">
        <f>'info bulletin'!C120</f>
        <v>0</v>
      </c>
      <c r="F38" s="72" t="s">
        <v>204</v>
      </c>
      <c r="H38" s="83" t="s">
        <v>217</v>
      </c>
      <c r="I38" s="51">
        <v>0.09</v>
      </c>
    </row>
    <row r="39" spans="1:10">
      <c r="A39" s="38" t="s">
        <v>183</v>
      </c>
      <c r="B39" s="308">
        <f>'info bulletin'!C110</f>
        <v>0</v>
      </c>
      <c r="C39" s="72" t="s">
        <v>204</v>
      </c>
      <c r="D39" s="38" t="s">
        <v>183</v>
      </c>
      <c r="E39" s="308">
        <f>'info bulletin'!C121</f>
        <v>0</v>
      </c>
      <c r="F39" s="72" t="s">
        <v>204</v>
      </c>
      <c r="H39" s="83" t="s">
        <v>218</v>
      </c>
      <c r="I39" s="51">
        <v>0.06</v>
      </c>
    </row>
    <row r="40" spans="1:10">
      <c r="B40" s="307"/>
      <c r="H40" s="83" t="s">
        <v>219</v>
      </c>
      <c r="I40" s="51">
        <v>0.12</v>
      </c>
    </row>
    <row r="41" spans="1:10">
      <c r="H41" s="84" t="s">
        <v>220</v>
      </c>
      <c r="I41" s="73">
        <v>0.09</v>
      </c>
    </row>
    <row r="42" spans="1:10">
      <c r="A42" s="635" t="s">
        <v>225</v>
      </c>
      <c r="B42" s="635"/>
      <c r="D42" s="635" t="s">
        <v>205</v>
      </c>
      <c r="E42" s="635"/>
      <c r="H42" s="80" t="s">
        <v>202</v>
      </c>
      <c r="I42" s="74"/>
    </row>
    <row r="43" spans="1:10">
      <c r="A43" s="34" t="str">
        <f>'info bulletin'!C116</f>
        <v>1-Réèl - 5 ans</v>
      </c>
      <c r="B43" s="75">
        <f>VLOOKUP(A43,H36:I41,2,FALSE)</f>
        <v>0.2</v>
      </c>
      <c r="D43" s="34" t="str">
        <f>'info bulletin'!C123</f>
        <v>1-Loa réèl</v>
      </c>
      <c r="E43" s="75">
        <f>VLOOKUP(D43,H43:I46,2,FALSE)</f>
        <v>1</v>
      </c>
      <c r="H43" s="79" t="s">
        <v>221</v>
      </c>
      <c r="I43" s="81">
        <v>1</v>
      </c>
    </row>
    <row r="44" spans="1:10">
      <c r="H44" s="83" t="s">
        <v>222</v>
      </c>
      <c r="I44" s="51">
        <v>0.3</v>
      </c>
    </row>
    <row r="45" spans="1:10">
      <c r="A45" s="72" t="s">
        <v>259</v>
      </c>
      <c r="B45" s="104">
        <f>IF(A43="1-Réèl - 5 ans",((B36*B43)+B37+B38+B39)/12,IF(A43="2-Réèl + 5 ans",((B36*B43)+B37+B38+B39)/12,(B36*B43)/12))</f>
        <v>0</v>
      </c>
      <c r="D45" s="77" t="s">
        <v>379</v>
      </c>
      <c r="E45" s="76">
        <f>(E36+E37+E38+E39)*E43/12</f>
        <v>0</v>
      </c>
      <c r="H45" s="83" t="s">
        <v>223</v>
      </c>
      <c r="I45" s="51">
        <v>0.3</v>
      </c>
    </row>
    <row r="46" spans="1:10">
      <c r="H46" s="85" t="s">
        <v>224</v>
      </c>
      <c r="I46" s="52">
        <v>0.4</v>
      </c>
    </row>
    <row r="47" spans="1:10">
      <c r="A47" s="72" t="s">
        <v>257</v>
      </c>
      <c r="B47" s="307">
        <f>'info bulletin'!C112</f>
        <v>0</v>
      </c>
    </row>
    <row r="48" spans="1:10">
      <c r="A48" s="72" t="s">
        <v>258</v>
      </c>
      <c r="B48" s="307">
        <f>'info bulletin'!C113</f>
        <v>0</v>
      </c>
    </row>
    <row r="50" spans="1:6">
      <c r="A50" s="77" t="s">
        <v>378</v>
      </c>
      <c r="B50" s="108">
        <f>IF(B48=0,B45,B47*B45/B48)</f>
        <v>0</v>
      </c>
    </row>
    <row r="52" spans="1:6" ht="15.75" thickBot="1"/>
    <row r="53" spans="1:6" ht="21.75" thickBot="1">
      <c r="A53" s="632" t="s">
        <v>265</v>
      </c>
      <c r="B53" s="633"/>
      <c r="C53" s="633"/>
      <c r="D53" s="633"/>
      <c r="E53" s="633"/>
      <c r="F53" s="634"/>
    </row>
    <row r="55" spans="1:6">
      <c r="A55" s="72" t="s">
        <v>266</v>
      </c>
      <c r="B55" s="311">
        <f>+'info bulletin'!C133</f>
        <v>0</v>
      </c>
    </row>
    <row r="56" spans="1:6">
      <c r="A56" s="72" t="s">
        <v>268</v>
      </c>
      <c r="B56" s="312">
        <f>+'info bulletin'!C134</f>
        <v>0</v>
      </c>
      <c r="C56" s="105">
        <v>0.5</v>
      </c>
    </row>
    <row r="57" spans="1:6">
      <c r="A57" s="72"/>
      <c r="B57" s="312"/>
      <c r="C57" s="105"/>
    </row>
    <row r="58" spans="1:6">
      <c r="A58" s="72" t="s">
        <v>267</v>
      </c>
      <c r="B58" s="34">
        <f>+B56*B55</f>
        <v>0</v>
      </c>
      <c r="C58" s="34">
        <f>+C56*B55</f>
        <v>0</v>
      </c>
    </row>
    <row r="59" spans="1:6">
      <c r="A59" s="72" t="s">
        <v>269</v>
      </c>
      <c r="B59" s="34">
        <f>+B58-C58</f>
        <v>0</v>
      </c>
    </row>
  </sheetData>
  <mergeCells count="14">
    <mergeCell ref="A53:F53"/>
    <mergeCell ref="A42:B42"/>
    <mergeCell ref="D42:E42"/>
    <mergeCell ref="H1:J13"/>
    <mergeCell ref="H34:I34"/>
    <mergeCell ref="A34:F34"/>
    <mergeCell ref="A19:D19"/>
    <mergeCell ref="A20:D20"/>
    <mergeCell ref="A23:F23"/>
    <mergeCell ref="H23:J23"/>
    <mergeCell ref="A1:F1"/>
    <mergeCell ref="A10:D10"/>
    <mergeCell ref="A11:D11"/>
    <mergeCell ref="A13:F13"/>
  </mergeCells>
  <dataValidations count="1">
    <dataValidation type="list" allowBlank="1" showInputMessage="1" showErrorMessage="1" sqref="A27">
      <formula1>$H$25:$H$32</formula1>
    </dataValidation>
  </dataValidations>
  <hyperlinks>
    <hyperlink ref="G1" location="BULLETIN" display="BULLETIN"/>
    <hyperlink ref="G13" location="BULLETIN" display="BULLETIN"/>
    <hyperlink ref="G23" location="BULLETIN" display="BULLETIN"/>
    <hyperlink ref="G34" location="BULLETIN" display="BULLETIN"/>
    <hyperlink ref="G2" location="INFO" display="INFO"/>
  </hyperlink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sheetPr codeName="Feuil8">
    <tabColor rgb="FFFF99FF"/>
  </sheetPr>
  <dimension ref="A1:M48"/>
  <sheetViews>
    <sheetView workbookViewId="0">
      <selection activeCell="F20" sqref="F20"/>
    </sheetView>
  </sheetViews>
  <sheetFormatPr defaultColWidth="11.42578125" defaultRowHeight="12.75"/>
  <cols>
    <col min="1" max="1" width="32.140625" style="97" customWidth="1"/>
    <col min="2" max="2" width="9" style="97" customWidth="1"/>
    <col min="3" max="3" width="8.28515625" style="97" customWidth="1"/>
    <col min="4" max="4" width="11.42578125" style="97"/>
    <col min="5" max="6" width="13.140625" style="97" customWidth="1"/>
    <col min="7" max="7" width="12.28515625" style="97" bestFit="1" customWidth="1"/>
    <col min="8" max="8" width="17.28515625" style="97" customWidth="1"/>
    <col min="9" max="9" width="18.7109375" style="97" customWidth="1"/>
    <col min="10" max="10" width="4.85546875" style="97" bestFit="1" customWidth="1"/>
    <col min="11" max="11" width="18.42578125" style="222" customWidth="1"/>
    <col min="12" max="12" width="7.85546875" style="97" bestFit="1" customWidth="1"/>
    <col min="13" max="13" width="12.7109375" style="97" customWidth="1"/>
    <col min="14" max="14" width="12.28515625" style="97" bestFit="1" customWidth="1"/>
    <col min="15" max="15" width="11.42578125" style="97"/>
    <col min="16" max="16" width="12.28515625" style="97" bestFit="1" customWidth="1"/>
    <col min="17" max="16384" width="11.42578125" style="97"/>
  </cols>
  <sheetData>
    <row r="1" spans="1:13" ht="35.25" customHeight="1" thickBot="1">
      <c r="A1" s="651" t="s">
        <v>247</v>
      </c>
      <c r="B1" s="652"/>
      <c r="C1" s="652"/>
      <c r="D1" s="652"/>
      <c r="E1" s="652"/>
      <c r="F1" s="652"/>
      <c r="G1" s="652"/>
      <c r="H1" s="652"/>
      <c r="I1" s="653"/>
      <c r="K1" s="87" t="s">
        <v>228</v>
      </c>
      <c r="L1" s="87" t="s">
        <v>370</v>
      </c>
      <c r="M1" s="295"/>
    </row>
    <row r="2" spans="1:13">
      <c r="A2" s="102"/>
      <c r="B2" s="98"/>
      <c r="C2" s="98"/>
      <c r="D2" s="215"/>
      <c r="E2" s="216"/>
      <c r="F2" s="215"/>
      <c r="G2" s="217"/>
      <c r="H2" s="215"/>
      <c r="I2" s="215"/>
    </row>
    <row r="3" spans="1:13" ht="38.25" customHeight="1">
      <c r="A3" s="98"/>
      <c r="B3" s="98"/>
      <c r="C3" s="98"/>
      <c r="D3" s="648" t="s">
        <v>301</v>
      </c>
      <c r="E3" s="648"/>
      <c r="F3" s="648" t="s">
        <v>302</v>
      </c>
      <c r="G3" s="648"/>
      <c r="H3" s="213" t="s">
        <v>303</v>
      </c>
      <c r="I3" s="214" t="s">
        <v>304</v>
      </c>
      <c r="K3" s="226" t="s">
        <v>316</v>
      </c>
      <c r="L3" s="227" t="s">
        <v>317</v>
      </c>
    </row>
    <row r="4" spans="1:13" ht="12.75" customHeight="1">
      <c r="A4" s="202" t="s">
        <v>254</v>
      </c>
      <c r="B4" s="309">
        <f>IF('info bulletin'!C137="NON",0,SNAR)</f>
        <v>0</v>
      </c>
      <c r="C4" s="99"/>
      <c r="D4" s="187">
        <v>0</v>
      </c>
      <c r="E4" s="188">
        <v>310.83</v>
      </c>
      <c r="F4" s="187">
        <f>D4</f>
        <v>0</v>
      </c>
      <c r="G4" s="188">
        <f>E4+$B$6*$B$12</f>
        <v>310.83</v>
      </c>
      <c r="H4" s="189">
        <v>0.05</v>
      </c>
      <c r="I4" s="190">
        <f>IF($B$4&gt;G4,G4*H4,$B$4*H4)</f>
        <v>0</v>
      </c>
      <c r="K4" s="225">
        <f>IF(I4=0,0,IF(G4&lt;salmensu,G4-F4,salmensu))</f>
        <v>0</v>
      </c>
      <c r="L4" s="228" t="s">
        <v>318</v>
      </c>
    </row>
    <row r="5" spans="1:13">
      <c r="A5" s="204"/>
      <c r="B5" s="203"/>
      <c r="C5" s="99"/>
      <c r="D5" s="191">
        <f>E4</f>
        <v>310.83</v>
      </c>
      <c r="E5" s="192">
        <v>606.66999999999996</v>
      </c>
      <c r="F5" s="191">
        <f>G4</f>
        <v>310.83</v>
      </c>
      <c r="G5" s="192">
        <f>E5+$B$6*$B$12</f>
        <v>606.66999999999996</v>
      </c>
      <c r="H5" s="193">
        <v>0.1</v>
      </c>
      <c r="I5" s="194">
        <f>IF($B$4&gt;G5,(G5-F5)*H5,IF($B$4&gt;F5,($B$4-F5)*H5,0))</f>
        <v>0</v>
      </c>
      <c r="K5" s="223">
        <f>IF($B$4&gt;G5,(G5-F5),IF($B$4&gt;F5,($B$4-F5),0))</f>
        <v>0</v>
      </c>
      <c r="L5" s="229" t="s">
        <v>319</v>
      </c>
    </row>
    <row r="6" spans="1:13">
      <c r="A6" s="202" t="s">
        <v>305</v>
      </c>
      <c r="B6" s="309">
        <f>NBRE_PERS_CHAR</f>
        <v>0</v>
      </c>
      <c r="C6" s="99"/>
      <c r="D6" s="191">
        <f t="shared" ref="D6:D10" si="0">E5</f>
        <v>606.66999999999996</v>
      </c>
      <c r="E6" s="192">
        <v>904.17</v>
      </c>
      <c r="F6" s="191">
        <f t="shared" ref="F6:F10" si="1">G5</f>
        <v>606.66999999999996</v>
      </c>
      <c r="G6" s="192">
        <f t="shared" ref="G6:G9" si="2">E6+$B$6*$B$12</f>
        <v>904.17</v>
      </c>
      <c r="H6" s="193">
        <v>0.2</v>
      </c>
      <c r="I6" s="194">
        <f t="shared" ref="I6:I10" si="3">IF($B$4&gt;G6,(G6-F6)*H6,IF($B$4&gt;F6,($B$4-F6)*H6,0))</f>
        <v>0</v>
      </c>
      <c r="K6" s="223">
        <f t="shared" ref="K6:K10" si="4">IF($B$4&gt;G6,(G6-F6),IF($B$4&gt;F6,($B$4-F6),0))</f>
        <v>0</v>
      </c>
      <c r="L6" s="229" t="s">
        <v>320</v>
      </c>
    </row>
    <row r="7" spans="1:13">
      <c r="D7" s="191">
        <f t="shared" si="0"/>
        <v>904.17</v>
      </c>
      <c r="E7" s="192">
        <v>1200.83</v>
      </c>
      <c r="F7" s="191">
        <f t="shared" si="1"/>
        <v>904.17</v>
      </c>
      <c r="G7" s="192">
        <f t="shared" si="2"/>
        <v>1200.83</v>
      </c>
      <c r="H7" s="193">
        <v>0.25</v>
      </c>
      <c r="I7" s="194">
        <f>IF($B$4&gt;G7,(G7-F7)*H7,IF($B$4&gt;F7,($B$4-F7)*H7,0))</f>
        <v>0</v>
      </c>
      <c r="K7" s="223">
        <f t="shared" si="4"/>
        <v>0</v>
      </c>
      <c r="L7" s="229" t="s">
        <v>321</v>
      </c>
    </row>
    <row r="8" spans="1:13">
      <c r="A8" s="205" t="s">
        <v>306</v>
      </c>
      <c r="B8" s="206">
        <f>IF(salmensu-rmi&lt;=0,salmensu,rmi)</f>
        <v>0</v>
      </c>
      <c r="D8" s="191">
        <f t="shared" si="0"/>
        <v>1200.83</v>
      </c>
      <c r="E8" s="192">
        <v>1497.5</v>
      </c>
      <c r="F8" s="191">
        <f t="shared" si="1"/>
        <v>1200.83</v>
      </c>
      <c r="G8" s="192">
        <f t="shared" si="2"/>
        <v>1497.5</v>
      </c>
      <c r="H8" s="193">
        <v>0.33333333333333331</v>
      </c>
      <c r="I8" s="194">
        <f t="shared" si="3"/>
        <v>0</v>
      </c>
      <c r="K8" s="223">
        <f t="shared" si="4"/>
        <v>0</v>
      </c>
      <c r="L8" s="229" t="s">
        <v>322</v>
      </c>
    </row>
    <row r="9" spans="1:13">
      <c r="A9" s="207" t="s">
        <v>307</v>
      </c>
      <c r="B9" s="208">
        <f>qsp</f>
        <v>0</v>
      </c>
      <c r="D9" s="191">
        <f t="shared" si="0"/>
        <v>1497.5</v>
      </c>
      <c r="E9" s="192">
        <v>1799.17</v>
      </c>
      <c r="F9" s="191">
        <f t="shared" si="1"/>
        <v>1497.5</v>
      </c>
      <c r="G9" s="192">
        <f t="shared" si="2"/>
        <v>1799.17</v>
      </c>
      <c r="H9" s="193">
        <v>0.66666666666666663</v>
      </c>
      <c r="I9" s="194">
        <f t="shared" si="3"/>
        <v>0</v>
      </c>
      <c r="K9" s="223">
        <f t="shared" si="4"/>
        <v>0</v>
      </c>
      <c r="L9" s="229" t="s">
        <v>323</v>
      </c>
    </row>
    <row r="10" spans="1:13">
      <c r="A10" s="209" t="s">
        <v>308</v>
      </c>
      <c r="B10" s="210">
        <f>IF(salmensu-rmi-qsp&lt;0,0,salmensu-rmi-qsp)</f>
        <v>0</v>
      </c>
      <c r="D10" s="196">
        <f t="shared" si="0"/>
        <v>1799.17</v>
      </c>
      <c r="E10" s="195">
        <v>99999999</v>
      </c>
      <c r="F10" s="196">
        <f t="shared" si="1"/>
        <v>1799.17</v>
      </c>
      <c r="G10" s="197">
        <f>E10</f>
        <v>99999999</v>
      </c>
      <c r="H10" s="198">
        <v>1</v>
      </c>
      <c r="I10" s="194">
        <f t="shared" si="3"/>
        <v>0</v>
      </c>
      <c r="K10" s="224">
        <f t="shared" si="4"/>
        <v>0</v>
      </c>
      <c r="L10" s="230" t="s">
        <v>324</v>
      </c>
    </row>
    <row r="11" spans="1:13">
      <c r="D11" s="186"/>
      <c r="E11" s="186"/>
      <c r="F11" s="186"/>
      <c r="G11" s="649" t="s">
        <v>311</v>
      </c>
      <c r="H11" s="650"/>
      <c r="I11" s="199">
        <f>SUM(I4:I10)</f>
        <v>0</v>
      </c>
    </row>
    <row r="12" spans="1:13">
      <c r="A12" s="211" t="s">
        <v>309</v>
      </c>
      <c r="B12" s="310">
        <v>118.33</v>
      </c>
      <c r="D12" s="186"/>
      <c r="E12" s="186"/>
      <c r="F12" s="186"/>
      <c r="G12" s="655" t="s">
        <v>312</v>
      </c>
      <c r="H12" s="655"/>
      <c r="I12" s="200" t="str">
        <f>IF(salmensu=0,"",IF(salmensu-qs&lt;rmi,"OUI","NON"))</f>
        <v/>
      </c>
    </row>
    <row r="13" spans="1:13" ht="15">
      <c r="A13" s="212" t="s">
        <v>310</v>
      </c>
      <c r="B13" s="210">
        <v>535.16999999999996</v>
      </c>
      <c r="D13" s="201"/>
      <c r="E13" s="201"/>
      <c r="F13" s="201"/>
      <c r="G13" s="656" t="s">
        <v>313</v>
      </c>
      <c r="H13" s="656"/>
      <c r="I13" s="199">
        <f>IF(salmensu-qs&lt;rmi,IF(salmensu-rmi&lt;0,0,salmensu-rmi),qs)</f>
        <v>0</v>
      </c>
    </row>
    <row r="15" spans="1:13" ht="15.75">
      <c r="G15" s="654" t="s">
        <v>314</v>
      </c>
      <c r="H15" s="654"/>
      <c r="I15" s="218">
        <f>IF(I12="OUI",qsp,I11)</f>
        <v>0</v>
      </c>
    </row>
    <row r="17" spans="1:1" ht="15">
      <c r="A17" s="96" t="s">
        <v>253</v>
      </c>
    </row>
    <row r="19" spans="1:1" ht="15">
      <c r="A19" s="96" t="s">
        <v>228</v>
      </c>
    </row>
    <row r="48" spans="1:4">
      <c r="A48" s="97" t="s">
        <v>249</v>
      </c>
      <c r="C48" s="97" t="s">
        <v>249</v>
      </c>
      <c r="D48" s="97" t="s">
        <v>248</v>
      </c>
    </row>
  </sheetData>
  <mergeCells count="7">
    <mergeCell ref="D3:E3"/>
    <mergeCell ref="F3:G3"/>
    <mergeCell ref="G11:H11"/>
    <mergeCell ref="A1:I1"/>
    <mergeCell ref="G15:H15"/>
    <mergeCell ref="G12:H12"/>
    <mergeCell ref="G13:H13"/>
  </mergeCells>
  <conditionalFormatting sqref="I12">
    <cfRule type="cellIs" dxfId="0" priority="1" stopIfTrue="1" operator="equal">
      <formula>"OUI"</formula>
    </cfRule>
  </conditionalFormatting>
  <hyperlinks>
    <hyperlink ref="A19" location="BULLETIN" display="BULLETIN"/>
    <hyperlink ref="A17" r:id="rId1"/>
    <hyperlink ref="K1" location="BULLETIN" display="BULLETIN"/>
    <hyperlink ref="L1" location="INFO" display="INFO"/>
  </hyperlinks>
  <pageMargins left="0.78740157499999996" right="0.78740157499999996" top="0.984251969" bottom="0.984251969" header="0.4921259845" footer="0.4921259845"/>
  <pageSetup paperSize="9" orientation="portrait" r:id="rId2"/>
  <headerFooter alignWithMargins="0"/>
</worksheet>
</file>

<file path=xl/worksheets/sheet11.xml><?xml version="1.0" encoding="utf-8"?>
<worksheet xmlns="http://schemas.openxmlformats.org/spreadsheetml/2006/main" xmlns:r="http://schemas.openxmlformats.org/officeDocument/2006/relationships">
  <sheetPr codeName="Feuil9">
    <tabColor rgb="FF7030A0"/>
  </sheetPr>
  <dimension ref="A1:AC15"/>
  <sheetViews>
    <sheetView workbookViewId="0">
      <selection activeCell="E19" sqref="E19"/>
    </sheetView>
  </sheetViews>
  <sheetFormatPr defaultColWidth="11.42578125" defaultRowHeight="15"/>
  <cols>
    <col min="1" max="2" width="17.7109375" style="93" customWidth="1"/>
    <col min="3" max="3" width="23.5703125" style="93" customWidth="1"/>
    <col min="4" max="4" width="17.7109375" style="93" customWidth="1"/>
    <col min="5" max="5" width="32" style="93" customWidth="1"/>
    <col min="6" max="6" width="34.28515625" style="93" customWidth="1"/>
    <col min="7" max="16384" width="11.42578125" style="93"/>
  </cols>
  <sheetData>
    <row r="1" spans="1:29">
      <c r="C1" s="29" t="s">
        <v>246</v>
      </c>
    </row>
    <row r="2" spans="1:29" ht="18.75">
      <c r="A2" s="93" t="s">
        <v>244</v>
      </c>
      <c r="B2" s="503">
        <v>42857</v>
      </c>
      <c r="C2" s="95" t="str">
        <f>DATEDIF(B2,B3,"Y")&amp;IF(DATEDIF(B2,B3,"Y")&gt;1," ans, "," an, ")&amp;DATEDIF(B2,B3,"YM")&amp;" mois et "&amp;DATEDIF(B2,B3,"MD")&amp;IF(DATEDIF(B2,B3,"MD")&gt;1," jours"," jour")</f>
        <v>0 an, 1 mois et 28 jours</v>
      </c>
      <c r="E2" s="57" t="s">
        <v>141</v>
      </c>
      <c r="F2" s="58">
        <f>YEAR('info bulletin'!C3)</f>
        <v>2017</v>
      </c>
      <c r="AB2" s="93" t="s">
        <v>447</v>
      </c>
      <c r="AC2" s="93">
        <v>2016</v>
      </c>
    </row>
    <row r="3" spans="1:29">
      <c r="A3" s="93" t="s">
        <v>245</v>
      </c>
      <c r="B3" s="503">
        <v>42916</v>
      </c>
      <c r="C3" s="95" t="str">
        <f>DATEDIF(B2,B3,"m")&amp;" mois ,"&amp;B3-DATE(YEAR(B3),MONTH(B3),1)&amp;" jours"</f>
        <v>1 mois ,29 jours</v>
      </c>
      <c r="E3" s="60" t="s">
        <v>129</v>
      </c>
      <c r="F3" s="61">
        <f>DATE(F2,1,1)</f>
        <v>42736</v>
      </c>
      <c r="AB3" s="93" t="s">
        <v>448</v>
      </c>
      <c r="AC3" s="93">
        <v>2017</v>
      </c>
    </row>
    <row r="4" spans="1:29">
      <c r="C4" s="95" t="str">
        <f>TRUNC((B3-B2)/7)&amp;" semaines"</f>
        <v>8 semaines</v>
      </c>
      <c r="E4" s="63" t="s">
        <v>139</v>
      </c>
      <c r="F4" s="64">
        <f>ROUND(DATE(F2,4,MOD(234-11*MOD(F2,19),30))/7,0)*7-6</f>
        <v>42841</v>
      </c>
      <c r="AB4" s="93" t="s">
        <v>449</v>
      </c>
      <c r="AC4" s="93">
        <v>2018</v>
      </c>
    </row>
    <row r="5" spans="1:29">
      <c r="E5" s="63" t="s">
        <v>130</v>
      </c>
      <c r="F5" s="64">
        <f>J_PAQUES+1</f>
        <v>42842</v>
      </c>
      <c r="AB5" s="93" t="s">
        <v>450</v>
      </c>
      <c r="AC5" s="93">
        <v>2019</v>
      </c>
    </row>
    <row r="6" spans="1:29">
      <c r="A6" s="657" t="s">
        <v>239</v>
      </c>
      <c r="B6" s="658"/>
      <c r="E6" s="63" t="s">
        <v>131</v>
      </c>
      <c r="F6" s="64">
        <f>DATE(F2,5,1)</f>
        <v>42856</v>
      </c>
      <c r="AB6" s="93" t="s">
        <v>451</v>
      </c>
      <c r="AC6" s="93">
        <v>2020</v>
      </c>
    </row>
    <row r="7" spans="1:29">
      <c r="A7" s="100">
        <v>60</v>
      </c>
      <c r="B7" s="101">
        <v>100</v>
      </c>
      <c r="E7" s="63" t="s">
        <v>132</v>
      </c>
      <c r="F7" s="64">
        <f>DATE(F2,5,8)</f>
        <v>42863</v>
      </c>
      <c r="AB7" s="93" t="s">
        <v>452</v>
      </c>
      <c r="AC7" s="93">
        <v>2021</v>
      </c>
    </row>
    <row r="8" spans="1:29">
      <c r="A8" s="504">
        <v>30</v>
      </c>
      <c r="B8" s="94">
        <f>A8*B7/A7</f>
        <v>50</v>
      </c>
      <c r="E8" s="63" t="s">
        <v>133</v>
      </c>
      <c r="F8" s="64">
        <f>J_PAQUES+39</f>
        <v>42880</v>
      </c>
      <c r="AB8" s="93" t="s">
        <v>453</v>
      </c>
      <c r="AC8" s="93">
        <v>2022</v>
      </c>
    </row>
    <row r="9" spans="1:29">
      <c r="E9" s="63" t="s">
        <v>140</v>
      </c>
      <c r="F9" s="64">
        <f>J_PAQUES+49</f>
        <v>42890</v>
      </c>
      <c r="AB9" s="93" t="s">
        <v>454</v>
      </c>
      <c r="AC9" s="93">
        <v>2023</v>
      </c>
    </row>
    <row r="10" spans="1:29">
      <c r="A10" s="657" t="s">
        <v>240</v>
      </c>
      <c r="B10" s="658"/>
      <c r="E10" s="92" t="s">
        <v>187</v>
      </c>
      <c r="F10" s="68">
        <f>IF(E10=0,"0",J_PAQUES+50)</f>
        <v>42891</v>
      </c>
      <c r="AB10" s="93" t="s">
        <v>455</v>
      </c>
      <c r="AC10" s="93">
        <v>2024</v>
      </c>
    </row>
    <row r="11" spans="1:29">
      <c r="A11" s="100">
        <v>100</v>
      </c>
      <c r="B11" s="101">
        <v>60</v>
      </c>
      <c r="E11" s="63" t="s">
        <v>134</v>
      </c>
      <c r="F11" s="64">
        <f>DATE(F2,7,14)</f>
        <v>42930</v>
      </c>
      <c r="AB11" s="93" t="s">
        <v>456</v>
      </c>
      <c r="AC11" s="93">
        <v>2025</v>
      </c>
    </row>
    <row r="12" spans="1:29">
      <c r="A12" s="504">
        <v>40</v>
      </c>
      <c r="B12" s="94">
        <f>A12*B11/A11</f>
        <v>24</v>
      </c>
      <c r="E12" s="63" t="s">
        <v>135</v>
      </c>
      <c r="F12" s="64">
        <f>DATE(F2,8,15)</f>
        <v>42962</v>
      </c>
      <c r="AB12" s="93" t="s">
        <v>457</v>
      </c>
      <c r="AC12" s="93">
        <v>2026</v>
      </c>
    </row>
    <row r="13" spans="1:29">
      <c r="E13" s="63" t="s">
        <v>136</v>
      </c>
      <c r="F13" s="64">
        <f>DATE(F2,11,1)</f>
        <v>43040</v>
      </c>
      <c r="AB13" s="93" t="s">
        <v>458</v>
      </c>
      <c r="AC13" s="93">
        <v>2027</v>
      </c>
    </row>
    <row r="14" spans="1:29">
      <c r="E14" s="63" t="s">
        <v>137</v>
      </c>
      <c r="F14" s="64">
        <f>DATE(F2,11,11)</f>
        <v>43050</v>
      </c>
    </row>
    <row r="15" spans="1:29">
      <c r="E15" s="70" t="s">
        <v>138</v>
      </c>
      <c r="F15" s="71">
        <f>DATE(F2,12,25)</f>
        <v>43094</v>
      </c>
    </row>
  </sheetData>
  <mergeCells count="2">
    <mergeCell ref="A6:B6"/>
    <mergeCell ref="A10:B10"/>
  </mergeCells>
  <dataValidations count="1">
    <dataValidation type="list" allowBlank="1" showInputMessage="1" showErrorMessage="1" sqref="E10">
      <formula1>"Lundi de pentecôte,0"</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105</vt:i4>
      </vt:variant>
    </vt:vector>
  </HeadingPairs>
  <TitlesOfParts>
    <vt:vector size="116" baseType="lpstr">
      <vt:lpstr>Feuil1</vt:lpstr>
      <vt:lpstr>info bulletin</vt:lpstr>
      <vt:lpstr>Modèle Non Cadre</vt:lpstr>
      <vt:lpstr>Modèle Simplifié</vt:lpstr>
      <vt:lpstr>H SUP</vt:lpstr>
      <vt:lpstr>Abs_NR</vt:lpstr>
      <vt:lpstr>Abs_CP</vt:lpstr>
      <vt:lpstr>CP</vt:lpstr>
      <vt:lpstr>AN</vt:lpstr>
      <vt:lpstr>SAISIE</vt:lpstr>
      <vt:lpstr>divers</vt:lpstr>
      <vt:lpstr>ABO_TR</vt:lpstr>
      <vt:lpstr>ABS</vt:lpstr>
      <vt:lpstr>ABS_CP</vt:lpstr>
      <vt:lpstr>ABS_NR</vt:lpstr>
      <vt:lpstr>ABSNR</vt:lpstr>
      <vt:lpstr>ACOMPTE</vt:lpstr>
      <vt:lpstr>AN_ABO</vt:lpstr>
      <vt:lpstr>AN_EF</vt:lpstr>
      <vt:lpstr>AN_LOG</vt:lpstr>
      <vt:lpstr>AN_REPAS</vt:lpstr>
      <vt:lpstr>AN_TECH</vt:lpstr>
      <vt:lpstr>AN_TECH_ABO</vt:lpstr>
      <vt:lpstr>AN_TR</vt:lpstr>
      <vt:lpstr>AN_VEH</vt:lpstr>
      <vt:lpstr>AN_VEH_HA</vt:lpstr>
      <vt:lpstr>AN_VEH_LOA</vt:lpstr>
      <vt:lpstr>ANLOGEMENT</vt:lpstr>
      <vt:lpstr>ANREPAS</vt:lpstr>
      <vt:lpstr>ANTR</vt:lpstr>
      <vt:lpstr>ANVEHICULE</vt:lpstr>
      <vt:lpstr>BAREMES</vt:lpstr>
      <vt:lpstr>BASE_HOR</vt:lpstr>
      <vt:lpstr>BASE_SMIC</vt:lpstr>
      <vt:lpstr>BULLETIN</vt:lpstr>
      <vt:lpstr>cODES</vt:lpstr>
      <vt:lpstr>COT_TR</vt:lpstr>
      <vt:lpstr>CP</vt:lpstr>
      <vt:lpstr>CP_JOUR</vt:lpstr>
      <vt:lpstr>CP_R_M</vt:lpstr>
      <vt:lpstr>CRDSND</vt:lpstr>
      <vt:lpstr>CSGD</vt:lpstr>
      <vt:lpstr>CSGND</vt:lpstr>
      <vt:lpstr>D_ABS_CP</vt:lpstr>
      <vt:lpstr>D_ABS_NR</vt:lpstr>
      <vt:lpstr>EF_SAL</vt:lpstr>
      <vt:lpstr>EVAL_FOR_REPAS</vt:lpstr>
      <vt:lpstr>F_ABS_CP</vt:lpstr>
      <vt:lpstr>F_ABS_NR</vt:lpstr>
      <vt:lpstr>FERIES</vt:lpstr>
      <vt:lpstr>H_10</vt:lpstr>
      <vt:lpstr>H_25</vt:lpstr>
      <vt:lpstr>H_50</vt:lpstr>
      <vt:lpstr>H_ABS_CP</vt:lpstr>
      <vt:lpstr>H_ABS_NR</vt:lpstr>
      <vt:lpstr>H_R_W_M</vt:lpstr>
      <vt:lpstr>HS</vt:lpstr>
      <vt:lpstr>ICCP</vt:lpstr>
      <vt:lpstr>ICCPFRACT</vt:lpstr>
      <vt:lpstr>INFO</vt:lpstr>
      <vt:lpstr>J_CP</vt:lpstr>
      <vt:lpstr>J_EF</vt:lpstr>
      <vt:lpstr>J_PAQUES</vt:lpstr>
      <vt:lpstr>J_TR</vt:lpstr>
      <vt:lpstr>MOIS_BULLETIN</vt:lpstr>
      <vt:lpstr>MUTUELLE</vt:lpstr>
      <vt:lpstr>NAP</vt:lpstr>
      <vt:lpstr>NBRE_H_MOIS</vt:lpstr>
      <vt:lpstr>NBRE_H_SEM</vt:lpstr>
      <vt:lpstr>NBRE_J_SEM</vt:lpstr>
      <vt:lpstr>NBRE_PERS_CHAR</vt:lpstr>
      <vt:lpstr>NBRE_PIECES</vt:lpstr>
      <vt:lpstr>NBRE_SALARIES</vt:lpstr>
      <vt:lpstr>NetImposable</vt:lpstr>
      <vt:lpstr>PPAT_PREV_DC</vt:lpstr>
      <vt:lpstr>PPAT_TR</vt:lpstr>
      <vt:lpstr>PPMUT</vt:lpstr>
      <vt:lpstr>PPPREVDC</vt:lpstr>
      <vt:lpstr>PS</vt:lpstr>
      <vt:lpstr>PSAL_EF_REPAS</vt:lpstr>
      <vt:lpstr>PSAL_MUT</vt:lpstr>
      <vt:lpstr>PSAL_PREV_DC</vt:lpstr>
      <vt:lpstr>PSAL_TR</vt:lpstr>
      <vt:lpstr>PSS</vt:lpstr>
      <vt:lpstr>qs</vt:lpstr>
      <vt:lpstr>qsp</vt:lpstr>
      <vt:lpstr>rmi</vt:lpstr>
      <vt:lpstr>RSA_Calcule</vt:lpstr>
      <vt:lpstr>rsa_Insaisissable</vt:lpstr>
      <vt:lpstr>S_RTT</vt:lpstr>
      <vt:lpstr>SAISIE</vt:lpstr>
      <vt:lpstr>SAISIE_SAL</vt:lpstr>
      <vt:lpstr>salmensu</vt:lpstr>
      <vt:lpstr>SBASE</vt:lpstr>
      <vt:lpstr>SBRUT</vt:lpstr>
      <vt:lpstr>SMIC_M</vt:lpstr>
      <vt:lpstr>SNAR</vt:lpstr>
      <vt:lpstr>SoldeICCPMaintien</vt:lpstr>
      <vt:lpstr>SoldeICCPN</vt:lpstr>
      <vt:lpstr>SoldeICCPN1</vt:lpstr>
      <vt:lpstr>SoldeICCPNR10</vt:lpstr>
      <vt:lpstr>TAT</vt:lpstr>
      <vt:lpstr>TATD</vt:lpstr>
      <vt:lpstr>TATM</vt:lpstr>
      <vt:lpstr>totcotpat</vt:lpstr>
      <vt:lpstr>totcotsal</vt:lpstr>
      <vt:lpstr>TotMajo</vt:lpstr>
      <vt:lpstr>TOTRET</vt:lpstr>
      <vt:lpstr>TR_SAL</vt:lpstr>
      <vt:lpstr>TX_10</vt:lpstr>
      <vt:lpstr>TX_25</vt:lpstr>
      <vt:lpstr>TX_50</vt:lpstr>
      <vt:lpstr>TX_CHOM</vt:lpstr>
      <vt:lpstr>TX_HOR</vt:lpstr>
      <vt:lpstr>V_F_TR</vt:lpstr>
      <vt:lpstr>vMax_PP_TR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Carim</cp:lastModifiedBy>
  <cp:lastPrinted>2017-10-25T11:35:02Z</cp:lastPrinted>
  <dcterms:created xsi:type="dcterms:W3CDTF">2017-09-26T07:31:05Z</dcterms:created>
  <dcterms:modified xsi:type="dcterms:W3CDTF">2017-10-28T07:31:55Z</dcterms:modified>
</cp:coreProperties>
</file>