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3945" windowWidth="17250" windowHeight="3990" activeTab="2"/>
  </bookViews>
  <sheets>
    <sheet name="Client" sheetId="1" r:id="rId1"/>
    <sheet name="Satisfaction" sheetId="2" r:id="rId2"/>
    <sheet name="Stats" sheetId="3" r:id="rId3"/>
  </sheets>
  <definedNames>
    <definedName name="_xlnm._FilterDatabase" localSheetId="0" hidden="1">Client!$B$3:$H$10</definedName>
    <definedName name="_xlnm._FilterDatabase" localSheetId="2" hidden="1">Stats!$B$3:$G$8</definedName>
    <definedName name="Dates">OFFSET(Client!$B$4,,,COUNTA(Client!$B:$B)-1)</definedName>
    <definedName name="Formation">OFFSET(Client!$C$4,,,COUNTA(Dates))</definedName>
  </definedNames>
  <calcPr calcId="125725"/>
</workbook>
</file>

<file path=xl/calcChain.xml><?xml version="1.0" encoding="utf-8"?>
<calcChain xmlns="http://schemas.openxmlformats.org/spreadsheetml/2006/main">
  <c r="D4" i="3"/>
  <c r="D5"/>
  <c r="D6"/>
  <c r="D7"/>
  <c r="D8"/>
  <c r="I8"/>
  <c r="I7"/>
  <c r="I6"/>
  <c r="I5"/>
  <c r="I4"/>
  <c r="E8"/>
  <c r="E7"/>
  <c r="E6"/>
  <c r="E5"/>
  <c r="E4"/>
  <c r="C5"/>
  <c r="C6"/>
  <c r="C7"/>
  <c r="C8"/>
  <c r="C4"/>
  <c r="J7"/>
  <c r="J5"/>
  <c r="J6"/>
  <c r="J8"/>
  <c r="N4"/>
  <c r="G7" s="1"/>
  <c r="C13" i="2"/>
  <c r="O20"/>
  <c r="O19"/>
  <c r="O18"/>
  <c r="O13"/>
  <c r="O12"/>
  <c r="O11"/>
  <c r="O6"/>
  <c r="O5"/>
  <c r="O4"/>
  <c r="K20"/>
  <c r="K19"/>
  <c r="K18"/>
  <c r="K11"/>
  <c r="K13"/>
  <c r="K12"/>
  <c r="K6"/>
  <c r="K5"/>
  <c r="K4"/>
  <c r="G20"/>
  <c r="G19"/>
  <c r="G18"/>
  <c r="G21" s="1"/>
  <c r="G13"/>
  <c r="G12"/>
  <c r="G11"/>
  <c r="G4"/>
  <c r="C12"/>
  <c r="C11"/>
  <c r="C14" s="1"/>
  <c r="C5"/>
  <c r="C4"/>
  <c r="C6"/>
  <c r="G6"/>
  <c r="G5"/>
  <c r="C20"/>
  <c r="C19"/>
  <c r="C18"/>
  <c r="O14"/>
  <c r="P12" s="1"/>
  <c r="K7"/>
  <c r="L6" s="1"/>
  <c r="G14"/>
  <c r="H13" s="1"/>
  <c r="O21"/>
  <c r="P20" s="1"/>
  <c r="K14"/>
  <c r="L12" s="1"/>
  <c r="P19"/>
  <c r="K21"/>
  <c r="L19" s="1"/>
  <c r="H12" l="1"/>
  <c r="L11"/>
  <c r="P18"/>
  <c r="O22" s="1"/>
  <c r="P11"/>
  <c r="L4"/>
  <c r="K8" s="1"/>
  <c r="C21"/>
  <c r="C7"/>
  <c r="O7"/>
  <c r="H11"/>
  <c r="G15" s="1"/>
  <c r="L13"/>
  <c r="K15" s="1"/>
  <c r="P13"/>
  <c r="D19"/>
  <c r="D20"/>
  <c r="D4"/>
  <c r="D6"/>
  <c r="D11"/>
  <c r="D13"/>
  <c r="D12"/>
  <c r="H18"/>
  <c r="G22" s="1"/>
  <c r="H20"/>
  <c r="P6"/>
  <c r="P4"/>
  <c r="P5"/>
  <c r="D5"/>
  <c r="H19"/>
  <c r="D18"/>
  <c r="G7"/>
  <c r="H5" s="1"/>
  <c r="L20"/>
  <c r="L18"/>
  <c r="K22" s="1"/>
  <c r="K24" s="1"/>
  <c r="L5"/>
  <c r="I10" i="3"/>
  <c r="G4"/>
  <c r="G8"/>
  <c r="G5"/>
  <c r="J4"/>
  <c r="N3"/>
  <c r="G6" s="1"/>
  <c r="O15" i="2" l="1"/>
  <c r="C22"/>
  <c r="O8"/>
  <c r="O24" s="1"/>
  <c r="C15"/>
  <c r="C8"/>
  <c r="H4"/>
  <c r="H6"/>
  <c r="F5" i="3"/>
  <c r="F7"/>
  <c r="F6"/>
  <c r="F8"/>
  <c r="F4"/>
  <c r="C24" i="2" l="1"/>
  <c r="G8"/>
  <c r="G24" s="1"/>
</calcChain>
</file>

<file path=xl/sharedStrings.xml><?xml version="1.0" encoding="utf-8"?>
<sst xmlns="http://schemas.openxmlformats.org/spreadsheetml/2006/main" count="135" uniqueCount="63">
  <si>
    <t>Date</t>
  </si>
  <si>
    <t>Formation</t>
  </si>
  <si>
    <t>Entreprise</t>
  </si>
  <si>
    <t>Stagiaire</t>
  </si>
  <si>
    <t>Note</t>
  </si>
  <si>
    <t>Base</t>
  </si>
  <si>
    <t>Passif</t>
  </si>
  <si>
    <t>Promoteur</t>
  </si>
  <si>
    <t>Détracteur</t>
  </si>
  <si>
    <t>Total</t>
  </si>
  <si>
    <t>SATISFACTION CLIENT 2015</t>
  </si>
  <si>
    <t>Personnalisé</t>
  </si>
  <si>
    <t>Satisfaction</t>
  </si>
  <si>
    <t>Lieu</t>
  </si>
  <si>
    <t>Agence</t>
  </si>
  <si>
    <t>Extérieur</t>
  </si>
  <si>
    <t>Initié</t>
  </si>
  <si>
    <t>Janvier</t>
  </si>
  <si>
    <t>Juillet</t>
  </si>
  <si>
    <t>Avril</t>
  </si>
  <si>
    <t>Octobre</t>
  </si>
  <si>
    <t>Novembre</t>
  </si>
  <si>
    <t>Août</t>
  </si>
  <si>
    <t>Mai</t>
  </si>
  <si>
    <t>Février</t>
  </si>
  <si>
    <t>Mars</t>
  </si>
  <si>
    <t>Juin</t>
  </si>
  <si>
    <t>Septembre</t>
  </si>
  <si>
    <t>Décembre</t>
  </si>
  <si>
    <t>Type</t>
  </si>
  <si>
    <t>Clients</t>
  </si>
  <si>
    <t>Perfectionnement</t>
  </si>
  <si>
    <t>Trimestre 1</t>
  </si>
  <si>
    <t>Trimestre 2</t>
  </si>
  <si>
    <t>Trimestre 3</t>
  </si>
  <si>
    <t>Trimest 4</t>
  </si>
  <si>
    <t>Nouveauté</t>
  </si>
  <si>
    <t>Taux</t>
  </si>
  <si>
    <t>Nbr Formation</t>
  </si>
  <si>
    <t>Nbr Jours</t>
  </si>
  <si>
    <t>Nbr Passifs</t>
  </si>
  <si>
    <t>Taux Total</t>
  </si>
  <si>
    <t>Total Jours</t>
  </si>
  <si>
    <t>Taux (formation)</t>
  </si>
  <si>
    <t>Taux (Jour)</t>
  </si>
  <si>
    <t>A</t>
  </si>
  <si>
    <t>Total Passifs</t>
  </si>
  <si>
    <t>G</t>
  </si>
  <si>
    <t>H</t>
  </si>
  <si>
    <t>Z</t>
  </si>
  <si>
    <t>V</t>
  </si>
  <si>
    <t xml:space="preserve"> Elise</t>
  </si>
  <si>
    <t xml:space="preserve">Chen </t>
  </si>
  <si>
    <t>Alain</t>
  </si>
  <si>
    <t xml:space="preserve"> Matthieu</t>
  </si>
  <si>
    <t>Simon</t>
  </si>
  <si>
    <t xml:space="preserve"> Sébastien</t>
  </si>
  <si>
    <t xml:space="preserve">Guillaume </t>
  </si>
  <si>
    <t>Jours</t>
  </si>
  <si>
    <t>Modifications pour ajouter tes formules</t>
  </si>
  <si>
    <t xml:space="preserve">  Est-ce bien cela</t>
  </si>
  <si>
    <t>dont tu as besoin</t>
  </si>
  <si>
    <t>????????????????????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</si>
</sst>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2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0"/>
      <color indexed="8"/>
      <name val="Aharoni"/>
      <charset val="177"/>
    </font>
    <font>
      <sz val="14"/>
      <color indexed="55"/>
      <name val="Bauhaus 93"/>
      <family val="5"/>
    </font>
    <font>
      <sz val="11"/>
      <color indexed="55"/>
      <name val="Calibri"/>
      <family val="2"/>
    </font>
    <font>
      <sz val="11"/>
      <color indexed="8"/>
      <name val="Berlin Sans FB Demi"/>
      <family val="2"/>
    </font>
    <font>
      <sz val="10"/>
      <color indexed="8"/>
      <name val="Berlin Sans FB Demi"/>
      <family val="2"/>
    </font>
    <font>
      <sz val="11"/>
      <name val="Berlin Sans FB Demi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indexed="8"/>
      <name val="Bauhaus 93"/>
      <family val="5"/>
    </font>
    <font>
      <b/>
      <sz val="11"/>
      <color indexed="8"/>
      <name val="Calibri"/>
      <family val="2"/>
    </font>
    <font>
      <b/>
      <sz val="10"/>
      <color indexed="8"/>
      <name val="Aharoni"/>
      <charset val="177"/>
    </font>
    <font>
      <b/>
      <sz val="10"/>
      <color indexed="8"/>
      <name val="Calibri"/>
      <family val="2"/>
    </font>
    <font>
      <sz val="10"/>
      <name val="Arial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4"/>
      <color rgb="FFFF0000"/>
      <name val="Bauhaus 93"/>
      <family val="5"/>
    </font>
    <font>
      <b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57"/>
      </patternFill>
    </fill>
    <fill>
      <patternFill patternType="solid">
        <fgColor indexed="51"/>
        <bgColor indexed="57"/>
      </patternFill>
    </fill>
    <fill>
      <patternFill patternType="solid">
        <fgColor indexed="29"/>
        <bgColor indexed="57"/>
      </patternFill>
    </fill>
    <fill>
      <patternFill patternType="solid">
        <fgColor indexed="22"/>
        <bgColor indexed="57"/>
      </patternFill>
    </fill>
    <fill>
      <patternFill patternType="solid">
        <fgColor indexed="46"/>
        <bgColor indexed="57"/>
      </patternFill>
    </fill>
    <fill>
      <patternFill patternType="solid">
        <fgColor indexed="4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64" fontId="9" fillId="0" borderId="1" xfId="0" applyNumberFormat="1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9" fontId="10" fillId="0" borderId="7" xfId="1" applyFont="1" applyBorder="1" applyAlignment="1">
      <alignment horizontal="center"/>
    </xf>
    <xf numFmtId="9" fontId="10" fillId="0" borderId="8" xfId="1" applyFont="1" applyBorder="1" applyAlignment="1">
      <alignment horizontal="center"/>
    </xf>
    <xf numFmtId="9" fontId="10" fillId="0" borderId="0" xfId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12" fillId="0" borderId="0" xfId="0" applyFont="1" applyBorder="1" applyAlignment="1">
      <alignment horizontal="center"/>
    </xf>
    <xf numFmtId="9" fontId="10" fillId="0" borderId="6" xfId="1" applyFont="1" applyBorder="1" applyAlignment="1">
      <alignment horizontal="center"/>
    </xf>
    <xf numFmtId="9" fontId="10" fillId="0" borderId="6" xfId="0" applyNumberFormat="1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4" fillId="0" borderId="9" xfId="0" applyFont="1" applyFill="1" applyBorder="1" applyAlignment="1"/>
    <xf numFmtId="0" fontId="4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10" xfId="0" applyFill="1" applyBorder="1" applyAlignment="1">
      <alignment horizontal="center"/>
    </xf>
    <xf numFmtId="0" fontId="0" fillId="0" borderId="11" xfId="0" applyFill="1" applyBorder="1"/>
    <xf numFmtId="0" fontId="0" fillId="0" borderId="4" xfId="0" applyFill="1" applyBorder="1"/>
    <xf numFmtId="0" fontId="0" fillId="2" borderId="6" xfId="0" applyFill="1" applyBorder="1" applyAlignment="1">
      <alignment horizontal="center"/>
    </xf>
    <xf numFmtId="9" fontId="2" fillId="2" borderId="6" xfId="1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9" fontId="2" fillId="3" borderId="6" xfId="1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9" fontId="2" fillId="4" borderId="6" xfId="1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3" fillId="8" borderId="6" xfId="0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/>
    </xf>
    <xf numFmtId="0" fontId="15" fillId="10" borderId="6" xfId="0" applyFont="1" applyFill="1" applyBorder="1" applyAlignment="1">
      <alignment horizontal="center"/>
    </xf>
    <xf numFmtId="9" fontId="14" fillId="11" borderId="6" xfId="1" applyFont="1" applyFill="1" applyBorder="1" applyAlignment="1">
      <alignment horizontal="center"/>
    </xf>
    <xf numFmtId="9" fontId="16" fillId="11" borderId="6" xfId="1" applyFont="1" applyFill="1" applyBorder="1" applyAlignment="1">
      <alignment horizontal="center"/>
    </xf>
    <xf numFmtId="0" fontId="15" fillId="8" borderId="6" xfId="0" applyFont="1" applyFill="1" applyBorder="1" applyAlignment="1">
      <alignment horizontal="center"/>
    </xf>
    <xf numFmtId="9" fontId="16" fillId="4" borderId="6" xfId="1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7" fillId="0" borderId="3" xfId="0" applyFont="1" applyFill="1" applyBorder="1" applyAlignment="1">
      <alignment horizontal="center"/>
    </xf>
    <xf numFmtId="0" fontId="0" fillId="0" borderId="12" xfId="0" applyFill="1" applyBorder="1"/>
    <xf numFmtId="9" fontId="19" fillId="0" borderId="0" xfId="1" applyFont="1" applyAlignment="1">
      <alignment horizontal="center"/>
    </xf>
    <xf numFmtId="0" fontId="0" fillId="0" borderId="4" xfId="0" applyBorder="1" applyAlignment="1">
      <alignment horizontal="center"/>
    </xf>
    <xf numFmtId="164" fontId="17" fillId="0" borderId="13" xfId="0" applyNumberFormat="1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8" fillId="0" borderId="15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center"/>
    </xf>
    <xf numFmtId="0" fontId="20" fillId="12" borderId="0" xfId="0" applyFont="1" applyFill="1" applyBorder="1" applyAlignment="1">
      <alignment horizontal="centerContinuous"/>
    </xf>
    <xf numFmtId="0" fontId="21" fillId="14" borderId="0" xfId="0" applyFont="1" applyFill="1" applyAlignment="1">
      <alignment horizontal="center"/>
    </xf>
    <xf numFmtId="0" fontId="4" fillId="12" borderId="0" xfId="0" applyFont="1" applyFill="1" applyAlignment="1">
      <alignment horizontal="center"/>
    </xf>
    <xf numFmtId="49" fontId="13" fillId="13" borderId="6" xfId="0" applyNumberFormat="1" applyFont="1" applyFill="1" applyBorder="1" applyAlignment="1">
      <alignment horizontal="center"/>
    </xf>
    <xf numFmtId="0" fontId="4" fillId="12" borderId="0" xfId="0" applyFont="1" applyFill="1" applyBorder="1" applyAlignment="1">
      <alignment horizontal="center"/>
    </xf>
    <xf numFmtId="0" fontId="10" fillId="14" borderId="6" xfId="0" applyNumberFormat="1" applyFont="1" applyFill="1" applyBorder="1" applyAlignment="1">
      <alignment horizontal="center"/>
    </xf>
    <xf numFmtId="0" fontId="10" fillId="14" borderId="6" xfId="0" applyFont="1" applyFill="1" applyBorder="1" applyAlignment="1">
      <alignment horizontal="center"/>
    </xf>
    <xf numFmtId="0" fontId="21" fillId="14" borderId="0" xfId="0" applyFont="1" applyFill="1" applyAlignment="1">
      <alignment horizontal="left"/>
    </xf>
    <xf numFmtId="0" fontId="0" fillId="14" borderId="0" xfId="0" applyFill="1" applyAlignment="1">
      <alignment horizontal="center"/>
    </xf>
    <xf numFmtId="0" fontId="21" fillId="0" borderId="0" xfId="0" applyFont="1" applyAlignment="1">
      <alignment horizontal="right"/>
    </xf>
    <xf numFmtId="0" fontId="21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rgb="FFFFFF00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medium">
          <color indexed="64"/>
        </right>
        <top style="medium">
          <color indexed="64"/>
        </top>
        <bottom/>
      </border>
    </dxf>
    <dxf>
      <border outline="0">
        <top style="medium">
          <color indexed="64"/>
        </top>
      </border>
    </dxf>
    <dxf>
      <border outline="0">
        <right style="medium">
          <color indexed="64"/>
        </right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Berlin Sans FB Dem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barChart>
        <c:barDir val="col"/>
        <c:grouping val="clustered"/>
        <c:ser>
          <c:idx val="0"/>
          <c:order val="0"/>
          <c:tx>
            <c:v>Janvier</c:v>
          </c:tx>
          <c:dLbls>
            <c:dLbl>
              <c:idx val="0"/>
              <c:dLblPos val="ctr"/>
              <c:showVal val="1"/>
              <c:showSerName val="1"/>
              <c:separator>
</c:separator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Lit>
              <c:ptCount val="1"/>
              <c:pt idx="0">
                <c:v>Mois</c:v>
              </c:pt>
            </c:strLit>
          </c:cat>
          <c:val>
            <c:numRef>
              <c:f>Satisfaction!$C$8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v>Février</c:v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dLblPos val="ctr"/>
            <c:showVal val="1"/>
            <c:showSerName val="1"/>
            <c:separator>
</c:separator>
          </c:dLbls>
          <c:cat>
            <c:strLit>
              <c:ptCount val="1"/>
              <c:pt idx="0">
                <c:v>Mois</c:v>
              </c:pt>
            </c:strLit>
          </c:cat>
          <c:val>
            <c:numRef>
              <c:f>Satisfaction!$C$15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</c:ser>
        <c:dLbls>
          <c:showVal val="1"/>
        </c:dLbls>
        <c:overlap val="-25"/>
        <c:axId val="146996224"/>
        <c:axId val="147350272"/>
      </c:barChart>
      <c:catAx>
        <c:axId val="146996224"/>
        <c:scaling>
          <c:orientation val="minMax"/>
        </c:scaling>
        <c:delete val="1"/>
        <c:axPos val="b"/>
        <c:tickLblPos val="none"/>
        <c:crossAx val="147350272"/>
        <c:crosses val="autoZero"/>
        <c:auto val="1"/>
        <c:lblAlgn val="ctr"/>
        <c:lblOffset val="100"/>
      </c:catAx>
      <c:valAx>
        <c:axId val="147350272"/>
        <c:scaling>
          <c:orientation val="minMax"/>
          <c:max val="1"/>
        </c:scaling>
        <c:delete val="1"/>
        <c:axPos val="l"/>
        <c:numFmt formatCode="0%" sourceLinked="1"/>
        <c:tickLblPos val="none"/>
        <c:crossAx val="146996224"/>
        <c:crosses val="autoZero"/>
        <c:crossBetween val="between"/>
      </c:valAx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25</xdr:row>
      <xdr:rowOff>123825</xdr:rowOff>
    </xdr:from>
    <xdr:to>
      <xdr:col>16</xdr:col>
      <xdr:colOff>28575</xdr:colOff>
      <xdr:row>36</xdr:row>
      <xdr:rowOff>161925</xdr:rowOff>
    </xdr:to>
    <xdr:graphicFrame macro="">
      <xdr:nvGraphicFramePr>
        <xdr:cNvPr id="2050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409575</xdr:colOff>
      <xdr:row>12</xdr:row>
      <xdr:rowOff>57150</xdr:rowOff>
    </xdr:from>
    <xdr:to>
      <xdr:col>2</xdr:col>
      <xdr:colOff>495300</xdr:colOff>
      <xdr:row>13</xdr:row>
      <xdr:rowOff>85725</xdr:rowOff>
    </xdr:to>
    <xdr:sp macro="" textlink="">
      <xdr:nvSpPr>
        <xdr:cNvPr id="4108" name="Text Box 1"/>
        <xdr:cNvSpPr txBox="1">
          <a:spLocks noChangeArrowheads="1"/>
        </xdr:cNvSpPr>
      </xdr:nvSpPr>
      <xdr:spPr bwMode="auto">
        <a:xfrm>
          <a:off x="2000250" y="238125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523875</xdr:colOff>
      <xdr:row>8</xdr:row>
      <xdr:rowOff>95250</xdr:rowOff>
    </xdr:from>
    <xdr:to>
      <xdr:col>8</xdr:col>
      <xdr:colOff>0</xdr:colOff>
      <xdr:row>12</xdr:row>
      <xdr:rowOff>142875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838200" y="1695450"/>
          <a:ext cx="7248525" cy="809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Feuille 1 : Saisie des clients (je travaille sur un Userform actuellement)$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Feuille 2 : Taux de satisfaction (beaucoup de formule... je sais pas si c'est judicieux, mais cela fonctionne comme je veux :) 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Feuille 3 : Les stats, c'est la où j'aimerais retrouver les infos du nombre de formation et jours (le nombre de jour n'est pas encore indiqué dans le tableau...)</a:t>
          </a:r>
        </a:p>
      </xdr:txBody>
    </xdr:sp>
    <xdr:clientData/>
  </xdr:twoCellAnchor>
  <xdr:twoCellAnchor editAs="oneCell">
    <xdr:from>
      <xdr:col>1</xdr:col>
      <xdr:colOff>571500</xdr:colOff>
      <xdr:row>13</xdr:row>
      <xdr:rowOff>152400</xdr:rowOff>
    </xdr:from>
    <xdr:to>
      <xdr:col>1</xdr:col>
      <xdr:colOff>657225</xdr:colOff>
      <xdr:row>14</xdr:row>
      <xdr:rowOff>180975</xdr:rowOff>
    </xdr:to>
    <xdr:sp macro="" textlink="">
      <xdr:nvSpPr>
        <xdr:cNvPr id="4110" name="Text Box 3"/>
        <xdr:cNvSpPr txBox="1">
          <a:spLocks noChangeArrowheads="1"/>
        </xdr:cNvSpPr>
      </xdr:nvSpPr>
      <xdr:spPr bwMode="auto">
        <a:xfrm>
          <a:off x="885825" y="26670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13</xdr:row>
      <xdr:rowOff>0</xdr:rowOff>
    </xdr:from>
    <xdr:to>
      <xdr:col>7</xdr:col>
      <xdr:colOff>1190625</xdr:colOff>
      <xdr:row>23</xdr:row>
      <xdr:rowOff>161925</xdr:rowOff>
    </xdr:to>
    <xdr:sp macro="" textlink="">
      <xdr:nvSpPr>
        <xdr:cNvPr id="4100" name="Text Box 4"/>
        <xdr:cNvSpPr txBox="1">
          <a:spLocks noChangeArrowheads="1"/>
        </xdr:cNvSpPr>
      </xdr:nvSpPr>
      <xdr:spPr bwMode="auto">
        <a:xfrm>
          <a:off x="314325" y="2552700"/>
          <a:ext cx="7743825" cy="2066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j'aimerais dans un premier temps compter le nombre de formation réalisées dans l'année (par exemple 6 bases, 7 initiés etc). Mais le problème est que j'aimerais regrouper les formations ayant lieu le même jour comme une seule formation.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6 janv, base avec Monsieur Paul société X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6 janv, base avec Madame Paule, société y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7 janv, base avec Monsieur Heni, société x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Comment obtenir dans ce cas un total de 2 formations de base? Je n'arrive pas à trouver le moyen de faire le compte.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un second temps, j'aurais le même besoins, mais cette fois ci en comptant le nombre de jours par formation.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B3:H10" insertRowShift="1" totalsRowShown="0" headerRowDxfId="28" dataDxfId="26" headerRowBorderDxfId="27" tableBorderDxfId="25" totalsRowBorderDxfId="24">
  <autoFilter ref="B3:H10"/>
  <sortState ref="B4:H10">
    <sortCondition ref="B3:B10"/>
  </sortState>
  <tableColumns count="7">
    <tableColumn id="1" name="Date" dataDxfId="23"/>
    <tableColumn id="2" name="Formation" dataDxfId="22"/>
    <tableColumn id="8" name="Lieu" dataDxfId="21"/>
    <tableColumn id="3" name="Entreprise" dataDxfId="20"/>
    <tableColumn id="4" name="Stagiaire" dataDxfId="19"/>
    <tableColumn id="5" name="Jours" dataDxfId="18"/>
    <tableColumn id="6" name="Note" dataDxfId="17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3:G8" headerRowDxfId="16">
  <autoFilter ref="B3:G8"/>
  <tableColumns count="6">
    <tableColumn id="1" name="Type" totalsRowLabel="Total" dataDxfId="15" totalsRowDxfId="14"/>
    <tableColumn id="2" name="Clients" dataDxfId="3" totalsRowDxfId="13">
      <calculatedColumnFormula>COUNTIF(Formation,$B4)</calculatedColumnFormula>
    </tableColumn>
    <tableColumn id="3" name="Nbr Formation" dataDxfId="2" totalsRowDxfId="12">
      <calculatedColumnFormula>SUMPRODUCT((Client!$C$4:$C$10=$B4)*(YEAR(Client!$B$4:$B$10)=$A$2))</calculatedColumnFormula>
    </tableColumn>
    <tableColumn id="4" name="Nbr Jours" dataDxfId="0" totalsRowDxfId="11"/>
    <tableColumn id="5" name="Taux (formation)" totalsRowFunction="count" dataDxfId="1" totalsRowDxfId="10"/>
    <tableColumn id="6" name="Taux (Jour)" dataDxfId="9" totalsRowDxfId="8"/>
  </tableColumns>
  <tableStyleInfo name="TableStyleMedium11" showFirstColumn="1" showLastColumn="0" showRowStripes="1" showColumnStripes="0"/>
</table>
</file>

<file path=xl/tables/table3.xml><?xml version="1.0" encoding="utf-8"?>
<table xmlns="http://schemas.openxmlformats.org/spreadsheetml/2006/main" id="5" name="Tableau5" displayName="Tableau5" ref="I3:K8" totalsRowShown="0" headerRowDxfId="7">
  <autoFilter ref="I3:K8"/>
  <tableColumns count="3">
    <tableColumn id="1" name="Nbr Passifs" dataDxfId="6"/>
    <tableColumn id="2" name="Taux" dataDxfId="5">
      <calculatedColumnFormula>J10*Stats!$I4/I10</calculatedColumnFormula>
    </tableColumn>
    <tableColumn id="3" name="Taux Total" dataDxfId="4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0"/>
  <sheetViews>
    <sheetView zoomScale="90" zoomScaleNormal="90" workbookViewId="0">
      <selection activeCell="B4" sqref="B4"/>
    </sheetView>
  </sheetViews>
  <sheetFormatPr defaultColWidth="11.42578125" defaultRowHeight="15"/>
  <cols>
    <col min="1" max="1" width="4.7109375" style="1" customWidth="1"/>
    <col min="2" max="2" width="15.5703125" style="1" customWidth="1"/>
    <col min="3" max="3" width="20.5703125" style="1" customWidth="1"/>
    <col min="4" max="4" width="15.28515625" style="1" customWidth="1"/>
    <col min="5" max="5" width="26.7109375" style="1" customWidth="1"/>
    <col min="6" max="6" width="28.28515625" style="1" customWidth="1"/>
    <col min="7" max="7" width="24.140625" style="1" customWidth="1"/>
    <col min="8" max="8" width="12.140625" style="1" customWidth="1"/>
    <col min="9" max="9" width="5.7109375" style="1" customWidth="1"/>
    <col min="10" max="10" width="12.42578125" style="1" customWidth="1"/>
    <col min="11" max="11" width="13.5703125" style="1" customWidth="1"/>
    <col min="12" max="12" width="12.42578125" style="1" customWidth="1"/>
    <col min="13" max="13" width="5.7109375" style="1" customWidth="1"/>
    <col min="14" max="14" width="8.85546875" style="1" customWidth="1"/>
    <col min="15" max="16384" width="11.42578125" style="1"/>
  </cols>
  <sheetData>
    <row r="1" spans="1:9" ht="18">
      <c r="A1" s="57" t="s">
        <v>10</v>
      </c>
      <c r="B1" s="57"/>
      <c r="C1" s="57"/>
      <c r="D1" s="57"/>
      <c r="E1" s="57"/>
      <c r="F1" s="57"/>
      <c r="G1" s="57"/>
      <c r="H1" s="57"/>
      <c r="I1" s="57"/>
    </row>
    <row r="2" spans="1:9" ht="8.1" customHeight="1">
      <c r="B2" s="2"/>
      <c r="C2" s="3"/>
      <c r="D2" s="3"/>
      <c r="E2" s="3"/>
      <c r="F2" s="3"/>
      <c r="G2" s="3"/>
      <c r="H2" s="3"/>
      <c r="I2" s="3"/>
    </row>
    <row r="3" spans="1:9" ht="15.75" thickBot="1">
      <c r="B3" s="53" t="s">
        <v>0</v>
      </c>
      <c r="C3" s="53" t="s">
        <v>1</v>
      </c>
      <c r="D3" s="53" t="s">
        <v>13</v>
      </c>
      <c r="E3" s="53" t="s">
        <v>2</v>
      </c>
      <c r="F3" s="53" t="s">
        <v>3</v>
      </c>
      <c r="G3" s="53" t="s">
        <v>58</v>
      </c>
      <c r="H3" s="54" t="s">
        <v>4</v>
      </c>
      <c r="I3" s="4"/>
    </row>
    <row r="4" spans="1:9" ht="15.75" thickBot="1">
      <c r="A4" s="50"/>
      <c r="B4" s="6">
        <v>41648</v>
      </c>
      <c r="C4" s="7" t="s">
        <v>5</v>
      </c>
      <c r="D4" s="8" t="s">
        <v>14</v>
      </c>
      <c r="E4" s="7" t="s">
        <v>45</v>
      </c>
      <c r="F4" s="7" t="s">
        <v>51</v>
      </c>
      <c r="G4" s="7">
        <v>4</v>
      </c>
      <c r="H4" s="52">
        <v>3.8</v>
      </c>
      <c r="I4" s="5"/>
    </row>
    <row r="5" spans="1:9" ht="15.75" thickBot="1">
      <c r="A5" s="50"/>
      <c r="B5" s="6">
        <v>42020</v>
      </c>
      <c r="C5" s="8" t="s">
        <v>5</v>
      </c>
      <c r="D5" s="8" t="s">
        <v>15</v>
      </c>
      <c r="E5" s="8" t="s">
        <v>47</v>
      </c>
      <c r="F5" s="8" t="s">
        <v>52</v>
      </c>
      <c r="G5" s="7">
        <v>4</v>
      </c>
      <c r="H5" s="52">
        <v>3.9</v>
      </c>
    </row>
    <row r="6" spans="1:9" ht="15.75" thickBot="1">
      <c r="A6" s="50"/>
      <c r="B6" s="6">
        <v>42034</v>
      </c>
      <c r="C6" s="8" t="s">
        <v>11</v>
      </c>
      <c r="D6" s="8" t="s">
        <v>14</v>
      </c>
      <c r="E6" s="8" t="s">
        <v>48</v>
      </c>
      <c r="F6" s="8" t="s">
        <v>53</v>
      </c>
      <c r="G6" s="7">
        <v>3</v>
      </c>
      <c r="H6" s="52">
        <v>3.9</v>
      </c>
    </row>
    <row r="7" spans="1:9" ht="15.75" thickBot="1">
      <c r="A7" s="50"/>
      <c r="B7" s="6">
        <v>42041</v>
      </c>
      <c r="C7" s="8" t="s">
        <v>16</v>
      </c>
      <c r="D7" s="8" t="s">
        <v>14</v>
      </c>
      <c r="E7" s="47" t="s">
        <v>49</v>
      </c>
      <c r="F7" s="47" t="s">
        <v>54</v>
      </c>
      <c r="G7" s="7">
        <v>5</v>
      </c>
      <c r="H7" s="52">
        <v>4</v>
      </c>
    </row>
    <row r="8" spans="1:9" ht="15.75" thickBot="1">
      <c r="B8" s="51">
        <v>41681</v>
      </c>
      <c r="C8" s="8" t="s">
        <v>16</v>
      </c>
      <c r="D8" s="8" t="s">
        <v>15</v>
      </c>
      <c r="E8" s="47" t="s">
        <v>50</v>
      </c>
      <c r="F8" s="47" t="s">
        <v>55</v>
      </c>
      <c r="G8" s="47">
        <v>5</v>
      </c>
      <c r="H8" s="52">
        <v>3.8</v>
      </c>
    </row>
    <row r="9" spans="1:9" ht="15.75" thickBot="1">
      <c r="B9" s="51">
        <v>42046</v>
      </c>
      <c r="C9" s="8" t="s">
        <v>16</v>
      </c>
      <c r="D9" s="8" t="s">
        <v>15</v>
      </c>
      <c r="E9" s="47" t="s">
        <v>50</v>
      </c>
      <c r="F9" s="47" t="s">
        <v>56</v>
      </c>
      <c r="G9" s="47">
        <v>5</v>
      </c>
      <c r="H9" s="52">
        <v>3.5</v>
      </c>
    </row>
    <row r="10" spans="1:9" ht="15.75" thickBot="1">
      <c r="B10" s="51">
        <v>42046</v>
      </c>
      <c r="C10" s="8" t="s">
        <v>16</v>
      </c>
      <c r="D10" s="8" t="s">
        <v>15</v>
      </c>
      <c r="E10" s="47" t="s">
        <v>50</v>
      </c>
      <c r="F10" s="47" t="s">
        <v>57</v>
      </c>
      <c r="G10" s="47">
        <v>5</v>
      </c>
      <c r="H10" s="52">
        <v>3.4</v>
      </c>
    </row>
  </sheetData>
  <mergeCells count="1">
    <mergeCell ref="A1:I1"/>
  </mergeCells>
  <phoneticPr fontId="18" type="noConversion"/>
  <conditionalFormatting sqref="H3:I4 J5:J65536">
    <cfRule type="iconSet" priority="49">
      <iconSet iconSet="3Symbols">
        <cfvo type="percent" val="0"/>
        <cfvo type="num" val="2.7" gte="0"/>
        <cfvo type="num" val="3.3"/>
      </iconSet>
    </cfRule>
  </conditionalFormatting>
  <conditionalFormatting sqref="H4:H5">
    <cfRule type="iconSet" priority="4">
      <iconSet iconSet="3Symbols">
        <cfvo type="percent" val="0"/>
        <cfvo type="num" val="2.7" gte="0"/>
        <cfvo type="num" val="3.3"/>
      </iconSet>
    </cfRule>
  </conditionalFormatting>
  <conditionalFormatting sqref="H6">
    <cfRule type="iconSet" priority="73">
      <iconSet iconSet="3Symbols">
        <cfvo type="percent" val="0"/>
        <cfvo type="num" val="2.7" gte="0"/>
        <cfvo type="num" val="3.3"/>
      </iconSet>
    </cfRule>
  </conditionalFormatting>
  <conditionalFormatting sqref="H7:H10">
    <cfRule type="iconSet" priority="1">
      <iconSet iconSet="3Symbols">
        <cfvo type="percent" val="0"/>
        <cfvo type="num" val="2.7" gte="0"/>
        <cfvo type="num" val="3.3"/>
      </iconSet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39"/>
  <sheetViews>
    <sheetView zoomScale="90" zoomScaleNormal="90" workbookViewId="0">
      <selection activeCell="H4" sqref="H4"/>
    </sheetView>
  </sheetViews>
  <sheetFormatPr defaultColWidth="11.42578125" defaultRowHeight="15"/>
  <cols>
    <col min="1" max="1" width="4.7109375" customWidth="1"/>
    <col min="2" max="2" width="13.7109375" customWidth="1"/>
    <col min="5" max="5" width="5.7109375" customWidth="1"/>
    <col min="9" max="9" width="5.7109375" customWidth="1"/>
    <col min="13" max="13" width="5.7109375" customWidth="1"/>
    <col min="17" max="17" width="4.7109375" customWidth="1"/>
  </cols>
  <sheetData>
    <row r="1" spans="1:18" ht="18">
      <c r="A1" s="59" t="s">
        <v>10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45"/>
    </row>
    <row r="2" spans="1:18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</row>
    <row r="3" spans="1:18">
      <c r="A3" s="25"/>
      <c r="B3" s="58" t="s">
        <v>17</v>
      </c>
      <c r="C3" s="58"/>
      <c r="D3" s="58"/>
      <c r="E3" s="25"/>
      <c r="F3" s="58" t="s">
        <v>19</v>
      </c>
      <c r="G3" s="58"/>
      <c r="H3" s="58"/>
      <c r="I3" s="25"/>
      <c r="J3" s="58" t="s">
        <v>18</v>
      </c>
      <c r="K3" s="58"/>
      <c r="L3" s="58"/>
      <c r="M3" s="25"/>
      <c r="N3" s="58" t="s">
        <v>20</v>
      </c>
      <c r="O3" s="58"/>
      <c r="P3" s="58"/>
      <c r="Q3" s="25"/>
    </row>
    <row r="4" spans="1:18">
      <c r="A4" s="25"/>
      <c r="B4" s="36" t="s">
        <v>7</v>
      </c>
      <c r="C4" s="29">
        <f>SUMPRODUCT((MONTH(Client!B4:B83)=1)*1,(Client!H4:H83&gt;=3.3)*1)</f>
        <v>3</v>
      </c>
      <c r="D4" s="30">
        <f>C4/C7</f>
        <v>1</v>
      </c>
      <c r="E4" s="25"/>
      <c r="F4" s="36" t="s">
        <v>7</v>
      </c>
      <c r="G4" s="29">
        <f>SUMPRODUCT((MONTH(Client!B4:B83)=4)*1,(Client!H4:H83&gt;=3.3)*1)</f>
        <v>0</v>
      </c>
      <c r="H4" s="30" t="e">
        <f>G4/G7</f>
        <v>#DIV/0!</v>
      </c>
      <c r="I4" s="25"/>
      <c r="J4" s="36" t="s">
        <v>7</v>
      </c>
      <c r="K4" s="29">
        <f>SUMPRODUCT((MONTH(Client!B4:B83)=7)*1,(Client!H4:H83&gt;=3.3)*1)</f>
        <v>0</v>
      </c>
      <c r="L4" s="30" t="e">
        <f>K4/K7</f>
        <v>#DIV/0!</v>
      </c>
      <c r="M4" s="25"/>
      <c r="N4" s="36" t="s">
        <v>7</v>
      </c>
      <c r="O4" s="29">
        <f>SUMPRODUCT((MONTH(Client!B4:B83)=10)*1,(Client!H4:H83&gt;=3.3)*1)</f>
        <v>0</v>
      </c>
      <c r="P4" s="30" t="e">
        <f>O4/O7</f>
        <v>#DIV/0!</v>
      </c>
      <c r="Q4" s="25"/>
    </row>
    <row r="5" spans="1:18">
      <c r="A5" s="25"/>
      <c r="B5" s="37" t="s">
        <v>6</v>
      </c>
      <c r="C5" s="31">
        <f>SUMPRODUCT((MONTH(Client!B4:B83)=1)*1,(Client!H4:H83&lt;3.3)*1-(Client!H4:H83&lt;=2.7)*1)</f>
        <v>0</v>
      </c>
      <c r="D5" s="32">
        <f>C5/C7</f>
        <v>0</v>
      </c>
      <c r="E5" s="25"/>
      <c r="F5" s="37" t="s">
        <v>6</v>
      </c>
      <c r="G5" s="31">
        <f>SUMPRODUCT((MONTH(Client!B4:B83)=4)*1,(Client!H4:H83&lt;3.3)*1-(Client!H4:H83&lt;=2.7)*1)</f>
        <v>0</v>
      </c>
      <c r="H5" s="32" t="e">
        <f>G5/G7</f>
        <v>#DIV/0!</v>
      </c>
      <c r="I5" s="25"/>
      <c r="J5" s="37" t="s">
        <v>6</v>
      </c>
      <c r="K5" s="31">
        <f>SUMPRODUCT((MONTH(Client!B4:B83)=7)*1,(Client!H4:H83&lt;3.3)*1-(Client!H4:H83&lt;=2.7)*1)</f>
        <v>0</v>
      </c>
      <c r="L5" s="32" t="e">
        <f>K5/K7</f>
        <v>#DIV/0!</v>
      </c>
      <c r="M5" s="25"/>
      <c r="N5" s="37" t="s">
        <v>6</v>
      </c>
      <c r="O5" s="31">
        <f>SUMPRODUCT((MONTH(Client!B4:B83)=10)*1,(Client!H4:H83&lt;3.3)*1-(Client!H4:H83&lt;=2.7)*1)</f>
        <v>0</v>
      </c>
      <c r="P5" s="32" t="e">
        <f>O5/O7</f>
        <v>#DIV/0!</v>
      </c>
      <c r="Q5" s="25"/>
    </row>
    <row r="6" spans="1:18">
      <c r="A6" s="25"/>
      <c r="B6" s="38" t="s">
        <v>8</v>
      </c>
      <c r="C6" s="33">
        <f>SUMPRODUCT((MONTH(Client!B4:B83)=3)*1,(Client!H4:H83&lt;=2.7)*1)</f>
        <v>0</v>
      </c>
      <c r="D6" s="34">
        <f>C6/C7</f>
        <v>0</v>
      </c>
      <c r="E6" s="25"/>
      <c r="F6" s="38" t="s">
        <v>8</v>
      </c>
      <c r="G6" s="33">
        <f>SUMPRODUCT((MONTH(Client!B4:B83)=4)*1,(Client!H4:H83&lt;=2.7)*1)</f>
        <v>0</v>
      </c>
      <c r="H6" s="34" t="e">
        <f>G6/G7</f>
        <v>#DIV/0!</v>
      </c>
      <c r="I6" s="25"/>
      <c r="J6" s="38" t="s">
        <v>8</v>
      </c>
      <c r="K6" s="33">
        <f>SUMPRODUCT((MONTH(Client!B4:B83)=7)*1,(Client!H4:H83&lt;=2.7)*1)</f>
        <v>0</v>
      </c>
      <c r="L6" s="34" t="e">
        <f>K6/K7</f>
        <v>#DIV/0!</v>
      </c>
      <c r="M6" s="25"/>
      <c r="N6" s="38" t="s">
        <v>8</v>
      </c>
      <c r="O6" s="33">
        <f>SUMPRODUCT((MONTH(Client!B4:B83)=10)*1,(Client!H4:H83&lt;=2.7)*1)</f>
        <v>0</v>
      </c>
      <c r="P6" s="34" t="e">
        <f>O6/O7</f>
        <v>#DIV/0!</v>
      </c>
      <c r="Q6" s="25"/>
    </row>
    <row r="7" spans="1:18">
      <c r="A7" s="25"/>
      <c r="B7" s="39" t="s">
        <v>9</v>
      </c>
      <c r="C7" s="35">
        <f>SUM(C4:C6)</f>
        <v>3</v>
      </c>
      <c r="D7" s="26"/>
      <c r="E7" s="25"/>
      <c r="F7" s="39" t="s">
        <v>9</v>
      </c>
      <c r="G7" s="35">
        <f>SUM(G4:G6)</f>
        <v>0</v>
      </c>
      <c r="H7" s="26"/>
      <c r="I7" s="25"/>
      <c r="J7" s="39" t="s">
        <v>9</v>
      </c>
      <c r="K7" s="35">
        <f>SUM(K4:K6)</f>
        <v>0</v>
      </c>
      <c r="L7" s="26"/>
      <c r="M7" s="28"/>
      <c r="N7" s="39" t="s">
        <v>9</v>
      </c>
      <c r="O7" s="35">
        <f>SUM(O4:O6)</f>
        <v>0</v>
      </c>
      <c r="P7" s="26"/>
      <c r="Q7" s="25"/>
    </row>
    <row r="8" spans="1:18">
      <c r="A8" s="25"/>
      <c r="B8" s="40" t="s">
        <v>12</v>
      </c>
      <c r="C8" s="41">
        <f>D4-D6</f>
        <v>1</v>
      </c>
      <c r="D8" s="27"/>
      <c r="E8" s="25"/>
      <c r="F8" s="40" t="s">
        <v>12</v>
      </c>
      <c r="G8" s="42" t="e">
        <f>H4-H6</f>
        <v>#DIV/0!</v>
      </c>
      <c r="H8" s="27"/>
      <c r="I8" s="25"/>
      <c r="J8" s="40" t="s">
        <v>12</v>
      </c>
      <c r="K8" s="42" t="e">
        <f>L4-L6</f>
        <v>#DIV/0!</v>
      </c>
      <c r="L8" s="27"/>
      <c r="M8" s="28"/>
      <c r="N8" s="40" t="s">
        <v>12</v>
      </c>
      <c r="O8" s="42" t="e">
        <f>P4-P6</f>
        <v>#DIV/0!</v>
      </c>
      <c r="P8" s="27"/>
      <c r="Q8" s="25"/>
    </row>
    <row r="9" spans="1:18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</row>
    <row r="10" spans="1:18">
      <c r="A10" s="25"/>
      <c r="B10" s="58" t="s">
        <v>24</v>
      </c>
      <c r="C10" s="58"/>
      <c r="D10" s="58"/>
      <c r="E10" s="25"/>
      <c r="F10" s="58" t="s">
        <v>23</v>
      </c>
      <c r="G10" s="58"/>
      <c r="H10" s="58"/>
      <c r="I10" s="25"/>
      <c r="J10" s="58" t="s">
        <v>22</v>
      </c>
      <c r="K10" s="58"/>
      <c r="L10" s="58"/>
      <c r="M10" s="25"/>
      <c r="N10" s="58" t="s">
        <v>21</v>
      </c>
      <c r="O10" s="58"/>
      <c r="P10" s="58"/>
      <c r="Q10" s="25"/>
    </row>
    <row r="11" spans="1:18">
      <c r="A11" s="25"/>
      <c r="B11" s="36" t="s">
        <v>7</v>
      </c>
      <c r="C11" s="29">
        <f>SUMPRODUCT((MONTH(Client!B4:B83)=2)*1,(Client!H4:H83&gt;=3.3)*1)</f>
        <v>4</v>
      </c>
      <c r="D11" s="30">
        <f>C11/C14</f>
        <v>1</v>
      </c>
      <c r="E11" s="25"/>
      <c r="F11" s="36" t="s">
        <v>7</v>
      </c>
      <c r="G11" s="29">
        <f>SUMPRODUCT((MONTH(Client!B4:B83)=5)*1,(Client!H4:H83&gt;=3.3)*1)</f>
        <v>0</v>
      </c>
      <c r="H11" s="30" t="e">
        <f>G11/G14</f>
        <v>#DIV/0!</v>
      </c>
      <c r="I11" s="25"/>
      <c r="J11" s="36" t="s">
        <v>7</v>
      </c>
      <c r="K11" s="29">
        <f>SUMPRODUCT((MONTH(Client!B4:B83)=8)*1,(Client!H4:H83&gt;=3.3)*1)</f>
        <v>0</v>
      </c>
      <c r="L11" s="30" t="e">
        <f>K11/K14</f>
        <v>#DIV/0!</v>
      </c>
      <c r="M11" s="25"/>
      <c r="N11" s="36" t="s">
        <v>7</v>
      </c>
      <c r="O11" s="29">
        <f>SUMPRODUCT((MONTH(Client!B4:B83)=11)*1,(Client!H4:H83&gt;=3.3)*1)</f>
        <v>0</v>
      </c>
      <c r="P11" s="30" t="e">
        <f>O11/O14</f>
        <v>#DIV/0!</v>
      </c>
      <c r="Q11" s="25"/>
    </row>
    <row r="12" spans="1:18">
      <c r="A12" s="25"/>
      <c r="B12" s="37" t="s">
        <v>6</v>
      </c>
      <c r="C12" s="31">
        <f>SUMPRODUCT((MONTH(Client!B4:B83)=2)*1,(Client!H4:H83&lt;3.3)*1-(Client!H4:H83&lt;=2.7)*1)</f>
        <v>0</v>
      </c>
      <c r="D12" s="32">
        <f>C12/C14</f>
        <v>0</v>
      </c>
      <c r="E12" s="25"/>
      <c r="F12" s="37" t="s">
        <v>6</v>
      </c>
      <c r="G12" s="31">
        <f>SUMPRODUCT((MONTH(Client!B4:B83)=5)*1,(Client!H4:H83&lt;3.3)*1-(Client!H4:H83&lt;=2.7)*1)</f>
        <v>0</v>
      </c>
      <c r="H12" s="32" t="e">
        <f>G12/G14</f>
        <v>#DIV/0!</v>
      </c>
      <c r="I12" s="25"/>
      <c r="J12" s="37" t="s">
        <v>6</v>
      </c>
      <c r="K12" s="31">
        <f>SUMPRODUCT((MONTH(Client!B4:B83)=8)*1,(Client!H4:H83&lt;3.3)*1-(Client!H4:H83&lt;=2.7)*1)</f>
        <v>0</v>
      </c>
      <c r="L12" s="32" t="e">
        <f>K12/K14</f>
        <v>#DIV/0!</v>
      </c>
      <c r="M12" s="25"/>
      <c r="N12" s="37" t="s">
        <v>6</v>
      </c>
      <c r="O12" s="31">
        <f>SUMPRODUCT((MONTH(Client!B4:B83)=11)*1,(Client!H4:H83&lt;3.3)*1-(Client!H4:H83&lt;=2.7)*1)</f>
        <v>0</v>
      </c>
      <c r="P12" s="32" t="e">
        <f>O12/O14</f>
        <v>#DIV/0!</v>
      </c>
      <c r="Q12" s="25"/>
    </row>
    <row r="13" spans="1:18">
      <c r="A13" s="25"/>
      <c r="B13" s="38" t="s">
        <v>8</v>
      </c>
      <c r="C13" s="33">
        <f>SUMPRODUCT((MONTH(Client!B4:B83)=2)*1,(Client!H4:H83&lt;=2.7)*1)</f>
        <v>0</v>
      </c>
      <c r="D13" s="34">
        <f>C13/C14</f>
        <v>0</v>
      </c>
      <c r="E13" s="25"/>
      <c r="F13" s="38" t="s">
        <v>8</v>
      </c>
      <c r="G13" s="33">
        <f>SUMPRODUCT((MONTH(Client!B4:B83)=4)*1,(Client!H4:H83&lt;=2.7)*1)</f>
        <v>0</v>
      </c>
      <c r="H13" s="34" t="e">
        <f>G13/G14</f>
        <v>#DIV/0!</v>
      </c>
      <c r="I13" s="25"/>
      <c r="J13" s="38" t="s">
        <v>8</v>
      </c>
      <c r="K13" s="33">
        <f>SUMPRODUCT((MONTH(Client!B4:B83)=8)*1,(Client!H4:H83&lt;=2.7)*1)</f>
        <v>0</v>
      </c>
      <c r="L13" s="34" t="e">
        <f>K13/K14</f>
        <v>#DIV/0!</v>
      </c>
      <c r="M13" s="25"/>
      <c r="N13" s="38" t="s">
        <v>8</v>
      </c>
      <c r="O13" s="33">
        <f>SUMPRODUCT((MONTH(Client!B4:B83)=11)*1,(Client!H4:H83&lt;=2.7)*1)</f>
        <v>0</v>
      </c>
      <c r="P13" s="34" t="e">
        <f>O13/O14</f>
        <v>#DIV/0!</v>
      </c>
      <c r="Q13" s="25"/>
    </row>
    <row r="14" spans="1:18">
      <c r="A14" s="25"/>
      <c r="B14" s="39" t="s">
        <v>9</v>
      </c>
      <c r="C14" s="35">
        <f>SUM(C11:C13)</f>
        <v>4</v>
      </c>
      <c r="D14" s="26"/>
      <c r="E14" s="25"/>
      <c r="F14" s="39" t="s">
        <v>9</v>
      </c>
      <c r="G14" s="35">
        <f>SUM(G11:G13)</f>
        <v>0</v>
      </c>
      <c r="H14" s="26"/>
      <c r="I14" s="28"/>
      <c r="J14" s="39" t="s">
        <v>9</v>
      </c>
      <c r="K14" s="35">
        <f>SUM(K11:K13)</f>
        <v>0</v>
      </c>
      <c r="L14" s="26"/>
      <c r="M14" s="25"/>
      <c r="N14" s="39" t="s">
        <v>9</v>
      </c>
      <c r="O14" s="35">
        <f>SUM(O11:O13)</f>
        <v>0</v>
      </c>
      <c r="P14" s="26"/>
      <c r="Q14" s="25"/>
    </row>
    <row r="15" spans="1:18">
      <c r="A15" s="25"/>
      <c r="B15" s="40" t="s">
        <v>12</v>
      </c>
      <c r="C15" s="42">
        <f>D11-D13</f>
        <v>1</v>
      </c>
      <c r="D15" s="27"/>
      <c r="E15" s="28"/>
      <c r="F15" s="40" t="s">
        <v>12</v>
      </c>
      <c r="G15" s="42" t="e">
        <f>H11-H13</f>
        <v>#DIV/0!</v>
      </c>
      <c r="H15" s="27"/>
      <c r="I15" s="25"/>
      <c r="J15" s="40" t="s">
        <v>12</v>
      </c>
      <c r="K15" s="42" t="e">
        <f>L11-L13</f>
        <v>#DIV/0!</v>
      </c>
      <c r="L15" s="27"/>
      <c r="M15" s="25"/>
      <c r="N15" s="40" t="s">
        <v>12</v>
      </c>
      <c r="O15" s="42" t="e">
        <f>P11-P13</f>
        <v>#DIV/0!</v>
      </c>
      <c r="P15" s="27"/>
      <c r="Q15" s="25"/>
    </row>
    <row r="16" spans="1:18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8"/>
      <c r="Q16" s="25"/>
    </row>
    <row r="17" spans="1:17">
      <c r="A17" s="25"/>
      <c r="B17" s="58" t="s">
        <v>25</v>
      </c>
      <c r="C17" s="58"/>
      <c r="D17" s="58"/>
      <c r="E17" s="25"/>
      <c r="F17" s="58" t="s">
        <v>26</v>
      </c>
      <c r="G17" s="58"/>
      <c r="H17" s="58"/>
      <c r="I17" s="25"/>
      <c r="J17" s="58" t="s">
        <v>27</v>
      </c>
      <c r="K17" s="58"/>
      <c r="L17" s="58"/>
      <c r="M17" s="25"/>
      <c r="N17" s="58" t="s">
        <v>28</v>
      </c>
      <c r="O17" s="58"/>
      <c r="P17" s="58"/>
      <c r="Q17" s="25"/>
    </row>
    <row r="18" spans="1:17">
      <c r="A18" s="25"/>
      <c r="B18" s="36" t="s">
        <v>7</v>
      </c>
      <c r="C18" s="29">
        <f>SUMPRODUCT((MONTH(Client!B4:B83)=3)*1,(Client!H4:H83&gt;=3.3)*1)</f>
        <v>0</v>
      </c>
      <c r="D18" s="30" t="e">
        <f>C18/C21</f>
        <v>#DIV/0!</v>
      </c>
      <c r="E18" s="25"/>
      <c r="F18" s="36" t="s">
        <v>7</v>
      </c>
      <c r="G18" s="29">
        <f>SUMPRODUCT((MONTH(Client!B4:B83)=6)*1,(Client!H4:H83&gt;=3.3)*1)</f>
        <v>0</v>
      </c>
      <c r="H18" s="30" t="e">
        <f>G18/G21</f>
        <v>#DIV/0!</v>
      </c>
      <c r="I18" s="25"/>
      <c r="J18" s="36" t="s">
        <v>7</v>
      </c>
      <c r="K18" s="29">
        <f>SUMPRODUCT((MONTH(Client!B4:B83)=9)*1,(Client!H4:H83&gt;=3.3)*1)</f>
        <v>0</v>
      </c>
      <c r="L18" s="30" t="e">
        <f>K18/K21</f>
        <v>#DIV/0!</v>
      </c>
      <c r="M18" s="25"/>
      <c r="N18" s="36" t="s">
        <v>7</v>
      </c>
      <c r="O18" s="29">
        <f>SUMPRODUCT((MONTH(Client!B4:B83)=12)*1,(Client!B4:B83&gt;=3.3)*1)</f>
        <v>0</v>
      </c>
      <c r="P18" s="30" t="e">
        <f>O18/O21</f>
        <v>#DIV/0!</v>
      </c>
      <c r="Q18" s="25"/>
    </row>
    <row r="19" spans="1:17">
      <c r="A19" s="25"/>
      <c r="B19" s="37" t="s">
        <v>6</v>
      </c>
      <c r="C19" s="31">
        <f>SUMPRODUCT((MONTH(Client!B4:B83)=3)*1,(Client!H4:H83&lt;3.3)*1-(Client!H4:H83&lt;=2.7)*1)</f>
        <v>0</v>
      </c>
      <c r="D19" s="32" t="e">
        <f>C19/C21</f>
        <v>#DIV/0!</v>
      </c>
      <c r="E19" s="25"/>
      <c r="F19" s="37" t="s">
        <v>6</v>
      </c>
      <c r="G19" s="31">
        <f>SUMPRODUCT((MONTH(Client!B4:B83)=6)*1,(Client!H4:H83&lt;3.3)*1-(Client!H4:H83&lt;=2.7)*1)</f>
        <v>0</v>
      </c>
      <c r="H19" s="32" t="e">
        <f>G19/G21</f>
        <v>#DIV/0!</v>
      </c>
      <c r="I19" s="25"/>
      <c r="J19" s="37" t="s">
        <v>6</v>
      </c>
      <c r="K19" s="31">
        <f>SUMPRODUCT((MONTH(Client!B4:B83)=9)*1,(Client!H4:H83&lt;3.3)*1-(Client!H4:H83&lt;=2.7)*1)</f>
        <v>0</v>
      </c>
      <c r="L19" s="32" t="e">
        <f>K19/K21</f>
        <v>#DIV/0!</v>
      </c>
      <c r="M19" s="25"/>
      <c r="N19" s="37" t="s">
        <v>6</v>
      </c>
      <c r="O19" s="31">
        <f>SUMPRODUCT((MONTH(Client!B4:B83)=12)*1,(Client!H4:H83&lt;3.3)*1-(Client!H4:H83&lt;=2.7)*1)</f>
        <v>0</v>
      </c>
      <c r="P19" s="32" t="e">
        <f>O19/O21</f>
        <v>#DIV/0!</v>
      </c>
      <c r="Q19" s="25"/>
    </row>
    <row r="20" spans="1:17">
      <c r="A20" s="25"/>
      <c r="B20" s="38" t="s">
        <v>8</v>
      </c>
      <c r="C20" s="33">
        <f>SUMPRODUCT((MONTH(Client!B4:B83)=3)*1,(Client!H4:H83&lt;=2.7)*1)</f>
        <v>0</v>
      </c>
      <c r="D20" s="34" t="e">
        <f>C20/C21</f>
        <v>#DIV/0!</v>
      </c>
      <c r="E20" s="25"/>
      <c r="F20" s="38" t="s">
        <v>8</v>
      </c>
      <c r="G20" s="33">
        <f>SUMPRODUCT((MONTH(Client!B4:B83)=4)*1,(Client!H4:H83&lt;=2.7)*1)</f>
        <v>0</v>
      </c>
      <c r="H20" s="34" t="e">
        <f>G20/G21</f>
        <v>#DIV/0!</v>
      </c>
      <c r="I20" s="25"/>
      <c r="J20" s="38" t="s">
        <v>8</v>
      </c>
      <c r="K20" s="33">
        <f>SUMPRODUCT((MONTH(Client!B4:B83)=9)*1,(Client!H4:H83&lt;=2.7)*1)</f>
        <v>0</v>
      </c>
      <c r="L20" s="34" t="e">
        <f>K20/K21</f>
        <v>#DIV/0!</v>
      </c>
      <c r="M20" s="25"/>
      <c r="N20" s="38" t="s">
        <v>8</v>
      </c>
      <c r="O20" s="33">
        <f>SUMPRODUCT((MONTH(Client!B4:B83)=12)*1,(Client!H4:H83&lt;=2.7)*1)</f>
        <v>0</v>
      </c>
      <c r="P20" s="34" t="e">
        <f>O20/O21</f>
        <v>#DIV/0!</v>
      </c>
      <c r="Q20" s="25"/>
    </row>
    <row r="21" spans="1:17">
      <c r="A21" s="25"/>
      <c r="B21" s="39" t="s">
        <v>9</v>
      </c>
      <c r="C21" s="35">
        <f>SUM(C18:C20)</f>
        <v>0</v>
      </c>
      <c r="D21" s="26"/>
      <c r="E21" s="28"/>
      <c r="F21" s="39" t="s">
        <v>9</v>
      </c>
      <c r="G21" s="35">
        <f>SUM(G18:G20)</f>
        <v>0</v>
      </c>
      <c r="H21" s="26"/>
      <c r="I21" s="28"/>
      <c r="J21" s="39" t="s">
        <v>9</v>
      </c>
      <c r="K21" s="35">
        <f>SUM(K18:K20)</f>
        <v>0</v>
      </c>
      <c r="L21" s="26"/>
      <c r="M21" s="25"/>
      <c r="N21" s="39" t="s">
        <v>9</v>
      </c>
      <c r="O21" s="35">
        <f>SUM(O18:O20)</f>
        <v>0</v>
      </c>
      <c r="P21" s="26"/>
      <c r="Q21" s="25"/>
    </row>
    <row r="22" spans="1:17">
      <c r="A22" s="25"/>
      <c r="B22" s="40" t="s">
        <v>12</v>
      </c>
      <c r="C22" s="42" t="e">
        <f>D18-D20</f>
        <v>#DIV/0!</v>
      </c>
      <c r="D22" s="27"/>
      <c r="E22" s="28"/>
      <c r="F22" s="40" t="s">
        <v>12</v>
      </c>
      <c r="G22" s="42" t="e">
        <f>H18-H20</f>
        <v>#DIV/0!</v>
      </c>
      <c r="H22" s="27"/>
      <c r="I22" s="28"/>
      <c r="J22" s="40" t="s">
        <v>12</v>
      </c>
      <c r="K22" s="42" t="e">
        <f>L18-L20</f>
        <v>#DIV/0!</v>
      </c>
      <c r="L22" s="27"/>
      <c r="M22" s="25"/>
      <c r="N22" s="40" t="s">
        <v>12</v>
      </c>
      <c r="O22" s="42" t="e">
        <f>P18-P20</f>
        <v>#DIV/0!</v>
      </c>
      <c r="P22" s="27"/>
      <c r="Q22" s="25"/>
    </row>
    <row r="23" spans="1:17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</row>
    <row r="24" spans="1:17">
      <c r="A24" s="25"/>
      <c r="B24" s="43" t="s">
        <v>32</v>
      </c>
      <c r="C24" s="44" t="e">
        <f>(C8+C15+C22)/3</f>
        <v>#DIV/0!</v>
      </c>
      <c r="D24" s="25"/>
      <c r="E24" s="25"/>
      <c r="F24" s="43" t="s">
        <v>33</v>
      </c>
      <c r="G24" s="44" t="e">
        <f>(G8+G15+G22)/3</f>
        <v>#DIV/0!</v>
      </c>
      <c r="H24" s="25"/>
      <c r="I24" s="25"/>
      <c r="J24" s="43" t="s">
        <v>34</v>
      </c>
      <c r="K24" s="44" t="e">
        <f>(K8+K15+K22)/3</f>
        <v>#DIV/0!</v>
      </c>
      <c r="L24" s="25"/>
      <c r="M24" s="25"/>
      <c r="N24" s="43" t="s">
        <v>35</v>
      </c>
      <c r="O24" s="44" t="e">
        <f>(O8+O15+O22)/3</f>
        <v>#DIV/0!</v>
      </c>
      <c r="P24" s="25"/>
      <c r="Q24" s="25"/>
    </row>
    <row r="25" spans="1:17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</row>
    <row r="26" spans="1:17">
      <c r="A26" s="4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>
      <c r="A27" s="4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>
      <c r="A28" s="46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>
      <c r="A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>
      <c r="A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>
      <c r="A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</sheetData>
  <mergeCells count="13">
    <mergeCell ref="N3:P3"/>
    <mergeCell ref="N10:P10"/>
    <mergeCell ref="N17:P17"/>
    <mergeCell ref="A1:Q1"/>
    <mergeCell ref="B17:D17"/>
    <mergeCell ref="F3:H3"/>
    <mergeCell ref="J3:L3"/>
    <mergeCell ref="B10:D10"/>
    <mergeCell ref="B3:D3"/>
    <mergeCell ref="F10:H10"/>
    <mergeCell ref="F17:H17"/>
    <mergeCell ref="J10:L10"/>
    <mergeCell ref="J17:L17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D11" evalError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S28"/>
  <sheetViews>
    <sheetView tabSelected="1" zoomScale="90" zoomScaleNormal="90" workbookViewId="0">
      <selection activeCell="D4" sqref="D4"/>
    </sheetView>
  </sheetViews>
  <sheetFormatPr defaultColWidth="11.42578125" defaultRowHeight="15"/>
  <cols>
    <col min="1" max="1" width="5.5703125" style="1" bestFit="1" customWidth="1"/>
    <col min="2" max="2" width="19.140625" style="1" customWidth="1"/>
    <col min="3" max="3" width="16.42578125" style="1" customWidth="1"/>
    <col min="4" max="4" width="18" style="1" customWidth="1"/>
    <col min="5" max="5" width="16.28515625" style="1" bestFit="1" customWidth="1"/>
    <col min="6" max="6" width="19.7109375" style="1" customWidth="1"/>
    <col min="7" max="7" width="14.7109375" style="1" bestFit="1" customWidth="1"/>
    <col min="8" max="8" width="18.28515625" style="1" customWidth="1"/>
    <col min="9" max="9" width="13.140625" style="1" customWidth="1"/>
    <col min="10" max="10" width="14.5703125" style="1" customWidth="1"/>
    <col min="11" max="11" width="13.7109375" style="1" customWidth="1"/>
    <col min="12" max="16384" width="11.42578125" style="1"/>
  </cols>
  <sheetData>
    <row r="1" spans="1:19" ht="18">
      <c r="A1" s="55" t="s">
        <v>10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22"/>
      <c r="P1" s="22"/>
      <c r="Q1" s="22"/>
      <c r="R1" s="23"/>
      <c r="S1" s="24"/>
    </row>
    <row r="2" spans="1:19">
      <c r="A2" s="56">
        <v>2015</v>
      </c>
    </row>
    <row r="3" spans="1:19">
      <c r="B3" s="9" t="s">
        <v>29</v>
      </c>
      <c r="C3" s="10" t="s">
        <v>30</v>
      </c>
      <c r="D3" s="10" t="s">
        <v>38</v>
      </c>
      <c r="E3" s="10" t="s">
        <v>39</v>
      </c>
      <c r="F3" s="12" t="s">
        <v>43</v>
      </c>
      <c r="G3" s="17" t="s">
        <v>44</v>
      </c>
      <c r="I3" s="1" t="s">
        <v>40</v>
      </c>
      <c r="J3" s="1" t="s">
        <v>37</v>
      </c>
      <c r="K3" s="1" t="s">
        <v>41</v>
      </c>
      <c r="M3" s="1" t="s">
        <v>9</v>
      </c>
      <c r="N3" s="1">
        <f>SUM(Stats!$D$4:$D$8)</f>
        <v>5</v>
      </c>
    </row>
    <row r="4" spans="1:19">
      <c r="B4" s="20" t="s">
        <v>5</v>
      </c>
      <c r="C4" s="10">
        <f ca="1">COUNTIF(Formation,$B4)</f>
        <v>2</v>
      </c>
      <c r="D4" s="60">
        <f>SUMPRODUCT((Client!$C$4:$C$10=$B4)*(YEAR(Client!$B$4:$B$10)=$A$2))</f>
        <v>1</v>
      </c>
      <c r="E4" s="61">
        <f>SUMPRODUCT((Client!$C$4:$C$10=$B4)*(Client!$G$4:$G$10)*(YEAR(Client!$B$4:$B$10)=$A$2))</f>
        <v>4</v>
      </c>
      <c r="F4" s="13">
        <f>(Stats!$D4*1)/N3</f>
        <v>0.2</v>
      </c>
      <c r="G4" s="18">
        <f>Stats!$E4/N4</f>
        <v>0.18181818181818182</v>
      </c>
      <c r="I4" s="16">
        <f>SUMPRODUCT(((Client!$C$4:$C$10)=$B4)*(YEAR(Client!$B$4:$B$10)=$A$2),(Client!$H$4:$H$10&lt;3.3)*1-(Client!$H$4:$H$10&lt;=2.7)*1)</f>
        <v>0</v>
      </c>
      <c r="J4" s="16" t="e">
        <f>J10*Stats!$I4/I10</f>
        <v>#DIV/0!</v>
      </c>
      <c r="M4" s="1" t="s">
        <v>42</v>
      </c>
      <c r="N4" s="1">
        <f>SUM(Stats!$E$4:$E$8)</f>
        <v>22</v>
      </c>
    </row>
    <row r="5" spans="1:19">
      <c r="B5" s="21" t="s">
        <v>16</v>
      </c>
      <c r="C5" s="10">
        <f ca="1">COUNTIF(Formation,$B5)</f>
        <v>4</v>
      </c>
      <c r="D5" s="60">
        <f>SUMPRODUCT((Client!$C$4:$C$10=$B5)*(YEAR(Client!$B$4:$B$10)=$A$2))</f>
        <v>3</v>
      </c>
      <c r="E5" s="61">
        <f>SUMPRODUCT((Client!$C$4:$C$10=$B5)*(Client!$G$4:$G$10)*(YEAR(Client!$B$4:$B$10)=$A$2))</f>
        <v>15</v>
      </c>
      <c r="F5" s="14">
        <f>(Stats!$D5*1)/N3</f>
        <v>0.6</v>
      </c>
      <c r="G5" s="19">
        <f>Stats!$E5/N4</f>
        <v>0.68181818181818177</v>
      </c>
      <c r="I5" s="16">
        <f>SUMPRODUCT(((Client!$C$4:$C$10)=$B5)*(YEAR(Client!$B$4:$B$10)=$A$2),(Client!$H$4:$H$10&lt;3.3)*1-(Client!$H$4:$H$10&lt;=2.7)*1)</f>
        <v>0</v>
      </c>
      <c r="J5" s="16" t="e">
        <f>J11*Stats!$I5/I11</f>
        <v>#DIV/0!</v>
      </c>
      <c r="M5" s="1" t="s">
        <v>46</v>
      </c>
    </row>
    <row r="6" spans="1:19">
      <c r="B6" s="11" t="s">
        <v>31</v>
      </c>
      <c r="C6" s="10">
        <f ca="1">COUNTIF(Formation,$B6)</f>
        <v>0</v>
      </c>
      <c r="D6" s="60">
        <f>SUMPRODUCT((Client!$C$4:$C$10=$B6)*(YEAR(Client!$B$4:$B$10)=$A$2))</f>
        <v>0</v>
      </c>
      <c r="E6" s="61">
        <f>SUMPRODUCT((Client!$C$4:$C$10=$B6)*(Client!$G$4:$G$10)*(YEAR(Client!$B$4:$B$10)=$A$2))</f>
        <v>0</v>
      </c>
      <c r="F6" s="14">
        <f>(Stats!$D6*1)/N3</f>
        <v>0</v>
      </c>
      <c r="G6" s="19">
        <f>Stats!$E6/N3</f>
        <v>0</v>
      </c>
      <c r="I6" s="16">
        <f>SUMPRODUCT(((Client!$C$4:$C$10)=$B6)*(YEAR(Client!$B$4:$B$10)=$A$2),(Client!$H$4:$H$10&lt;3.3)*1-(Client!$H$4:$H$10&lt;=2.7)*1)</f>
        <v>0</v>
      </c>
      <c r="J6" s="16" t="e">
        <f>J12*Stats!$I6/I12</f>
        <v>#DIV/0!</v>
      </c>
    </row>
    <row r="7" spans="1:19">
      <c r="B7" s="11" t="s">
        <v>36</v>
      </c>
      <c r="C7" s="10">
        <f ca="1">COUNTIF(Formation,$B7)</f>
        <v>0</v>
      </c>
      <c r="D7" s="60">
        <f>SUMPRODUCT((Client!$C$4:$C$10=$B7)*(YEAR(Client!$B$4:$B$10)=$A$2))</f>
        <v>0</v>
      </c>
      <c r="E7" s="61">
        <f>SUMPRODUCT((Client!$C$4:$C$10=$B7)*(Client!$G$4:$G$10)*(YEAR(Client!$B$4:$B$10)=$A$2))</f>
        <v>0</v>
      </c>
      <c r="F7" s="14">
        <f>(Stats!$D7*1)/N3</f>
        <v>0</v>
      </c>
      <c r="G7" s="19">
        <f>Stats!$E7/N4</f>
        <v>0</v>
      </c>
      <c r="I7" s="16">
        <f>SUMPRODUCT(((Client!$C$4:$C$10)=$B7)*(YEAR(Client!$B$4:$B$10)=$A$2),(Client!$H$4:$H$10&lt;3.3)*1-(Client!$H$4:$H$10&lt;=2.7)*1)</f>
        <v>0</v>
      </c>
      <c r="J7" s="16" t="e">
        <f>J13*Stats!$I7/I13</f>
        <v>#DIV/0!</v>
      </c>
    </row>
    <row r="8" spans="1:19">
      <c r="B8" s="9" t="s">
        <v>11</v>
      </c>
      <c r="C8" s="10">
        <f ca="1">COUNTIF(Formation,$B8)</f>
        <v>1</v>
      </c>
      <c r="D8" s="60">
        <f>SUMPRODUCT((Client!$C$4:$C$10=$B8)*(YEAR(Client!$B$4:$B$10)=$A$2))</f>
        <v>1</v>
      </c>
      <c r="E8" s="61">
        <f>SUMPRODUCT((Client!$C$4:$C$10=$B8)*(Client!$G$4:$G$10)*(YEAR(Client!$B$4:$B$10)=$A$2))</f>
        <v>3</v>
      </c>
      <c r="F8" s="15">
        <f>(Stats!$D8*1)/N3</f>
        <v>0.2</v>
      </c>
      <c r="G8" s="19">
        <f>Stats!$E8/N4</f>
        <v>0.13636363636363635</v>
      </c>
      <c r="I8" s="16">
        <f>SUMPRODUCT(((Client!$C$4:$C$10)=$B8)*(YEAR(Client!$B$4:$B$10)=$A$2),(Client!$H$4:$H$10&lt;3.3)*1-(Client!$H$4:$H$10&lt;=2.7)*1)</f>
        <v>0</v>
      </c>
      <c r="J8" s="16" t="e">
        <f>J14*Stats!$I8/I14</f>
        <v>#DIV/0!</v>
      </c>
    </row>
    <row r="9" spans="1:19">
      <c r="B9"/>
      <c r="C9"/>
      <c r="D9"/>
      <c r="E9"/>
      <c r="F9"/>
      <c r="G9"/>
    </row>
    <row r="10" spans="1:19">
      <c r="I10" s="1">
        <f>SUM(Stats!$I$4:$I$8)</f>
        <v>0</v>
      </c>
      <c r="J10" s="49">
        <v>1</v>
      </c>
    </row>
    <row r="28" spans="2:6">
      <c r="B28" s="62" t="s">
        <v>59</v>
      </c>
      <c r="C28" s="63"/>
      <c r="D28" s="64" t="s">
        <v>60</v>
      </c>
      <c r="E28" s="65" t="s">
        <v>61</v>
      </c>
      <c r="F28" s="65" t="s">
        <v>62</v>
      </c>
    </row>
  </sheetData>
  <phoneticPr fontId="18" type="noConversion"/>
  <pageMargins left="0.7" right="0.7" top="0.75" bottom="0.75" header="0.3" footer="0.3"/>
  <pageSetup paperSize="9" orientation="portrait" r:id="rId1"/>
  <ignoredErrors>
    <ignoredError sqref="G4:G5 G8 F5:F8" calculatedColumn="1"/>
  </ignoredErrors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Client</vt:lpstr>
      <vt:lpstr>Satisfaction</vt:lpstr>
      <vt:lpstr>Stats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</dc:creator>
  <cp:lastModifiedBy>mduquesn</cp:lastModifiedBy>
  <cp:lastPrinted>2015-02-04T13:59:56Z</cp:lastPrinted>
  <dcterms:created xsi:type="dcterms:W3CDTF">2015-01-20T20:45:39Z</dcterms:created>
  <dcterms:modified xsi:type="dcterms:W3CDTF">2015-03-13T19:15:34Z</dcterms:modified>
</cp:coreProperties>
</file>