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490" windowHeight="7530" firstSheet="2" activeTab="5"/>
  </bookViews>
  <sheets>
    <sheet name="Constante" sheetId="1" r:id="rId1"/>
    <sheet name="Encaissement" sheetId="2" r:id="rId2"/>
    <sheet name="Décaissement" sheetId="3" r:id="rId3"/>
    <sheet name="Ventes" sheetId="4" r:id="rId4"/>
    <sheet name="Achats" sheetId="5" r:id="rId5"/>
    <sheet name="GLA.C-Ass. Club performance" sheetId="6" r:id="rId6"/>
    <sheet name="GLA.C-École Sauvé" sheetId="7" r:id="rId7"/>
    <sheet name="GLA.C-Centre plein air" sheetId="8" r:id="rId8"/>
    <sheet name="GLA.F-St-Jérôme" sheetId="9" r:id="rId9"/>
    <sheet name="GLA.F-Boutique plongée" sheetId="10" r:id="rId10"/>
  </sheets>
  <definedNames>
    <definedName name="Calc_retro_taxe">Constante!$A$2</definedName>
    <definedName name="solver_eng" localSheetId="5" hidden="1">1</definedName>
    <definedName name="solver_neg" localSheetId="5" hidden="1">1</definedName>
    <definedName name="solver_num" localSheetId="5" hidden="1">0</definedName>
    <definedName name="solver_opt" localSheetId="5" hidden="1">'GLA.C-Ass. Club performance'!$D$3</definedName>
    <definedName name="solver_typ" localSheetId="5" hidden="1">3</definedName>
    <definedName name="solver_val" localSheetId="5" hidden="1">"Ventes!B2"</definedName>
    <definedName name="solver_ver" localSheetId="5" hidden="1">3</definedName>
    <definedName name="TPS">Constante!$B$2</definedName>
    <definedName name="TVQ">Constante!$C$2</definedName>
  </definedNames>
  <calcPr calcId="125725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6"/>
  <c r="D3"/>
  <c r="G2" l="1"/>
  <c r="M21" i="5" l="1"/>
  <c r="K5"/>
  <c r="K6"/>
  <c r="K7"/>
  <c r="K8"/>
  <c r="K9"/>
  <c r="K10"/>
  <c r="K11"/>
  <c r="K12"/>
  <c r="K13"/>
  <c r="K14"/>
  <c r="K15"/>
  <c r="K16"/>
  <c r="K17"/>
  <c r="K18"/>
  <c r="K19"/>
  <c r="K20"/>
  <c r="J5"/>
  <c r="J6"/>
  <c r="J21" s="1"/>
  <c r="J7"/>
  <c r="J8"/>
  <c r="J9"/>
  <c r="J10"/>
  <c r="J11"/>
  <c r="J12"/>
  <c r="J13"/>
  <c r="J14"/>
  <c r="J15"/>
  <c r="J16"/>
  <c r="J17"/>
  <c r="J18"/>
  <c r="J19"/>
  <c r="J20"/>
  <c r="L3"/>
  <c r="L4"/>
  <c r="L5"/>
  <c r="L6"/>
  <c r="L7"/>
  <c r="L8"/>
  <c r="L9"/>
  <c r="L10"/>
  <c r="L11"/>
  <c r="L12"/>
  <c r="L13"/>
  <c r="L14"/>
  <c r="L15"/>
  <c r="L16"/>
  <c r="L17"/>
  <c r="L18"/>
  <c r="L19"/>
  <c r="L20"/>
  <c r="L2"/>
  <c r="E2"/>
  <c r="K3"/>
  <c r="K4"/>
  <c r="K2"/>
  <c r="J3"/>
  <c r="J4"/>
  <c r="J2"/>
  <c r="E3"/>
  <c r="F21"/>
  <c r="G21"/>
  <c r="H21"/>
  <c r="I21"/>
  <c r="N21" i="4"/>
  <c r="M21"/>
  <c r="M3"/>
  <c r="M4"/>
  <c r="M5"/>
  <c r="M6"/>
  <c r="M7"/>
  <c r="M8"/>
  <c r="M9"/>
  <c r="M10"/>
  <c r="M11"/>
  <c r="M12"/>
  <c r="M13"/>
  <c r="M14"/>
  <c r="M15"/>
  <c r="M16"/>
  <c r="M17"/>
  <c r="M18"/>
  <c r="M19"/>
  <c r="M20"/>
  <c r="M2"/>
  <c r="F21"/>
  <c r="G21"/>
  <c r="H21"/>
  <c r="I21"/>
  <c r="J21"/>
  <c r="K21"/>
  <c r="L21"/>
  <c r="E21"/>
  <c r="K20"/>
  <c r="L6"/>
  <c r="L7"/>
  <c r="E7" s="1"/>
  <c r="L8"/>
  <c r="L9"/>
  <c r="E9" s="1"/>
  <c r="L10"/>
  <c r="L11"/>
  <c r="E11" s="1"/>
  <c r="L12"/>
  <c r="L13"/>
  <c r="E13" s="1"/>
  <c r="L14"/>
  <c r="L15"/>
  <c r="E15" s="1"/>
  <c r="L16"/>
  <c r="L17"/>
  <c r="E17" s="1"/>
  <c r="L18"/>
  <c r="L19"/>
  <c r="E19" s="1"/>
  <c r="L20"/>
  <c r="K6"/>
  <c r="K7"/>
  <c r="K8"/>
  <c r="K9"/>
  <c r="K10"/>
  <c r="K11"/>
  <c r="K12"/>
  <c r="K13"/>
  <c r="K14"/>
  <c r="K15"/>
  <c r="K16"/>
  <c r="K17"/>
  <c r="K18"/>
  <c r="K19"/>
  <c r="E6"/>
  <c r="E8"/>
  <c r="E10"/>
  <c r="E12"/>
  <c r="E14"/>
  <c r="E16"/>
  <c r="E18"/>
  <c r="E20"/>
  <c r="L3"/>
  <c r="L4"/>
  <c r="L5"/>
  <c r="L2"/>
  <c r="E2" s="1"/>
  <c r="K3"/>
  <c r="K4"/>
  <c r="E4" s="1"/>
  <c r="K5"/>
  <c r="K2"/>
  <c r="E3"/>
  <c r="E5"/>
  <c r="R21" i="2"/>
  <c r="Q3"/>
  <c r="Q4"/>
  <c r="Q5"/>
  <c r="Q6"/>
  <c r="Q7"/>
  <c r="Q8"/>
  <c r="Q9"/>
  <c r="Q10"/>
  <c r="Q11"/>
  <c r="Q12"/>
  <c r="Q13"/>
  <c r="Q14"/>
  <c r="Q15"/>
  <c r="Q16"/>
  <c r="Q17"/>
  <c r="Q18"/>
  <c r="Q19"/>
  <c r="Q20"/>
  <c r="Q21"/>
  <c r="Q2"/>
  <c r="S21" i="3"/>
  <c r="E5"/>
  <c r="E6"/>
  <c r="E7"/>
  <c r="E2"/>
  <c r="R3"/>
  <c r="R4"/>
  <c r="R5"/>
  <c r="R6"/>
  <c r="R7"/>
  <c r="R8"/>
  <c r="R9"/>
  <c r="R10"/>
  <c r="R11"/>
  <c r="R12"/>
  <c r="R13"/>
  <c r="R14"/>
  <c r="R15"/>
  <c r="R16"/>
  <c r="R17"/>
  <c r="R18"/>
  <c r="R19"/>
  <c r="R20"/>
  <c r="R2"/>
  <c r="M8"/>
  <c r="M9"/>
  <c r="M10"/>
  <c r="M11"/>
  <c r="M12"/>
  <c r="M13"/>
  <c r="M14"/>
  <c r="M15"/>
  <c r="M16"/>
  <c r="M17"/>
  <c r="M18"/>
  <c r="M19"/>
  <c r="M20"/>
  <c r="L8"/>
  <c r="L9"/>
  <c r="L10"/>
  <c r="L11"/>
  <c r="L12"/>
  <c r="L13"/>
  <c r="L14"/>
  <c r="L15"/>
  <c r="L16"/>
  <c r="L17"/>
  <c r="L18"/>
  <c r="L19"/>
  <c r="L20"/>
  <c r="M6"/>
  <c r="M7"/>
  <c r="M5"/>
  <c r="L6"/>
  <c r="L7"/>
  <c r="L5"/>
  <c r="F21"/>
  <c r="G21"/>
  <c r="H21"/>
  <c r="I21"/>
  <c r="J21"/>
  <c r="K21"/>
  <c r="P21"/>
  <c r="Q21"/>
  <c r="L5" i="2"/>
  <c r="L4"/>
  <c r="K5"/>
  <c r="K4"/>
  <c r="J4"/>
  <c r="I5"/>
  <c r="I4"/>
  <c r="H5"/>
  <c r="H4"/>
  <c r="G5"/>
  <c r="G4"/>
  <c r="E4" i="5" l="1"/>
  <c r="K21"/>
  <c r="L21" s="1"/>
  <c r="E21"/>
  <c r="R21" i="3"/>
  <c r="M21"/>
  <c r="L21"/>
  <c r="E21"/>
  <c r="F3" i="2" l="1"/>
  <c r="F4"/>
  <c r="F5"/>
  <c r="F6"/>
  <c r="F7"/>
  <c r="F8"/>
  <c r="F9"/>
  <c r="F10"/>
  <c r="F11"/>
  <c r="F12"/>
  <c r="F13"/>
  <c r="F14"/>
  <c r="F15"/>
  <c r="F16"/>
  <c r="F17"/>
  <c r="F18"/>
  <c r="F19"/>
  <c r="F20"/>
  <c r="F2"/>
  <c r="E21"/>
  <c r="G21"/>
  <c r="H21"/>
  <c r="I21"/>
  <c r="J21"/>
  <c r="K21"/>
  <c r="L21"/>
  <c r="O21"/>
  <c r="P21"/>
  <c r="D21"/>
  <c r="F21" l="1"/>
</calcChain>
</file>

<file path=xl/sharedStrings.xml><?xml version="1.0" encoding="utf-8"?>
<sst xmlns="http://schemas.openxmlformats.org/spreadsheetml/2006/main" count="140" uniqueCount="67">
  <si>
    <t>Calcul d'extraction des taxes</t>
  </si>
  <si>
    <t>TPS</t>
  </si>
  <si>
    <t>TVQ</t>
  </si>
  <si>
    <t>Date</t>
  </si>
  <si>
    <t>Nom du client et explication</t>
  </si>
  <si>
    <t>Repport au compte</t>
  </si>
  <si>
    <t>Encaisse (débit)</t>
  </si>
  <si>
    <t>Comptes clients (crédit)</t>
  </si>
  <si>
    <t>Ventes (crédit)</t>
  </si>
  <si>
    <t>Services de réparation rendus (crédit)</t>
  </si>
  <si>
    <t>Cours de plongée (crédit)</t>
  </si>
  <si>
    <t>Location d'équipement (crédit)</t>
  </si>
  <si>
    <t>TPS à payer (crédit)</t>
  </si>
  <si>
    <t>Nom du compte</t>
  </si>
  <si>
    <t>Report au compte</t>
  </si>
  <si>
    <t>Débit</t>
  </si>
  <si>
    <t>Crédit</t>
  </si>
  <si>
    <t>Vérification</t>
  </si>
  <si>
    <t>TVQ à payer (crédit)</t>
  </si>
  <si>
    <t>Totaux:</t>
  </si>
  <si>
    <t>Vérification finale</t>
  </si>
  <si>
    <t>Escompte sur achats (crédit)</t>
  </si>
  <si>
    <t>Comptes fournisseurs (débit)</t>
  </si>
  <si>
    <t>Salaires (débit)</t>
  </si>
  <si>
    <t>Achats (débit)</t>
  </si>
  <si>
    <t>Retenues Fédérales (crédit)</t>
  </si>
  <si>
    <t>Retenues Provinciales (crédit)</t>
  </si>
  <si>
    <t>Compte à débiter</t>
  </si>
  <si>
    <t>Numéro de facture</t>
  </si>
  <si>
    <t>Comptes clients (débit)</t>
  </si>
  <si>
    <t>Nom du fournisseur</t>
  </si>
  <si>
    <t>Numéro de chèque</t>
  </si>
  <si>
    <t>Escompte sur ventes (débit)</t>
  </si>
  <si>
    <t>Compte à créditer</t>
  </si>
  <si>
    <t>Comptes fournisseurs (crédit)</t>
  </si>
  <si>
    <t>Rendus et rabais sur achats (crédit)</t>
  </si>
  <si>
    <t>Essence et entretien du matériel roulant (débit)</t>
  </si>
  <si>
    <t>Fourniture de bureau (débit)</t>
  </si>
  <si>
    <t xml:space="preserve">Date </t>
  </si>
  <si>
    <t>Libellé</t>
  </si>
  <si>
    <t>Référence</t>
  </si>
  <si>
    <t>Solde</t>
  </si>
  <si>
    <t>Dt/Ct</t>
  </si>
  <si>
    <t>Club performance</t>
  </si>
  <si>
    <t>ü</t>
  </si>
  <si>
    <t>Centre de plein air</t>
  </si>
  <si>
    <t>Rapport de vente</t>
  </si>
  <si>
    <t>Michel Chicoine</t>
  </si>
  <si>
    <t>Fiducie St-Sauveur</t>
  </si>
  <si>
    <t>û</t>
  </si>
  <si>
    <t>Boutique de plongée</t>
  </si>
  <si>
    <t>Delrave</t>
  </si>
  <si>
    <t>Express service</t>
  </si>
  <si>
    <t>Retrait</t>
  </si>
  <si>
    <t>Emprunt</t>
  </si>
  <si>
    <t>Intérêt</t>
  </si>
  <si>
    <t>Transport</t>
  </si>
  <si>
    <t>Encaisse (crédit)</t>
  </si>
  <si>
    <t>NC-458</t>
  </si>
  <si>
    <t>Rendus et rabais sur ventes (débit)</t>
  </si>
  <si>
    <t>Fourn. St-Jérôme</t>
  </si>
  <si>
    <t>NC-314</t>
  </si>
  <si>
    <t>TPS à recevoir (débit)</t>
  </si>
  <si>
    <t>TVQ à recevoir (débit)</t>
  </si>
  <si>
    <t>JV-</t>
  </si>
  <si>
    <t>École Sauvé</t>
  </si>
  <si>
    <t>Centre plein air</t>
  </si>
</sst>
</file>

<file path=xl/styles.xml><?xml version="1.0" encoding="utf-8"?>
<styleSheet xmlns="http://schemas.openxmlformats.org/spreadsheetml/2006/main">
  <numFmts count="4">
    <numFmt numFmtId="164" formatCode="_ * #,##0.00_)\ _$_ ;_ * \(#,##0.00\)\ _$_ ;_ * &quot;-&quot;??_)\ _$_ ;_ @_ "/>
    <numFmt numFmtId="165" formatCode="0.000%"/>
    <numFmt numFmtId="166" formatCode="dd\/mm"/>
    <numFmt numFmtId="167" formatCode="#,##0.00\ _$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333333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4" xfId="0" applyBorder="1"/>
    <xf numFmtId="9" fontId="0" fillId="0" borderId="5" xfId="2" applyFont="1" applyBorder="1"/>
    <xf numFmtId="165" fontId="0" fillId="0" borderId="6" xfId="2" applyNumberFormat="1" applyFont="1" applyBorder="1"/>
    <xf numFmtId="0" fontId="0" fillId="3" borderId="0" xfId="0" applyFill="1"/>
    <xf numFmtId="166" fontId="0" fillId="0" borderId="0" xfId="0" applyNumberFormat="1"/>
    <xf numFmtId="0" fontId="2" fillId="0" borderId="0" xfId="0" applyFont="1" applyAlignment="1">
      <alignment horizontal="center"/>
    </xf>
    <xf numFmtId="164" fontId="0" fillId="0" borderId="0" xfId="1" applyFont="1"/>
    <xf numFmtId="0" fontId="3" fillId="2" borderId="0" xfId="0" applyFont="1" applyFill="1"/>
    <xf numFmtId="0" fontId="3" fillId="2" borderId="0" xfId="0" applyFont="1" applyFill="1" applyAlignment="1">
      <alignment horizontal="justify"/>
    </xf>
    <xf numFmtId="0" fontId="3" fillId="2" borderId="0" xfId="0" applyFont="1" applyFill="1" applyAlignment="1">
      <alignment textRotation="90"/>
    </xf>
    <xf numFmtId="0" fontId="3" fillId="3" borderId="0" xfId="0" applyFont="1" applyFill="1" applyAlignment="1">
      <alignment horizontal="justify"/>
    </xf>
    <xf numFmtId="0" fontId="4" fillId="3" borderId="0" xfId="0" applyFont="1" applyFill="1"/>
    <xf numFmtId="0" fontId="4" fillId="3" borderId="0" xfId="0" applyFont="1" applyFill="1" applyAlignment="1">
      <alignment horizontal="justify"/>
    </xf>
    <xf numFmtId="0" fontId="4" fillId="2" borderId="0" xfId="0" applyFont="1" applyFill="1" applyAlignment="1">
      <alignment horizontal="justify"/>
    </xf>
    <xf numFmtId="0" fontId="4" fillId="0" borderId="1" xfId="0" applyFont="1" applyBorder="1" applyAlignment="1">
      <alignment vertical="justify"/>
    </xf>
    <xf numFmtId="0" fontId="4" fillId="0" borderId="2" xfId="0" applyFont="1" applyBorder="1"/>
    <xf numFmtId="0" fontId="4" fillId="0" borderId="3" xfId="0" applyFont="1" applyBorder="1"/>
    <xf numFmtId="0" fontId="3" fillId="2" borderId="0" xfId="0" applyFont="1" applyFill="1" applyAlignment="1"/>
    <xf numFmtId="0" fontId="3" fillId="3" borderId="0" xfId="0" applyFont="1" applyFill="1"/>
    <xf numFmtId="0" fontId="4" fillId="2" borderId="0" xfId="0" applyFont="1" applyFill="1" applyAlignment="1"/>
    <xf numFmtId="0" fontId="4" fillId="2" borderId="0" xfId="0" applyFont="1" applyFill="1"/>
    <xf numFmtId="0" fontId="4" fillId="2" borderId="0" xfId="0" applyFont="1" applyFill="1" applyAlignment="1">
      <alignment horizontal="justify" readingOrder="1"/>
    </xf>
    <xf numFmtId="0" fontId="4" fillId="4" borderId="0" xfId="0" applyFont="1" applyFill="1" applyAlignment="1">
      <alignment horizontal="justify"/>
    </xf>
    <xf numFmtId="0" fontId="0" fillId="0" borderId="0" xfId="0" applyAlignment="1">
      <alignment horizontal="center"/>
    </xf>
    <xf numFmtId="167" fontId="0" fillId="0" borderId="0" xfId="1" applyNumberFormat="1" applyFont="1" applyAlignment="1"/>
    <xf numFmtId="167" fontId="0" fillId="0" borderId="0" xfId="1" applyNumberFormat="1" applyFont="1"/>
    <xf numFmtId="167" fontId="0" fillId="0" borderId="0" xfId="0" applyNumberFormat="1"/>
    <xf numFmtId="2" fontId="0" fillId="0" borderId="0" xfId="0" applyNumberFormat="1"/>
    <xf numFmtId="0" fontId="5" fillId="0" borderId="0" xfId="0" applyFont="1"/>
    <xf numFmtId="0" fontId="4" fillId="3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C2"/>
  <sheetViews>
    <sheetView workbookViewId="0">
      <selection sqref="A1:C1"/>
    </sheetView>
  </sheetViews>
  <sheetFormatPr defaultColWidth="11.42578125" defaultRowHeight="15"/>
  <cols>
    <col min="1" max="1" width="14.28515625" customWidth="1"/>
  </cols>
  <sheetData>
    <row r="1" spans="1:3" ht="50.25" customHeight="1">
      <c r="A1" s="15" t="s">
        <v>0</v>
      </c>
      <c r="B1" s="16" t="s">
        <v>1</v>
      </c>
      <c r="C1" s="17" t="s">
        <v>2</v>
      </c>
    </row>
    <row r="2" spans="1:3" ht="15.75" thickBot="1">
      <c r="A2" s="1">
        <v>1.14975</v>
      </c>
      <c r="B2" s="2">
        <v>0.05</v>
      </c>
      <c r="C2" s="3">
        <v>9.9750000000000005E-2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R21"/>
  <sheetViews>
    <sheetView workbookViewId="0">
      <selection activeCell="R22" sqref="R22"/>
    </sheetView>
  </sheetViews>
  <sheetFormatPr defaultColWidth="11.42578125" defaultRowHeight="15"/>
  <cols>
    <col min="1" max="1" width="6.85546875" bestFit="1" customWidth="1"/>
    <col min="2" max="2" width="17.5703125" bestFit="1" customWidth="1"/>
    <col min="3" max="3" width="5" customWidth="1"/>
    <col min="4" max="4" width="15" bestFit="1" customWidth="1"/>
    <col min="5" max="5" width="12.42578125" customWidth="1"/>
    <col min="6" max="6" width="13.42578125" customWidth="1"/>
    <col min="7" max="7" width="14.28515625" bestFit="1" customWidth="1"/>
    <col min="8" max="8" width="10.85546875" customWidth="1"/>
    <col min="9" max="9" width="14.28515625" customWidth="1"/>
    <col min="10" max="10" width="12.140625" customWidth="1"/>
    <col min="11" max="12" width="12.42578125" customWidth="1"/>
    <col min="13" max="13" width="8.28515625" customWidth="1"/>
    <col min="14" max="14" width="8.7109375" customWidth="1"/>
    <col min="15" max="15" width="9.28515625" customWidth="1"/>
    <col min="16" max="16" width="8" customWidth="1"/>
    <col min="17" max="17" width="12" bestFit="1" customWidth="1"/>
    <col min="18" max="18" width="17.140625" bestFit="1" customWidth="1"/>
  </cols>
  <sheetData>
    <row r="1" spans="1:17" ht="99.75" customHeight="1">
      <c r="A1" s="8" t="s">
        <v>3</v>
      </c>
      <c r="B1" s="9" t="s">
        <v>4</v>
      </c>
      <c r="C1" s="10" t="s">
        <v>5</v>
      </c>
      <c r="D1" s="8" t="s">
        <v>6</v>
      </c>
      <c r="E1" s="9" t="s">
        <v>32</v>
      </c>
      <c r="F1" s="11" t="s">
        <v>7</v>
      </c>
      <c r="G1" s="12" t="s">
        <v>8</v>
      </c>
      <c r="H1" s="13" t="s">
        <v>9</v>
      </c>
      <c r="I1" s="13" t="s">
        <v>11</v>
      </c>
      <c r="J1" s="13" t="s">
        <v>10</v>
      </c>
      <c r="K1" s="13" t="s">
        <v>12</v>
      </c>
      <c r="L1" s="13" t="s">
        <v>18</v>
      </c>
      <c r="M1" s="14" t="s">
        <v>13</v>
      </c>
      <c r="N1" s="14" t="s">
        <v>14</v>
      </c>
      <c r="O1" s="14" t="s">
        <v>15</v>
      </c>
      <c r="P1" s="21" t="s">
        <v>16</v>
      </c>
      <c r="Q1" s="23" t="s">
        <v>17</v>
      </c>
    </row>
    <row r="2" spans="1:17">
      <c r="A2" s="5">
        <v>43092</v>
      </c>
      <c r="B2" t="s">
        <v>43</v>
      </c>
      <c r="C2" s="6" t="s">
        <v>44</v>
      </c>
      <c r="D2" s="7">
        <v>642.6</v>
      </c>
      <c r="E2" s="7"/>
      <c r="F2" s="7">
        <f>IF(B2="Rapport de vente"," ",D2+E2)</f>
        <v>642.6</v>
      </c>
      <c r="G2" s="7"/>
      <c r="H2" s="7"/>
      <c r="I2" s="7"/>
      <c r="J2" s="7"/>
      <c r="K2" s="7"/>
      <c r="L2" s="7"/>
      <c r="M2" s="7"/>
      <c r="N2" s="7"/>
      <c r="O2" s="7"/>
      <c r="P2" s="7"/>
      <c r="Q2" s="25">
        <f>SUM(F2:L2)-E2-D2</f>
        <v>0</v>
      </c>
    </row>
    <row r="3" spans="1:17">
      <c r="A3" s="5">
        <v>43092</v>
      </c>
      <c r="B3" t="s">
        <v>45</v>
      </c>
      <c r="C3" s="6" t="s">
        <v>44</v>
      </c>
      <c r="D3" s="7">
        <v>1087.96</v>
      </c>
      <c r="E3" s="7">
        <v>22.22</v>
      </c>
      <c r="F3" s="7">
        <f t="shared" ref="F3:F20" si="0">IF(B3="Rapport de vente"," ",D3+E3)</f>
        <v>1110.18</v>
      </c>
      <c r="G3" s="7"/>
      <c r="H3" s="7"/>
      <c r="I3" s="7"/>
      <c r="J3" s="7"/>
      <c r="K3" s="7"/>
      <c r="L3" s="7"/>
      <c r="M3" s="7"/>
      <c r="N3" s="7"/>
      <c r="O3" s="7"/>
      <c r="P3" s="7"/>
      <c r="Q3" s="25">
        <f t="shared" ref="Q3:Q21" si="1">SUM(F3:L3)-E3-D3</f>
        <v>0</v>
      </c>
    </row>
    <row r="4" spans="1:17">
      <c r="A4" s="5">
        <v>43092</v>
      </c>
      <c r="B4" t="s">
        <v>46</v>
      </c>
      <c r="D4" s="7">
        <v>7058.85</v>
      </c>
      <c r="E4" s="7"/>
      <c r="F4" s="7" t="str">
        <f t="shared" si="0"/>
        <v xml:space="preserve"> </v>
      </c>
      <c r="G4" s="7">
        <f>5118.32/Calc_retro_taxe</f>
        <v>4451.68080017395</v>
      </c>
      <c r="H4" s="7">
        <f>247.41/Calc_retro_taxe</f>
        <v>215.18590998043052</v>
      </c>
      <c r="I4" s="7">
        <f>169.31/Calc_retro_taxe</f>
        <v>147.25809958686671</v>
      </c>
      <c r="J4" s="7">
        <f>1523.81/Calc_retro_taxe</f>
        <v>1325.3402913676885</v>
      </c>
      <c r="K4" s="7">
        <f>SUM(G4:J4)*TPS</f>
        <v>306.97325505544677</v>
      </c>
      <c r="L4" s="7">
        <f>SUM(G4:J4)*TVQ</f>
        <v>612.41164383561636</v>
      </c>
      <c r="M4" s="7"/>
      <c r="N4" s="7"/>
      <c r="O4" s="7"/>
      <c r="P4" s="7"/>
      <c r="Q4" s="25">
        <f t="shared" si="1"/>
        <v>0</v>
      </c>
    </row>
    <row r="5" spans="1:17">
      <c r="A5" s="5">
        <v>43100</v>
      </c>
      <c r="B5" t="s">
        <v>46</v>
      </c>
      <c r="D5" s="7">
        <v>1316.03</v>
      </c>
      <c r="E5" s="7"/>
      <c r="F5" s="7" t="str">
        <f t="shared" si="0"/>
        <v xml:space="preserve"> </v>
      </c>
      <c r="G5" s="7">
        <f>1230.79/Calc_retro_taxe</f>
        <v>1070.4848880191346</v>
      </c>
      <c r="H5" s="7">
        <f>51.38/Calc_retro_taxe</f>
        <v>44.687975646879757</v>
      </c>
      <c r="I5" s="7">
        <f>33.86/Calc_retro_taxe</f>
        <v>29.449880408784516</v>
      </c>
      <c r="J5" s="7"/>
      <c r="K5" s="7">
        <f>SUM(G5:J5)*TPS</f>
        <v>57.231137203739948</v>
      </c>
      <c r="L5" s="7">
        <f>SUM(G5:J5)*TVQ</f>
        <v>114.17611872146119</v>
      </c>
      <c r="M5" s="7"/>
      <c r="N5" s="7"/>
      <c r="O5" s="7"/>
      <c r="P5" s="7"/>
      <c r="Q5" s="25">
        <f t="shared" si="1"/>
        <v>0</v>
      </c>
    </row>
    <row r="6" spans="1:17">
      <c r="A6" s="5"/>
      <c r="D6" s="7"/>
      <c r="E6" s="7"/>
      <c r="F6" s="7">
        <f t="shared" si="0"/>
        <v>0</v>
      </c>
      <c r="G6" s="7"/>
      <c r="H6" s="7"/>
      <c r="I6" s="7"/>
      <c r="J6" s="7"/>
      <c r="K6" s="7"/>
      <c r="L6" s="7"/>
      <c r="M6" s="7"/>
      <c r="N6" s="7"/>
      <c r="O6" s="7"/>
      <c r="P6" s="7"/>
      <c r="Q6" s="25">
        <f t="shared" si="1"/>
        <v>0</v>
      </c>
    </row>
    <row r="7" spans="1:17">
      <c r="A7" s="5"/>
      <c r="D7" s="7"/>
      <c r="E7" s="7"/>
      <c r="F7" s="7">
        <f t="shared" si="0"/>
        <v>0</v>
      </c>
      <c r="G7" s="7"/>
      <c r="H7" s="7"/>
      <c r="I7" s="7"/>
      <c r="J7" s="7"/>
      <c r="K7" s="7"/>
      <c r="L7" s="7"/>
      <c r="M7" s="7"/>
      <c r="N7" s="7"/>
      <c r="O7" s="7"/>
      <c r="P7" s="7"/>
      <c r="Q7" s="25">
        <f t="shared" si="1"/>
        <v>0</v>
      </c>
    </row>
    <row r="8" spans="1:17">
      <c r="A8" s="5"/>
      <c r="D8" s="7"/>
      <c r="E8" s="7"/>
      <c r="F8" s="7">
        <f t="shared" si="0"/>
        <v>0</v>
      </c>
      <c r="G8" s="7"/>
      <c r="H8" s="7"/>
      <c r="I8" s="7"/>
      <c r="J8" s="7"/>
      <c r="K8" s="7"/>
      <c r="L8" s="7"/>
      <c r="M8" s="7"/>
      <c r="N8" s="7"/>
      <c r="O8" s="7"/>
      <c r="P8" s="7"/>
      <c r="Q8" s="25">
        <f t="shared" si="1"/>
        <v>0</v>
      </c>
    </row>
    <row r="9" spans="1:17">
      <c r="A9" s="5"/>
      <c r="D9" s="7"/>
      <c r="E9" s="7"/>
      <c r="F9" s="7">
        <f t="shared" si="0"/>
        <v>0</v>
      </c>
      <c r="G9" s="7"/>
      <c r="H9" s="7"/>
      <c r="I9" s="7"/>
      <c r="J9" s="7"/>
      <c r="K9" s="7"/>
      <c r="L9" s="7"/>
      <c r="M9" s="7"/>
      <c r="N9" s="7"/>
      <c r="O9" s="7"/>
      <c r="P9" s="7"/>
      <c r="Q9" s="25">
        <f t="shared" si="1"/>
        <v>0</v>
      </c>
    </row>
    <row r="10" spans="1:17">
      <c r="A10" s="5"/>
      <c r="D10" s="7"/>
      <c r="E10" s="7"/>
      <c r="F10" s="7">
        <f t="shared" si="0"/>
        <v>0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25">
        <f t="shared" si="1"/>
        <v>0</v>
      </c>
    </row>
    <row r="11" spans="1:17">
      <c r="A11" s="5"/>
      <c r="D11" s="7"/>
      <c r="E11" s="7"/>
      <c r="F11" s="7">
        <f t="shared" si="0"/>
        <v>0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25">
        <f t="shared" si="1"/>
        <v>0</v>
      </c>
    </row>
    <row r="12" spans="1:17">
      <c r="A12" s="5"/>
      <c r="D12" s="7"/>
      <c r="E12" s="7"/>
      <c r="F12" s="7">
        <f t="shared" si="0"/>
        <v>0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25">
        <f t="shared" si="1"/>
        <v>0</v>
      </c>
    </row>
    <row r="13" spans="1:17">
      <c r="A13" s="5"/>
      <c r="D13" s="7"/>
      <c r="E13" s="7"/>
      <c r="F13" s="7">
        <f t="shared" si="0"/>
        <v>0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25">
        <f t="shared" si="1"/>
        <v>0</v>
      </c>
    </row>
    <row r="14" spans="1:17">
      <c r="A14" s="5"/>
      <c r="D14" s="7"/>
      <c r="E14" s="7"/>
      <c r="F14" s="7">
        <f t="shared" si="0"/>
        <v>0</v>
      </c>
      <c r="G14" s="7"/>
      <c r="H14" s="7"/>
      <c r="I14" s="7"/>
      <c r="J14" s="7"/>
      <c r="K14" s="7"/>
      <c r="L14" s="7"/>
      <c r="M14" s="7"/>
      <c r="N14" s="7"/>
      <c r="O14" s="7"/>
      <c r="P14" s="7"/>
      <c r="Q14" s="25">
        <f t="shared" si="1"/>
        <v>0</v>
      </c>
    </row>
    <row r="15" spans="1:17">
      <c r="A15" s="5"/>
      <c r="D15" s="7"/>
      <c r="E15" s="7"/>
      <c r="F15" s="7">
        <f t="shared" si="0"/>
        <v>0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25">
        <f t="shared" si="1"/>
        <v>0</v>
      </c>
    </row>
    <row r="16" spans="1:17">
      <c r="A16" s="5"/>
      <c r="D16" s="7"/>
      <c r="E16" s="7"/>
      <c r="F16" s="7">
        <f t="shared" si="0"/>
        <v>0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25">
        <f t="shared" si="1"/>
        <v>0</v>
      </c>
    </row>
    <row r="17" spans="1:18">
      <c r="A17" s="5"/>
      <c r="D17" s="7"/>
      <c r="E17" s="7"/>
      <c r="F17" s="7">
        <f t="shared" si="0"/>
        <v>0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25">
        <f t="shared" si="1"/>
        <v>0</v>
      </c>
    </row>
    <row r="18" spans="1:18">
      <c r="A18" s="5"/>
      <c r="D18" s="7"/>
      <c r="E18" s="7"/>
      <c r="F18" s="7">
        <f t="shared" si="0"/>
        <v>0</v>
      </c>
      <c r="G18" s="7"/>
      <c r="H18" s="7"/>
      <c r="I18" s="7"/>
      <c r="J18" s="7"/>
      <c r="K18" s="7"/>
      <c r="L18" s="7"/>
      <c r="M18" s="7"/>
      <c r="N18" s="7"/>
      <c r="O18" s="7"/>
      <c r="P18" s="7"/>
      <c r="Q18" s="25">
        <f t="shared" si="1"/>
        <v>0</v>
      </c>
    </row>
    <row r="19" spans="1:18">
      <c r="A19" s="5"/>
      <c r="D19" s="7"/>
      <c r="E19" s="7"/>
      <c r="F19" s="7">
        <f t="shared" si="0"/>
        <v>0</v>
      </c>
      <c r="G19" s="7"/>
      <c r="H19" s="7"/>
      <c r="I19" s="7"/>
      <c r="J19" s="7"/>
      <c r="K19" s="7"/>
      <c r="L19" s="7"/>
      <c r="M19" s="7"/>
      <c r="N19" s="7"/>
      <c r="O19" s="7"/>
      <c r="P19" s="7"/>
      <c r="Q19" s="25">
        <f t="shared" si="1"/>
        <v>0</v>
      </c>
    </row>
    <row r="20" spans="1:18">
      <c r="A20" s="5"/>
      <c r="D20" s="7"/>
      <c r="E20" s="7"/>
      <c r="F20" s="7">
        <f t="shared" si="0"/>
        <v>0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25">
        <f t="shared" si="1"/>
        <v>0</v>
      </c>
      <c r="R20" s="12" t="s">
        <v>20</v>
      </c>
    </row>
    <row r="21" spans="1:18">
      <c r="B21" s="12" t="s">
        <v>19</v>
      </c>
      <c r="D21" s="7">
        <f>SUM(D2:D20)</f>
        <v>10105.44</v>
      </c>
      <c r="E21" s="7">
        <f t="shared" ref="E21:P21" si="2">SUM(E2:E20)</f>
        <v>22.22</v>
      </c>
      <c r="F21" s="7">
        <f t="shared" si="2"/>
        <v>1752.7800000000002</v>
      </c>
      <c r="G21" s="7">
        <f t="shared" si="2"/>
        <v>5522.1656881930849</v>
      </c>
      <c r="H21" s="7">
        <f t="shared" si="2"/>
        <v>259.8738856273103</v>
      </c>
      <c r="I21" s="7">
        <f t="shared" si="2"/>
        <v>176.70797999565121</v>
      </c>
      <c r="J21" s="7">
        <f t="shared" si="2"/>
        <v>1325.3402913676885</v>
      </c>
      <c r="K21" s="7">
        <f t="shared" si="2"/>
        <v>364.2043922591867</v>
      </c>
      <c r="L21" s="7">
        <f t="shared" si="2"/>
        <v>726.58776255707755</v>
      </c>
      <c r="M21" s="7"/>
      <c r="N21" s="7"/>
      <c r="O21" s="7">
        <f t="shared" si="2"/>
        <v>0</v>
      </c>
      <c r="P21" s="7">
        <f t="shared" si="2"/>
        <v>0</v>
      </c>
      <c r="Q21" s="25">
        <f t="shared" si="1"/>
        <v>0</v>
      </c>
      <c r="R21" s="25">
        <f>SUM(F21:L21)-D21-E21</f>
        <v>-6.5369931689929217E-13</v>
      </c>
    </row>
  </sheetData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1:S22"/>
  <sheetViews>
    <sheetView topLeftCell="F1" workbookViewId="0">
      <selection activeCell="S26" sqref="S26"/>
    </sheetView>
  </sheetViews>
  <sheetFormatPr defaultColWidth="11.42578125" defaultRowHeight="15"/>
  <cols>
    <col min="1" max="1" width="6.28515625" customWidth="1"/>
    <col min="2" max="2" width="21.42578125" customWidth="1"/>
    <col min="3" max="3" width="8.85546875" customWidth="1"/>
    <col min="4" max="4" width="3.5703125" customWidth="1"/>
    <col min="5" max="5" width="15" bestFit="1" customWidth="1"/>
    <col min="6" max="6" width="12" customWidth="1"/>
    <col min="7" max="7" width="14.28515625" bestFit="1" customWidth="1"/>
    <col min="9" max="9" width="10.85546875" customWidth="1"/>
    <col min="10" max="10" width="12.140625" customWidth="1"/>
    <col min="11" max="13" width="12.42578125" customWidth="1"/>
    <col min="14" max="14" width="14.7109375" customWidth="1"/>
    <col min="15" max="15" width="9.42578125" customWidth="1"/>
    <col min="19" max="19" width="17.140625" bestFit="1" customWidth="1"/>
  </cols>
  <sheetData>
    <row r="1" spans="1:18" ht="99.75" customHeight="1">
      <c r="A1" s="8" t="s">
        <v>3</v>
      </c>
      <c r="B1" s="18" t="s">
        <v>30</v>
      </c>
      <c r="C1" s="9" t="s">
        <v>31</v>
      </c>
      <c r="D1" s="10" t="s">
        <v>5</v>
      </c>
      <c r="E1" s="19" t="s">
        <v>57</v>
      </c>
      <c r="F1" s="9" t="s">
        <v>21</v>
      </c>
      <c r="G1" s="14" t="s">
        <v>22</v>
      </c>
      <c r="H1" s="14" t="s">
        <v>24</v>
      </c>
      <c r="I1" s="14" t="s">
        <v>23</v>
      </c>
      <c r="J1" s="14" t="s">
        <v>25</v>
      </c>
      <c r="K1" s="14" t="s">
        <v>26</v>
      </c>
      <c r="L1" s="13" t="s">
        <v>12</v>
      </c>
      <c r="M1" s="13" t="s">
        <v>18</v>
      </c>
      <c r="N1" s="20" t="s">
        <v>13</v>
      </c>
      <c r="O1" s="14" t="s">
        <v>14</v>
      </c>
      <c r="P1" s="14" t="s">
        <v>15</v>
      </c>
      <c r="Q1" s="21" t="s">
        <v>16</v>
      </c>
      <c r="R1" s="13" t="s">
        <v>17</v>
      </c>
    </row>
    <row r="2" spans="1:18">
      <c r="A2" s="5">
        <v>43063</v>
      </c>
      <c r="B2" t="s">
        <v>47</v>
      </c>
      <c r="C2" s="24">
        <v>566</v>
      </c>
      <c r="E2" s="7">
        <f>(SUM(G2:I2)+P2)-(F2-SUM(J2:M2))</f>
        <v>1500.1</v>
      </c>
      <c r="F2" s="7"/>
      <c r="G2" s="7"/>
      <c r="H2" s="7"/>
      <c r="I2" s="7"/>
      <c r="J2" s="7"/>
      <c r="K2" s="7"/>
      <c r="L2" s="7"/>
      <c r="M2" s="7"/>
      <c r="N2" t="s">
        <v>53</v>
      </c>
      <c r="P2" s="7">
        <v>1500.1</v>
      </c>
      <c r="Q2" s="7"/>
      <c r="R2" s="25">
        <f>(SUM(F2:M2)+P2)-E2</f>
        <v>0</v>
      </c>
    </row>
    <row r="3" spans="1:18">
      <c r="A3" s="5">
        <v>43100</v>
      </c>
      <c r="B3" t="s">
        <v>48</v>
      </c>
      <c r="C3" s="24">
        <v>569</v>
      </c>
      <c r="E3" s="7">
        <v>275.25</v>
      </c>
      <c r="F3" s="7"/>
      <c r="G3" s="7"/>
      <c r="H3" s="7"/>
      <c r="I3" s="7"/>
      <c r="J3" s="7"/>
      <c r="K3" s="7"/>
      <c r="L3" s="7"/>
      <c r="M3" s="7"/>
      <c r="N3" t="s">
        <v>54</v>
      </c>
      <c r="P3" s="7">
        <v>141.25</v>
      </c>
      <c r="Q3" s="7"/>
      <c r="R3" s="25">
        <f t="shared" ref="R3:R20" si="0">(SUM(F3:M3)+P3)-E3</f>
        <v>-134</v>
      </c>
    </row>
    <row r="4" spans="1:18">
      <c r="A4" s="5"/>
      <c r="B4" s="6" t="s">
        <v>49</v>
      </c>
      <c r="C4" s="24"/>
      <c r="E4" s="7"/>
      <c r="F4" s="7"/>
      <c r="G4" s="7"/>
      <c r="H4" s="7"/>
      <c r="I4" s="7"/>
      <c r="J4" s="7"/>
      <c r="K4" s="7"/>
      <c r="L4" s="7"/>
      <c r="M4" s="7"/>
      <c r="N4" t="s">
        <v>55</v>
      </c>
      <c r="P4" s="7">
        <v>134</v>
      </c>
      <c r="Q4" s="7"/>
      <c r="R4" s="25">
        <f t="shared" si="0"/>
        <v>134</v>
      </c>
    </row>
    <row r="5" spans="1:18">
      <c r="A5" s="5">
        <v>43100</v>
      </c>
      <c r="B5" t="s">
        <v>50</v>
      </c>
      <c r="C5" s="24">
        <v>570</v>
      </c>
      <c r="D5" s="6" t="s">
        <v>44</v>
      </c>
      <c r="E5" s="7">
        <f t="shared" ref="E5:E7" si="1">(SUM(G5:I5)+P5)-(F5-SUM(J5:M5))</f>
        <v>8119.72</v>
      </c>
      <c r="F5" s="7"/>
      <c r="G5" s="7">
        <v>8119.72</v>
      </c>
      <c r="H5" s="7"/>
      <c r="I5" s="7"/>
      <c r="J5" s="7"/>
      <c r="K5" s="7"/>
      <c r="L5" s="7">
        <f t="shared" ref="L5:L20" si="2">IF(P5&lt;0,G5*TPS,P5*TPS)</f>
        <v>0</v>
      </c>
      <c r="M5" s="7">
        <f t="shared" ref="M5:M20" si="3">IF(P5&lt;0,H5*TVQ,P5*TVQ)</f>
        <v>0</v>
      </c>
      <c r="P5" s="7"/>
      <c r="Q5" s="7"/>
      <c r="R5" s="25">
        <f t="shared" si="0"/>
        <v>0</v>
      </c>
    </row>
    <row r="6" spans="1:18">
      <c r="A6" s="5">
        <v>43100</v>
      </c>
      <c r="B6" t="s">
        <v>51</v>
      </c>
      <c r="C6" s="24">
        <v>571</v>
      </c>
      <c r="E6" s="7">
        <f t="shared" si="1"/>
        <v>433.52473500000002</v>
      </c>
      <c r="F6" s="7"/>
      <c r="G6" s="7"/>
      <c r="H6" s="7"/>
      <c r="I6" s="7"/>
      <c r="J6" s="7"/>
      <c r="K6" s="7"/>
      <c r="L6" s="7">
        <f t="shared" si="2"/>
        <v>18.853000000000002</v>
      </c>
      <c r="M6" s="7">
        <f t="shared" si="3"/>
        <v>37.611735000000003</v>
      </c>
      <c r="N6" t="s">
        <v>56</v>
      </c>
      <c r="P6" s="7">
        <v>377.06</v>
      </c>
      <c r="Q6" s="7"/>
      <c r="R6" s="25">
        <f t="shared" si="0"/>
        <v>0</v>
      </c>
    </row>
    <row r="7" spans="1:18">
      <c r="A7" s="5">
        <v>43100</v>
      </c>
      <c r="B7" t="s">
        <v>52</v>
      </c>
      <c r="C7" s="24">
        <v>572</v>
      </c>
      <c r="E7" s="7">
        <f t="shared" si="1"/>
        <v>501.37148249999996</v>
      </c>
      <c r="F7" s="7"/>
      <c r="G7" s="7"/>
      <c r="H7" s="7"/>
      <c r="I7" s="7"/>
      <c r="J7" s="7"/>
      <c r="K7" s="7"/>
      <c r="L7" s="7">
        <f t="shared" si="2"/>
        <v>21.8035</v>
      </c>
      <c r="M7" s="7">
        <f t="shared" si="3"/>
        <v>43.497982499999999</v>
      </c>
      <c r="N7" t="s">
        <v>56</v>
      </c>
      <c r="P7" s="7">
        <v>436.07</v>
      </c>
      <c r="Q7" s="7"/>
      <c r="R7" s="25">
        <f t="shared" si="0"/>
        <v>0</v>
      </c>
    </row>
    <row r="8" spans="1:18">
      <c r="A8" s="5"/>
      <c r="E8" s="7"/>
      <c r="F8" s="7"/>
      <c r="G8" s="7"/>
      <c r="H8" s="7"/>
      <c r="I8" s="7"/>
      <c r="J8" s="7"/>
      <c r="K8" s="7"/>
      <c r="L8" s="7">
        <f t="shared" si="2"/>
        <v>0</v>
      </c>
      <c r="M8" s="7">
        <f t="shared" si="3"/>
        <v>0</v>
      </c>
      <c r="P8" s="7"/>
      <c r="Q8" s="7"/>
      <c r="R8" s="25">
        <f t="shared" si="0"/>
        <v>0</v>
      </c>
    </row>
    <row r="9" spans="1:18">
      <c r="A9" s="5"/>
      <c r="E9" s="7"/>
      <c r="F9" s="7"/>
      <c r="G9" s="7"/>
      <c r="H9" s="7"/>
      <c r="I9" s="7"/>
      <c r="J9" s="7"/>
      <c r="K9" s="7"/>
      <c r="L9" s="7">
        <f t="shared" si="2"/>
        <v>0</v>
      </c>
      <c r="M9" s="7">
        <f t="shared" si="3"/>
        <v>0</v>
      </c>
      <c r="P9" s="7"/>
      <c r="Q9" s="7"/>
      <c r="R9" s="25">
        <f t="shared" si="0"/>
        <v>0</v>
      </c>
    </row>
    <row r="10" spans="1:18">
      <c r="A10" s="5"/>
      <c r="E10" s="7"/>
      <c r="F10" s="7"/>
      <c r="G10" s="7"/>
      <c r="H10" s="7"/>
      <c r="I10" s="7"/>
      <c r="J10" s="7"/>
      <c r="K10" s="7"/>
      <c r="L10" s="7">
        <f t="shared" si="2"/>
        <v>0</v>
      </c>
      <c r="M10" s="7">
        <f t="shared" si="3"/>
        <v>0</v>
      </c>
      <c r="P10" s="7"/>
      <c r="Q10" s="7"/>
      <c r="R10" s="25">
        <f t="shared" si="0"/>
        <v>0</v>
      </c>
    </row>
    <row r="11" spans="1:18">
      <c r="A11" s="5"/>
      <c r="E11" s="7"/>
      <c r="F11" s="7"/>
      <c r="G11" s="7"/>
      <c r="H11" s="7"/>
      <c r="I11" s="7"/>
      <c r="J11" s="7"/>
      <c r="K11" s="7"/>
      <c r="L11" s="7">
        <f t="shared" si="2"/>
        <v>0</v>
      </c>
      <c r="M11" s="7">
        <f t="shared" si="3"/>
        <v>0</v>
      </c>
      <c r="P11" s="7"/>
      <c r="Q11" s="7"/>
      <c r="R11" s="25">
        <f t="shared" si="0"/>
        <v>0</v>
      </c>
    </row>
    <row r="12" spans="1:18">
      <c r="A12" s="5"/>
      <c r="E12" s="7"/>
      <c r="F12" s="7"/>
      <c r="G12" s="7"/>
      <c r="H12" s="7"/>
      <c r="I12" s="7"/>
      <c r="J12" s="7"/>
      <c r="K12" s="7"/>
      <c r="L12" s="7">
        <f t="shared" si="2"/>
        <v>0</v>
      </c>
      <c r="M12" s="7">
        <f t="shared" si="3"/>
        <v>0</v>
      </c>
      <c r="P12" s="7"/>
      <c r="Q12" s="7"/>
      <c r="R12" s="25">
        <f t="shared" si="0"/>
        <v>0</v>
      </c>
    </row>
    <row r="13" spans="1:18">
      <c r="A13" s="5"/>
      <c r="E13" s="7"/>
      <c r="F13" s="7"/>
      <c r="G13" s="7"/>
      <c r="H13" s="7"/>
      <c r="I13" s="7"/>
      <c r="J13" s="7"/>
      <c r="K13" s="7"/>
      <c r="L13" s="7">
        <f t="shared" si="2"/>
        <v>0</v>
      </c>
      <c r="M13" s="7">
        <f t="shared" si="3"/>
        <v>0</v>
      </c>
      <c r="P13" s="7"/>
      <c r="Q13" s="7"/>
      <c r="R13" s="25">
        <f t="shared" si="0"/>
        <v>0</v>
      </c>
    </row>
    <row r="14" spans="1:18">
      <c r="A14" s="5"/>
      <c r="E14" s="7"/>
      <c r="F14" s="7"/>
      <c r="G14" s="7"/>
      <c r="H14" s="7"/>
      <c r="I14" s="7"/>
      <c r="J14" s="7"/>
      <c r="K14" s="7"/>
      <c r="L14" s="7">
        <f t="shared" si="2"/>
        <v>0</v>
      </c>
      <c r="M14" s="7">
        <f t="shared" si="3"/>
        <v>0</v>
      </c>
      <c r="P14" s="7"/>
      <c r="Q14" s="7"/>
      <c r="R14" s="25">
        <f t="shared" si="0"/>
        <v>0</v>
      </c>
    </row>
    <row r="15" spans="1:18">
      <c r="A15" s="5"/>
      <c r="E15" s="7"/>
      <c r="F15" s="7"/>
      <c r="G15" s="7"/>
      <c r="H15" s="7"/>
      <c r="I15" s="7"/>
      <c r="J15" s="7"/>
      <c r="K15" s="7"/>
      <c r="L15" s="7">
        <f t="shared" si="2"/>
        <v>0</v>
      </c>
      <c r="M15" s="7">
        <f t="shared" si="3"/>
        <v>0</v>
      </c>
      <c r="P15" s="7"/>
      <c r="Q15" s="7"/>
      <c r="R15" s="25">
        <f t="shared" si="0"/>
        <v>0</v>
      </c>
    </row>
    <row r="16" spans="1:18">
      <c r="A16" s="5"/>
      <c r="E16" s="7"/>
      <c r="F16" s="7"/>
      <c r="G16" s="7"/>
      <c r="H16" s="7"/>
      <c r="I16" s="7"/>
      <c r="J16" s="7"/>
      <c r="K16" s="7"/>
      <c r="L16" s="7">
        <f t="shared" si="2"/>
        <v>0</v>
      </c>
      <c r="M16" s="7">
        <f t="shared" si="3"/>
        <v>0</v>
      </c>
      <c r="P16" s="7"/>
      <c r="Q16" s="7"/>
      <c r="R16" s="25">
        <f t="shared" si="0"/>
        <v>0</v>
      </c>
    </row>
    <row r="17" spans="1:19">
      <c r="A17" s="5"/>
      <c r="E17" s="7"/>
      <c r="F17" s="7"/>
      <c r="G17" s="7"/>
      <c r="H17" s="7"/>
      <c r="I17" s="7"/>
      <c r="J17" s="7"/>
      <c r="K17" s="7"/>
      <c r="L17" s="7">
        <f t="shared" si="2"/>
        <v>0</v>
      </c>
      <c r="M17" s="7">
        <f t="shared" si="3"/>
        <v>0</v>
      </c>
      <c r="P17" s="7"/>
      <c r="Q17" s="7"/>
      <c r="R17" s="25">
        <f t="shared" si="0"/>
        <v>0</v>
      </c>
    </row>
    <row r="18" spans="1:19">
      <c r="A18" s="5"/>
      <c r="E18" s="7"/>
      <c r="F18" s="7"/>
      <c r="G18" s="7"/>
      <c r="H18" s="7"/>
      <c r="I18" s="7"/>
      <c r="J18" s="7"/>
      <c r="K18" s="7"/>
      <c r="L18" s="7">
        <f t="shared" si="2"/>
        <v>0</v>
      </c>
      <c r="M18" s="7">
        <f t="shared" si="3"/>
        <v>0</v>
      </c>
      <c r="P18" s="7"/>
      <c r="Q18" s="7"/>
      <c r="R18" s="25">
        <f t="shared" si="0"/>
        <v>0</v>
      </c>
    </row>
    <row r="19" spans="1:19">
      <c r="A19" s="5"/>
      <c r="E19" s="7"/>
      <c r="F19" s="7"/>
      <c r="G19" s="7"/>
      <c r="H19" s="7"/>
      <c r="I19" s="7"/>
      <c r="J19" s="7"/>
      <c r="K19" s="7"/>
      <c r="L19" s="7">
        <f t="shared" si="2"/>
        <v>0</v>
      </c>
      <c r="M19" s="7">
        <f t="shared" si="3"/>
        <v>0</v>
      </c>
      <c r="P19" s="7"/>
      <c r="Q19" s="7"/>
      <c r="R19" s="25">
        <f t="shared" si="0"/>
        <v>0</v>
      </c>
    </row>
    <row r="20" spans="1:19">
      <c r="A20" s="5"/>
      <c r="E20" s="7"/>
      <c r="F20" s="7"/>
      <c r="G20" s="7"/>
      <c r="H20" s="7"/>
      <c r="I20" s="7"/>
      <c r="J20" s="7"/>
      <c r="K20" s="7"/>
      <c r="L20" s="7">
        <f t="shared" si="2"/>
        <v>0</v>
      </c>
      <c r="M20" s="7">
        <f t="shared" si="3"/>
        <v>0</v>
      </c>
      <c r="P20" s="7"/>
      <c r="Q20" s="7"/>
      <c r="R20" s="25">
        <f t="shared" si="0"/>
        <v>0</v>
      </c>
      <c r="S20" s="12" t="s">
        <v>20</v>
      </c>
    </row>
    <row r="21" spans="1:19">
      <c r="B21" s="12" t="s">
        <v>19</v>
      </c>
      <c r="C21" s="4"/>
      <c r="D21" s="7"/>
      <c r="E21" s="7">
        <f>SUM(E2:E20)</f>
        <v>10829.966217500001</v>
      </c>
      <c r="F21" s="7">
        <f t="shared" ref="F21:S21" si="4">SUM(F2:F20)</f>
        <v>0</v>
      </c>
      <c r="G21" s="7">
        <f t="shared" si="4"/>
        <v>8119.72</v>
      </c>
      <c r="H21" s="7">
        <f t="shared" si="4"/>
        <v>0</v>
      </c>
      <c r="I21" s="7">
        <f t="shared" si="4"/>
        <v>0</v>
      </c>
      <c r="J21" s="7">
        <f t="shared" si="4"/>
        <v>0</v>
      </c>
      <c r="K21" s="7">
        <f t="shared" si="4"/>
        <v>0</v>
      </c>
      <c r="L21" s="7">
        <f t="shared" si="4"/>
        <v>40.656500000000001</v>
      </c>
      <c r="M21" s="7">
        <f t="shared" si="4"/>
        <v>81.109717500000002</v>
      </c>
      <c r="N21" s="7"/>
      <c r="O21" s="7"/>
      <c r="P21" s="7">
        <f t="shared" si="4"/>
        <v>2588.48</v>
      </c>
      <c r="Q21" s="7">
        <f t="shared" si="4"/>
        <v>0</v>
      </c>
      <c r="R21" s="25">
        <f t="shared" si="4"/>
        <v>0</v>
      </c>
      <c r="S21" s="25">
        <f t="shared" si="4"/>
        <v>0</v>
      </c>
    </row>
    <row r="22" spans="1:19"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C000"/>
  </sheetPr>
  <dimension ref="A1:N21"/>
  <sheetViews>
    <sheetView workbookViewId="0">
      <selection activeCell="B2" sqref="B2"/>
    </sheetView>
  </sheetViews>
  <sheetFormatPr defaultColWidth="11.42578125" defaultRowHeight="15"/>
  <cols>
    <col min="1" max="1" width="5.85546875" bestFit="1" customWidth="1"/>
    <col min="2" max="2" width="24.7109375" customWidth="1"/>
    <col min="3" max="3" width="9.28515625" customWidth="1"/>
    <col min="4" max="4" width="3.5703125" customWidth="1"/>
    <col min="5" max="5" width="13.7109375" customWidth="1"/>
    <col min="6" max="6" width="14.28515625" bestFit="1" customWidth="1"/>
    <col min="7" max="7" width="14.28515625" customWidth="1"/>
    <col min="9" max="9" width="14.28515625" customWidth="1"/>
    <col min="10" max="10" width="8.28515625" customWidth="1"/>
    <col min="11" max="11" width="10.28515625" customWidth="1"/>
    <col min="12" max="12" width="10.5703125" customWidth="1"/>
    <col min="14" max="14" width="17.140625" bestFit="1" customWidth="1"/>
  </cols>
  <sheetData>
    <row r="1" spans="1:13" ht="99.75" customHeight="1">
      <c r="A1" s="8" t="s">
        <v>3</v>
      </c>
      <c r="B1" s="9" t="s">
        <v>27</v>
      </c>
      <c r="C1" s="9" t="s">
        <v>28</v>
      </c>
      <c r="D1" s="10" t="s">
        <v>5</v>
      </c>
      <c r="E1" s="11" t="s">
        <v>29</v>
      </c>
      <c r="F1" s="21" t="s">
        <v>8</v>
      </c>
      <c r="G1" s="22" t="s">
        <v>59</v>
      </c>
      <c r="H1" s="14" t="s">
        <v>9</v>
      </c>
      <c r="I1" s="14" t="s">
        <v>11</v>
      </c>
      <c r="J1" s="14" t="s">
        <v>10</v>
      </c>
      <c r="K1" s="13" t="s">
        <v>12</v>
      </c>
      <c r="L1" s="13" t="s">
        <v>18</v>
      </c>
      <c r="M1" s="13" t="s">
        <v>17</v>
      </c>
    </row>
    <row r="2" spans="1:13">
      <c r="A2" s="5">
        <v>43073</v>
      </c>
      <c r="B2" t="s">
        <v>43</v>
      </c>
      <c r="C2" s="24">
        <v>4762</v>
      </c>
      <c r="D2" s="6" t="s">
        <v>44</v>
      </c>
      <c r="E2" s="7">
        <f>(F2-G2)+SUM(H2:L2)</f>
        <v>654.55267499999991</v>
      </c>
      <c r="F2" s="7">
        <v>569.29999999999995</v>
      </c>
      <c r="G2" s="7"/>
      <c r="H2" s="7"/>
      <c r="I2" s="7"/>
      <c r="J2" s="7"/>
      <c r="K2" s="7">
        <f t="shared" ref="K2:K20" si="0">((F2+(SUM(H2:J2)))-G2)*TPS</f>
        <v>28.465</v>
      </c>
      <c r="L2" s="7">
        <f t="shared" ref="L2:L20" si="1">((F2+(SUM(H2:J2)))-G2)*TVQ</f>
        <v>56.787675</v>
      </c>
      <c r="M2" s="27">
        <f>((F2-G2)+SUM(H2:L2))-E2</f>
        <v>0</v>
      </c>
    </row>
    <row r="3" spans="1:13">
      <c r="A3" s="5">
        <v>43077</v>
      </c>
      <c r="B3" t="s">
        <v>65</v>
      </c>
      <c r="C3" s="24">
        <v>4763</v>
      </c>
      <c r="D3" s="6" t="s">
        <v>44</v>
      </c>
      <c r="E3" s="7">
        <f t="shared" ref="E3:E20" si="2">(F3-G3)+SUM(H3:L3)</f>
        <v>1079.4427875000001</v>
      </c>
      <c r="F3" s="7">
        <v>938.85</v>
      </c>
      <c r="G3" s="7"/>
      <c r="H3" s="7"/>
      <c r="I3" s="7"/>
      <c r="J3" s="7"/>
      <c r="K3" s="7">
        <f t="shared" si="0"/>
        <v>46.942500000000003</v>
      </c>
      <c r="L3" s="7">
        <f t="shared" si="1"/>
        <v>93.650287500000005</v>
      </c>
      <c r="M3" s="27">
        <f t="shared" ref="M3:M21" si="3">((F3-G3)+SUM(H3:L3))-E3</f>
        <v>0</v>
      </c>
    </row>
    <row r="4" spans="1:13">
      <c r="A4" s="5">
        <v>43084</v>
      </c>
      <c r="B4" t="s">
        <v>66</v>
      </c>
      <c r="C4" s="24">
        <v>4767</v>
      </c>
      <c r="D4" s="6" t="s">
        <v>44</v>
      </c>
      <c r="E4" s="7">
        <f t="shared" si="2"/>
        <v>1319.3956125</v>
      </c>
      <c r="F4" s="7">
        <v>1022.55</v>
      </c>
      <c r="G4" s="7"/>
      <c r="H4" s="7">
        <v>125</v>
      </c>
      <c r="I4" s="7"/>
      <c r="J4" s="7"/>
      <c r="K4" s="7">
        <f t="shared" si="0"/>
        <v>57.377499999999998</v>
      </c>
      <c r="L4" s="7">
        <f t="shared" si="1"/>
        <v>114.4681125</v>
      </c>
      <c r="M4" s="27">
        <f t="shared" si="3"/>
        <v>0</v>
      </c>
    </row>
    <row r="5" spans="1:13">
      <c r="A5" s="5">
        <v>43088</v>
      </c>
      <c r="B5" t="s">
        <v>66</v>
      </c>
      <c r="C5" s="24" t="s">
        <v>58</v>
      </c>
      <c r="D5" s="6" t="s">
        <v>44</v>
      </c>
      <c r="E5" s="7">
        <f t="shared" si="2"/>
        <v>-188.559</v>
      </c>
      <c r="F5" s="7"/>
      <c r="G5" s="7">
        <v>164</v>
      </c>
      <c r="H5" s="7"/>
      <c r="I5" s="7"/>
      <c r="J5" s="7"/>
      <c r="K5" s="7">
        <f t="shared" si="0"/>
        <v>-8.2000000000000011</v>
      </c>
      <c r="L5" s="7">
        <f t="shared" si="1"/>
        <v>-16.359000000000002</v>
      </c>
      <c r="M5" s="27">
        <f t="shared" si="3"/>
        <v>0</v>
      </c>
    </row>
    <row r="6" spans="1:13">
      <c r="A6" s="5"/>
      <c r="C6" s="24"/>
      <c r="E6" s="7">
        <f t="shared" si="2"/>
        <v>0</v>
      </c>
      <c r="F6" s="7"/>
      <c r="G6" s="7"/>
      <c r="H6" s="7"/>
      <c r="I6" s="7"/>
      <c r="J6" s="7"/>
      <c r="K6" s="7">
        <f t="shared" si="0"/>
        <v>0</v>
      </c>
      <c r="L6" s="7">
        <f t="shared" si="1"/>
        <v>0</v>
      </c>
      <c r="M6" s="27">
        <f t="shared" si="3"/>
        <v>0</v>
      </c>
    </row>
    <row r="7" spans="1:13">
      <c r="A7" s="5"/>
      <c r="C7" s="24"/>
      <c r="E7" s="7">
        <f t="shared" si="2"/>
        <v>0</v>
      </c>
      <c r="F7" s="7"/>
      <c r="G7" s="7"/>
      <c r="H7" s="7"/>
      <c r="I7" s="7"/>
      <c r="J7" s="7"/>
      <c r="K7" s="7">
        <f t="shared" si="0"/>
        <v>0</v>
      </c>
      <c r="L7" s="7">
        <f t="shared" si="1"/>
        <v>0</v>
      </c>
      <c r="M7" s="27">
        <f t="shared" si="3"/>
        <v>0</v>
      </c>
    </row>
    <row r="8" spans="1:13">
      <c r="A8" s="5"/>
      <c r="C8" s="24"/>
      <c r="E8" s="7">
        <f t="shared" si="2"/>
        <v>0</v>
      </c>
      <c r="F8" s="7"/>
      <c r="G8" s="7"/>
      <c r="H8" s="7"/>
      <c r="I8" s="7"/>
      <c r="J8" s="7"/>
      <c r="K8" s="7">
        <f t="shared" si="0"/>
        <v>0</v>
      </c>
      <c r="L8" s="7">
        <f t="shared" si="1"/>
        <v>0</v>
      </c>
      <c r="M8" s="27">
        <f t="shared" si="3"/>
        <v>0</v>
      </c>
    </row>
    <row r="9" spans="1:13">
      <c r="A9" s="5"/>
      <c r="C9" s="24"/>
      <c r="E9" s="7">
        <f t="shared" si="2"/>
        <v>0</v>
      </c>
      <c r="F9" s="7"/>
      <c r="G9" s="7"/>
      <c r="H9" s="7"/>
      <c r="I9" s="7"/>
      <c r="J9" s="7"/>
      <c r="K9" s="7">
        <f t="shared" si="0"/>
        <v>0</v>
      </c>
      <c r="L9" s="7">
        <f t="shared" si="1"/>
        <v>0</v>
      </c>
      <c r="M9" s="27">
        <f t="shared" si="3"/>
        <v>0</v>
      </c>
    </row>
    <row r="10" spans="1:13">
      <c r="A10" s="5"/>
      <c r="C10" s="24"/>
      <c r="E10" s="7">
        <f t="shared" si="2"/>
        <v>0</v>
      </c>
      <c r="F10" s="7"/>
      <c r="G10" s="7"/>
      <c r="H10" s="7"/>
      <c r="I10" s="7"/>
      <c r="J10" s="7"/>
      <c r="K10" s="7">
        <f t="shared" si="0"/>
        <v>0</v>
      </c>
      <c r="L10" s="7">
        <f t="shared" si="1"/>
        <v>0</v>
      </c>
      <c r="M10" s="27">
        <f t="shared" si="3"/>
        <v>0</v>
      </c>
    </row>
    <row r="11" spans="1:13">
      <c r="A11" s="5"/>
      <c r="C11" s="24"/>
      <c r="E11" s="7">
        <f t="shared" si="2"/>
        <v>0</v>
      </c>
      <c r="F11" s="7"/>
      <c r="G11" s="7"/>
      <c r="H11" s="7"/>
      <c r="I11" s="7"/>
      <c r="J11" s="7"/>
      <c r="K11" s="7">
        <f t="shared" si="0"/>
        <v>0</v>
      </c>
      <c r="L11" s="7">
        <f t="shared" si="1"/>
        <v>0</v>
      </c>
      <c r="M11" s="27">
        <f t="shared" si="3"/>
        <v>0</v>
      </c>
    </row>
    <row r="12" spans="1:13">
      <c r="A12" s="5"/>
      <c r="C12" s="24"/>
      <c r="E12" s="7">
        <f t="shared" si="2"/>
        <v>0</v>
      </c>
      <c r="F12" s="7"/>
      <c r="G12" s="7"/>
      <c r="H12" s="7"/>
      <c r="I12" s="7"/>
      <c r="J12" s="7"/>
      <c r="K12" s="7">
        <f t="shared" si="0"/>
        <v>0</v>
      </c>
      <c r="L12" s="7">
        <f t="shared" si="1"/>
        <v>0</v>
      </c>
      <c r="M12" s="27">
        <f t="shared" si="3"/>
        <v>0</v>
      </c>
    </row>
    <row r="13" spans="1:13">
      <c r="A13" s="5"/>
      <c r="C13" s="24"/>
      <c r="E13" s="7">
        <f t="shared" si="2"/>
        <v>0</v>
      </c>
      <c r="F13" s="7"/>
      <c r="G13" s="7"/>
      <c r="H13" s="7"/>
      <c r="I13" s="7"/>
      <c r="J13" s="7"/>
      <c r="K13" s="7">
        <f t="shared" si="0"/>
        <v>0</v>
      </c>
      <c r="L13" s="7">
        <f t="shared" si="1"/>
        <v>0</v>
      </c>
      <c r="M13" s="27">
        <f t="shared" si="3"/>
        <v>0</v>
      </c>
    </row>
    <row r="14" spans="1:13">
      <c r="A14" s="5"/>
      <c r="C14" s="24"/>
      <c r="E14" s="7">
        <f t="shared" si="2"/>
        <v>0</v>
      </c>
      <c r="F14" s="7"/>
      <c r="G14" s="7"/>
      <c r="H14" s="7"/>
      <c r="I14" s="7"/>
      <c r="J14" s="7"/>
      <c r="K14" s="7">
        <f t="shared" si="0"/>
        <v>0</v>
      </c>
      <c r="L14" s="7">
        <f t="shared" si="1"/>
        <v>0</v>
      </c>
      <c r="M14" s="27">
        <f t="shared" si="3"/>
        <v>0</v>
      </c>
    </row>
    <row r="15" spans="1:13">
      <c r="A15" s="5"/>
      <c r="C15" s="24"/>
      <c r="E15" s="7">
        <f t="shared" si="2"/>
        <v>0</v>
      </c>
      <c r="F15" s="7"/>
      <c r="G15" s="7"/>
      <c r="H15" s="7"/>
      <c r="I15" s="7"/>
      <c r="J15" s="7"/>
      <c r="K15" s="7">
        <f t="shared" si="0"/>
        <v>0</v>
      </c>
      <c r="L15" s="7">
        <f t="shared" si="1"/>
        <v>0</v>
      </c>
      <c r="M15" s="27">
        <f t="shared" si="3"/>
        <v>0</v>
      </c>
    </row>
    <row r="16" spans="1:13">
      <c r="A16" s="5"/>
      <c r="C16" s="24"/>
      <c r="E16" s="7">
        <f t="shared" si="2"/>
        <v>0</v>
      </c>
      <c r="F16" s="7"/>
      <c r="G16" s="7"/>
      <c r="H16" s="7"/>
      <c r="I16" s="7"/>
      <c r="J16" s="7"/>
      <c r="K16" s="7">
        <f t="shared" si="0"/>
        <v>0</v>
      </c>
      <c r="L16" s="7">
        <f t="shared" si="1"/>
        <v>0</v>
      </c>
      <c r="M16" s="27">
        <f t="shared" si="3"/>
        <v>0</v>
      </c>
    </row>
    <row r="17" spans="1:14">
      <c r="A17" s="5"/>
      <c r="C17" s="24"/>
      <c r="E17" s="7">
        <f t="shared" si="2"/>
        <v>0</v>
      </c>
      <c r="F17" s="7"/>
      <c r="G17" s="7"/>
      <c r="H17" s="7"/>
      <c r="I17" s="7"/>
      <c r="J17" s="7"/>
      <c r="K17" s="7">
        <f t="shared" si="0"/>
        <v>0</v>
      </c>
      <c r="L17" s="7">
        <f t="shared" si="1"/>
        <v>0</v>
      </c>
      <c r="M17" s="27">
        <f t="shared" si="3"/>
        <v>0</v>
      </c>
    </row>
    <row r="18" spans="1:14">
      <c r="A18" s="5"/>
      <c r="C18" s="24"/>
      <c r="E18" s="7">
        <f t="shared" si="2"/>
        <v>0</v>
      </c>
      <c r="F18" s="7"/>
      <c r="G18" s="7"/>
      <c r="H18" s="7"/>
      <c r="I18" s="7"/>
      <c r="J18" s="7"/>
      <c r="K18" s="7">
        <f t="shared" si="0"/>
        <v>0</v>
      </c>
      <c r="L18" s="7">
        <f t="shared" si="1"/>
        <v>0</v>
      </c>
      <c r="M18" s="27">
        <f t="shared" si="3"/>
        <v>0</v>
      </c>
    </row>
    <row r="19" spans="1:14">
      <c r="A19" s="5"/>
      <c r="C19" s="24"/>
      <c r="E19" s="7">
        <f t="shared" si="2"/>
        <v>0</v>
      </c>
      <c r="F19" s="7"/>
      <c r="G19" s="7"/>
      <c r="H19" s="7"/>
      <c r="I19" s="7"/>
      <c r="J19" s="7"/>
      <c r="K19" s="7">
        <f t="shared" si="0"/>
        <v>0</v>
      </c>
      <c r="L19" s="7">
        <f t="shared" si="1"/>
        <v>0</v>
      </c>
      <c r="M19" s="27">
        <f t="shared" si="3"/>
        <v>0</v>
      </c>
    </row>
    <row r="20" spans="1:14">
      <c r="A20" s="5"/>
      <c r="C20" s="24"/>
      <c r="E20" s="7">
        <f t="shared" si="2"/>
        <v>0</v>
      </c>
      <c r="F20" s="7"/>
      <c r="G20" s="7"/>
      <c r="H20" s="7"/>
      <c r="I20" s="7"/>
      <c r="J20" s="7"/>
      <c r="K20" s="7">
        <f t="shared" si="0"/>
        <v>0</v>
      </c>
      <c r="L20" s="7">
        <f t="shared" si="1"/>
        <v>0</v>
      </c>
      <c r="M20" s="27">
        <f t="shared" si="3"/>
        <v>0</v>
      </c>
      <c r="N20" s="12" t="s">
        <v>20</v>
      </c>
    </row>
    <row r="21" spans="1:14">
      <c r="B21" s="12" t="s">
        <v>19</v>
      </c>
      <c r="C21" s="4"/>
      <c r="E21" s="7">
        <f>SUM(E2:E20)</f>
        <v>2864.8320749999998</v>
      </c>
      <c r="F21" s="7">
        <f t="shared" ref="F21:L21" si="4">SUM(F2:F20)</f>
        <v>2530.6999999999998</v>
      </c>
      <c r="G21" s="7">
        <f t="shared" si="4"/>
        <v>164</v>
      </c>
      <c r="H21" s="7">
        <f t="shared" si="4"/>
        <v>125</v>
      </c>
      <c r="I21" s="7">
        <f t="shared" si="4"/>
        <v>0</v>
      </c>
      <c r="J21" s="7">
        <f t="shared" si="4"/>
        <v>0</v>
      </c>
      <c r="K21" s="7">
        <f t="shared" si="4"/>
        <v>124.58499999999999</v>
      </c>
      <c r="L21" s="7">
        <f t="shared" si="4"/>
        <v>248.54707499999998</v>
      </c>
      <c r="M21" s="27">
        <f t="shared" si="3"/>
        <v>0</v>
      </c>
      <c r="N21" s="27">
        <f>((F21-G21)+SUM(H21:L21))-E21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C000"/>
  </sheetPr>
  <dimension ref="A1:M21"/>
  <sheetViews>
    <sheetView topLeftCell="A7" workbookViewId="0">
      <selection activeCell="M22" sqref="M22"/>
    </sheetView>
  </sheetViews>
  <sheetFormatPr defaultColWidth="11.42578125" defaultRowHeight="15"/>
  <cols>
    <col min="1" max="1" width="5.85546875" bestFit="1" customWidth="1"/>
    <col min="2" max="2" width="22.85546875" customWidth="1"/>
    <col min="4" max="4" width="3.42578125" customWidth="1"/>
    <col min="5" max="5" width="15" bestFit="1" customWidth="1"/>
    <col min="6" max="6" width="14.28515625" bestFit="1" customWidth="1"/>
    <col min="7" max="7" width="14.28515625" customWidth="1"/>
    <col min="8" max="8" width="18.5703125" customWidth="1"/>
    <col min="9" max="9" width="12.42578125" customWidth="1"/>
    <col min="10" max="11" width="13.140625" customWidth="1"/>
    <col min="13" max="13" width="17.140625" bestFit="1" customWidth="1"/>
  </cols>
  <sheetData>
    <row r="1" spans="1:12" ht="99.75" customHeight="1">
      <c r="A1" s="8" t="s">
        <v>3</v>
      </c>
      <c r="B1" s="9" t="s">
        <v>33</v>
      </c>
      <c r="C1" s="9" t="s">
        <v>28</v>
      </c>
      <c r="D1" s="10" t="s">
        <v>5</v>
      </c>
      <c r="E1" s="11" t="s">
        <v>34</v>
      </c>
      <c r="F1" s="21" t="s">
        <v>24</v>
      </c>
      <c r="G1" s="22" t="s">
        <v>35</v>
      </c>
      <c r="H1" s="14" t="s">
        <v>36</v>
      </c>
      <c r="I1" s="14" t="s">
        <v>37</v>
      </c>
      <c r="J1" s="13" t="s">
        <v>62</v>
      </c>
      <c r="K1" s="13" t="s">
        <v>63</v>
      </c>
      <c r="L1" s="13" t="s">
        <v>17</v>
      </c>
    </row>
    <row r="2" spans="1:12">
      <c r="A2" s="5">
        <v>43076</v>
      </c>
      <c r="B2" t="s">
        <v>60</v>
      </c>
      <c r="C2" s="24">
        <v>13214</v>
      </c>
      <c r="D2" s="6" t="s">
        <v>44</v>
      </c>
      <c r="E2" s="7">
        <f>(F2+SUM(H2:K2))-G2</f>
        <v>230.63985</v>
      </c>
      <c r="F2" s="7"/>
      <c r="G2" s="7"/>
      <c r="H2" s="7"/>
      <c r="I2" s="7">
        <v>200.6</v>
      </c>
      <c r="J2" s="7">
        <f t="shared" ref="J2:J20" si="0">((F2+H2+I2)-G2)*TPS</f>
        <v>10.030000000000001</v>
      </c>
      <c r="K2" s="7">
        <f t="shared" ref="K2:K20" si="1">((F2+H2+I2)-G2)*TVQ</f>
        <v>20.00985</v>
      </c>
      <c r="L2" s="26">
        <f>(F2+SUM(H2:K2))-E2-G2</f>
        <v>0</v>
      </c>
    </row>
    <row r="3" spans="1:12">
      <c r="A3" s="5">
        <v>43087</v>
      </c>
      <c r="B3" t="s">
        <v>50</v>
      </c>
      <c r="C3" s="24">
        <v>1908</v>
      </c>
      <c r="D3" s="6" t="s">
        <v>44</v>
      </c>
      <c r="E3" s="7">
        <f t="shared" ref="E3:E4" si="2">(F3+SUM(H3:K3))-G3</f>
        <v>997.40812499999993</v>
      </c>
      <c r="F3" s="7">
        <v>867.5</v>
      </c>
      <c r="G3" s="7"/>
      <c r="H3" s="7"/>
      <c r="I3" s="7"/>
      <c r="J3" s="7">
        <f t="shared" si="0"/>
        <v>43.375</v>
      </c>
      <c r="K3" s="7">
        <f t="shared" si="1"/>
        <v>86.533124999999998</v>
      </c>
      <c r="L3" s="26">
        <f t="shared" ref="L3:L21" si="3">(F3+SUM(H3:K3))-E3-G3</f>
        <v>0</v>
      </c>
    </row>
    <row r="4" spans="1:12">
      <c r="A4" s="5">
        <v>43090</v>
      </c>
      <c r="B4" t="s">
        <v>50</v>
      </c>
      <c r="C4" s="24" t="s">
        <v>61</v>
      </c>
      <c r="D4" s="24"/>
      <c r="E4" s="7">
        <f t="shared" si="2"/>
        <v>-118.99912500000001</v>
      </c>
      <c r="F4" s="7"/>
      <c r="G4" s="7">
        <v>103.5</v>
      </c>
      <c r="H4" s="7"/>
      <c r="I4" s="7"/>
      <c r="J4" s="7">
        <f t="shared" si="0"/>
        <v>-5.1750000000000007</v>
      </c>
      <c r="K4" s="7">
        <f t="shared" si="1"/>
        <v>-10.324125</v>
      </c>
      <c r="L4" s="26">
        <f t="shared" si="3"/>
        <v>0</v>
      </c>
    </row>
    <row r="5" spans="1:12">
      <c r="A5" s="5"/>
      <c r="C5" s="24"/>
      <c r="D5" s="24"/>
      <c r="E5" s="7"/>
      <c r="F5" s="7"/>
      <c r="G5" s="7"/>
      <c r="H5" s="7"/>
      <c r="I5" s="7"/>
      <c r="J5" s="7">
        <f t="shared" si="0"/>
        <v>0</v>
      </c>
      <c r="K5" s="7">
        <f t="shared" si="1"/>
        <v>0</v>
      </c>
      <c r="L5" s="26">
        <f t="shared" si="3"/>
        <v>0</v>
      </c>
    </row>
    <row r="6" spans="1:12">
      <c r="A6" s="5"/>
      <c r="C6" s="24"/>
      <c r="D6" s="24"/>
      <c r="E6" s="7"/>
      <c r="F6" s="7"/>
      <c r="G6" s="7"/>
      <c r="H6" s="7"/>
      <c r="I6" s="7"/>
      <c r="J6" s="7">
        <f t="shared" si="0"/>
        <v>0</v>
      </c>
      <c r="K6" s="7">
        <f t="shared" si="1"/>
        <v>0</v>
      </c>
      <c r="L6" s="26">
        <f t="shared" si="3"/>
        <v>0</v>
      </c>
    </row>
    <row r="7" spans="1:12">
      <c r="A7" s="5"/>
      <c r="C7" s="24"/>
      <c r="D7" s="24"/>
      <c r="E7" s="7"/>
      <c r="F7" s="7"/>
      <c r="G7" s="7"/>
      <c r="H7" s="7"/>
      <c r="I7" s="7"/>
      <c r="J7" s="7">
        <f t="shared" si="0"/>
        <v>0</v>
      </c>
      <c r="K7" s="7">
        <f t="shared" si="1"/>
        <v>0</v>
      </c>
      <c r="L7" s="26">
        <f t="shared" si="3"/>
        <v>0</v>
      </c>
    </row>
    <row r="8" spans="1:12">
      <c r="A8" s="5"/>
      <c r="C8" s="24"/>
      <c r="D8" s="24"/>
      <c r="E8" s="7"/>
      <c r="F8" s="7"/>
      <c r="G8" s="7"/>
      <c r="H8" s="7"/>
      <c r="I8" s="7"/>
      <c r="J8" s="7">
        <f t="shared" si="0"/>
        <v>0</v>
      </c>
      <c r="K8" s="7">
        <f t="shared" si="1"/>
        <v>0</v>
      </c>
      <c r="L8" s="26">
        <f t="shared" si="3"/>
        <v>0</v>
      </c>
    </row>
    <row r="9" spans="1:12">
      <c r="A9" s="5"/>
      <c r="C9" s="24"/>
      <c r="D9" s="24"/>
      <c r="E9" s="7"/>
      <c r="F9" s="7"/>
      <c r="G9" s="7"/>
      <c r="H9" s="7"/>
      <c r="I9" s="7"/>
      <c r="J9" s="7">
        <f t="shared" si="0"/>
        <v>0</v>
      </c>
      <c r="K9" s="7">
        <f t="shared" si="1"/>
        <v>0</v>
      </c>
      <c r="L9" s="26">
        <f t="shared" si="3"/>
        <v>0</v>
      </c>
    </row>
    <row r="10" spans="1:12">
      <c r="A10" s="5"/>
      <c r="C10" s="24"/>
      <c r="D10" s="24"/>
      <c r="E10" s="7"/>
      <c r="F10" s="7"/>
      <c r="G10" s="7"/>
      <c r="H10" s="7"/>
      <c r="I10" s="7"/>
      <c r="J10" s="7">
        <f t="shared" si="0"/>
        <v>0</v>
      </c>
      <c r="K10" s="7">
        <f t="shared" si="1"/>
        <v>0</v>
      </c>
      <c r="L10" s="26">
        <f t="shared" si="3"/>
        <v>0</v>
      </c>
    </row>
    <row r="11" spans="1:12">
      <c r="A11" s="5"/>
      <c r="C11" s="24"/>
      <c r="D11" s="24"/>
      <c r="E11" s="7"/>
      <c r="F11" s="7"/>
      <c r="G11" s="7"/>
      <c r="H11" s="7"/>
      <c r="I11" s="7"/>
      <c r="J11" s="7">
        <f t="shared" si="0"/>
        <v>0</v>
      </c>
      <c r="K11" s="7">
        <f t="shared" si="1"/>
        <v>0</v>
      </c>
      <c r="L11" s="26">
        <f t="shared" si="3"/>
        <v>0</v>
      </c>
    </row>
    <row r="12" spans="1:12">
      <c r="A12" s="5"/>
      <c r="C12" s="24"/>
      <c r="D12" s="24"/>
      <c r="E12" s="7"/>
      <c r="F12" s="7"/>
      <c r="G12" s="7"/>
      <c r="H12" s="7"/>
      <c r="I12" s="7"/>
      <c r="J12" s="7">
        <f t="shared" si="0"/>
        <v>0</v>
      </c>
      <c r="K12" s="7">
        <f t="shared" si="1"/>
        <v>0</v>
      </c>
      <c r="L12" s="26">
        <f t="shared" si="3"/>
        <v>0</v>
      </c>
    </row>
    <row r="13" spans="1:12">
      <c r="A13" s="5"/>
      <c r="C13" s="24"/>
      <c r="D13" s="24"/>
      <c r="E13" s="7"/>
      <c r="F13" s="7"/>
      <c r="G13" s="7"/>
      <c r="H13" s="7"/>
      <c r="I13" s="7"/>
      <c r="J13" s="7">
        <f t="shared" si="0"/>
        <v>0</v>
      </c>
      <c r="K13" s="7">
        <f t="shared" si="1"/>
        <v>0</v>
      </c>
      <c r="L13" s="26">
        <f t="shared" si="3"/>
        <v>0</v>
      </c>
    </row>
    <row r="14" spans="1:12">
      <c r="A14" s="5"/>
      <c r="C14" s="24"/>
      <c r="D14" s="24"/>
      <c r="E14" s="7"/>
      <c r="F14" s="7"/>
      <c r="G14" s="7"/>
      <c r="H14" s="7"/>
      <c r="I14" s="7"/>
      <c r="J14" s="7">
        <f t="shared" si="0"/>
        <v>0</v>
      </c>
      <c r="K14" s="7">
        <f t="shared" si="1"/>
        <v>0</v>
      </c>
      <c r="L14" s="26">
        <f t="shared" si="3"/>
        <v>0</v>
      </c>
    </row>
    <row r="15" spans="1:12">
      <c r="A15" s="5"/>
      <c r="C15" s="24"/>
      <c r="D15" s="24"/>
      <c r="E15" s="7"/>
      <c r="F15" s="7"/>
      <c r="G15" s="7"/>
      <c r="H15" s="7"/>
      <c r="I15" s="7"/>
      <c r="J15" s="7">
        <f t="shared" si="0"/>
        <v>0</v>
      </c>
      <c r="K15" s="7">
        <f t="shared" si="1"/>
        <v>0</v>
      </c>
      <c r="L15" s="26">
        <f t="shared" si="3"/>
        <v>0</v>
      </c>
    </row>
    <row r="16" spans="1:12">
      <c r="A16" s="5"/>
      <c r="C16" s="24"/>
      <c r="D16" s="24"/>
      <c r="E16" s="7"/>
      <c r="F16" s="7"/>
      <c r="G16" s="7"/>
      <c r="H16" s="7"/>
      <c r="I16" s="7"/>
      <c r="J16" s="7">
        <f t="shared" si="0"/>
        <v>0</v>
      </c>
      <c r="K16" s="7">
        <f t="shared" si="1"/>
        <v>0</v>
      </c>
      <c r="L16" s="26">
        <f t="shared" si="3"/>
        <v>0</v>
      </c>
    </row>
    <row r="17" spans="1:13">
      <c r="A17" s="5"/>
      <c r="C17" s="24"/>
      <c r="D17" s="24"/>
      <c r="E17" s="7"/>
      <c r="F17" s="7"/>
      <c r="G17" s="7"/>
      <c r="H17" s="7"/>
      <c r="I17" s="7"/>
      <c r="J17" s="7">
        <f t="shared" si="0"/>
        <v>0</v>
      </c>
      <c r="K17" s="7">
        <f t="shared" si="1"/>
        <v>0</v>
      </c>
      <c r="L17" s="26">
        <f t="shared" si="3"/>
        <v>0</v>
      </c>
    </row>
    <row r="18" spans="1:13">
      <c r="A18" s="5"/>
      <c r="C18" s="24"/>
      <c r="D18" s="24"/>
      <c r="E18" s="7"/>
      <c r="F18" s="7"/>
      <c r="G18" s="7"/>
      <c r="H18" s="7"/>
      <c r="I18" s="7"/>
      <c r="J18" s="7">
        <f t="shared" si="0"/>
        <v>0</v>
      </c>
      <c r="K18" s="7">
        <f t="shared" si="1"/>
        <v>0</v>
      </c>
      <c r="L18" s="26">
        <f t="shared" si="3"/>
        <v>0</v>
      </c>
    </row>
    <row r="19" spans="1:13">
      <c r="A19" s="5"/>
      <c r="C19" s="24"/>
      <c r="D19" s="24"/>
      <c r="E19" s="7"/>
      <c r="F19" s="7"/>
      <c r="G19" s="7"/>
      <c r="H19" s="7"/>
      <c r="I19" s="7"/>
      <c r="J19" s="7">
        <f t="shared" si="0"/>
        <v>0</v>
      </c>
      <c r="K19" s="7">
        <f t="shared" si="1"/>
        <v>0</v>
      </c>
      <c r="L19" s="26">
        <f t="shared" si="3"/>
        <v>0</v>
      </c>
    </row>
    <row r="20" spans="1:13">
      <c r="A20" s="5"/>
      <c r="C20" s="24"/>
      <c r="D20" s="24"/>
      <c r="E20" s="7"/>
      <c r="F20" s="7"/>
      <c r="G20" s="7"/>
      <c r="H20" s="7"/>
      <c r="I20" s="7"/>
      <c r="J20" s="7">
        <f t="shared" si="0"/>
        <v>0</v>
      </c>
      <c r="K20" s="7">
        <f t="shared" si="1"/>
        <v>0</v>
      </c>
      <c r="L20" s="26">
        <f t="shared" si="3"/>
        <v>0</v>
      </c>
      <c r="M20" s="12" t="s">
        <v>20</v>
      </c>
    </row>
    <row r="21" spans="1:13">
      <c r="B21" s="12" t="s">
        <v>19</v>
      </c>
      <c r="C21" s="4"/>
      <c r="E21" s="7">
        <f>SUM(E2:E20)</f>
        <v>1109.0488499999999</v>
      </c>
      <c r="F21" s="7">
        <f t="shared" ref="F21:K21" si="4">SUM(F2:F20)</f>
        <v>867.5</v>
      </c>
      <c r="G21" s="7">
        <f t="shared" si="4"/>
        <v>103.5</v>
      </c>
      <c r="H21" s="7">
        <f t="shared" si="4"/>
        <v>0</v>
      </c>
      <c r="I21" s="7">
        <f t="shared" si="4"/>
        <v>200.6</v>
      </c>
      <c r="J21" s="7">
        <f t="shared" si="4"/>
        <v>48.230000000000004</v>
      </c>
      <c r="K21" s="7">
        <f t="shared" si="4"/>
        <v>96.218850000000003</v>
      </c>
      <c r="L21" s="26">
        <f t="shared" si="3"/>
        <v>2.2737367544323206E-13</v>
      </c>
      <c r="M21" s="26">
        <f>(F21+SUM(H21:K21))-G21-E21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50"/>
  </sheetPr>
  <dimension ref="A1:G11"/>
  <sheetViews>
    <sheetView tabSelected="1" workbookViewId="0">
      <selection activeCell="D3" sqref="D3"/>
    </sheetView>
  </sheetViews>
  <sheetFormatPr defaultColWidth="11.42578125" defaultRowHeight="15"/>
  <cols>
    <col min="1" max="1" width="10" customWidth="1"/>
    <col min="2" max="2" width="17" customWidth="1"/>
    <col min="7" max="7" width="5.7109375" bestFit="1" customWidth="1"/>
    <col min="8" max="8" width="17" bestFit="1" customWidth="1"/>
    <col min="9" max="9" width="27.28515625" bestFit="1" customWidth="1"/>
  </cols>
  <sheetData>
    <row r="1" spans="1:7">
      <c r="A1" s="12" t="s">
        <v>38</v>
      </c>
      <c r="B1" s="21" t="s">
        <v>39</v>
      </c>
      <c r="C1" s="31" t="s">
        <v>40</v>
      </c>
      <c r="D1" s="30" t="s">
        <v>15</v>
      </c>
      <c r="E1" s="30" t="s">
        <v>16</v>
      </c>
      <c r="F1" s="12" t="s">
        <v>41</v>
      </c>
      <c r="G1" s="12" t="s">
        <v>42</v>
      </c>
    </row>
    <row r="2" spans="1:7">
      <c r="D2" s="28"/>
      <c r="F2">
        <v>1436.52</v>
      </c>
      <c r="G2" t="str">
        <f>IF(F2&gt;0,"Dt","Ct")</f>
        <v>Dt</v>
      </c>
    </row>
    <row r="3" spans="1:7">
      <c r="B3" t="s">
        <v>64</v>
      </c>
      <c r="C3" s="24" t="str">
        <f ca="1">B3&amp;"B"&amp;MATCH(SUBSTITUTE(MID(CELL("filename",A1), FIND("]", CELL("filename", A1))+ 1,50),"GLA.C-Ass. ",""),Ventes!B:B,0)</f>
        <v>JV-B2</v>
      </c>
      <c r="D3" s="7">
        <f ca="1">IF(B3="JV-",OFFSET(INDIRECT(IF(LEFT(C3,2)="JV","Ventes","Achats")&amp;"!"&amp;RIGHT(C3,2)),0,3),0)</f>
        <v>654.55267499999991</v>
      </c>
    </row>
    <row r="10" spans="1:7">
      <c r="D10" s="29"/>
    </row>
    <row r="11" spans="1:7">
      <c r="D11" s="2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50"/>
  </sheetPr>
  <dimension ref="A1:G1"/>
  <sheetViews>
    <sheetView workbookViewId="0">
      <selection sqref="A1:G1"/>
    </sheetView>
  </sheetViews>
  <sheetFormatPr defaultColWidth="11.42578125" defaultRowHeight="15"/>
  <cols>
    <col min="1" max="1" width="7.42578125" customWidth="1"/>
    <col min="2" max="2" width="17" customWidth="1"/>
    <col min="7" max="7" width="5.7109375" bestFit="1" customWidth="1"/>
  </cols>
  <sheetData>
    <row r="1" spans="1:7">
      <c r="A1" s="12" t="s">
        <v>38</v>
      </c>
      <c r="B1" s="21" t="s">
        <v>39</v>
      </c>
      <c r="C1" s="21" t="s">
        <v>40</v>
      </c>
      <c r="D1" s="12" t="s">
        <v>15</v>
      </c>
      <c r="E1" s="12" t="s">
        <v>16</v>
      </c>
      <c r="F1" s="12" t="s">
        <v>41</v>
      </c>
      <c r="G1" s="12" t="s">
        <v>42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</sheetPr>
  <dimension ref="A1:G1"/>
  <sheetViews>
    <sheetView workbookViewId="0">
      <selection sqref="A1:G1"/>
    </sheetView>
  </sheetViews>
  <sheetFormatPr defaultColWidth="11.42578125" defaultRowHeight="15"/>
  <cols>
    <col min="1" max="1" width="7.42578125" customWidth="1"/>
    <col min="2" max="2" width="17" customWidth="1"/>
    <col min="7" max="7" width="5.7109375" bestFit="1" customWidth="1"/>
  </cols>
  <sheetData>
    <row r="1" spans="1:7">
      <c r="A1" s="12" t="s">
        <v>38</v>
      </c>
      <c r="B1" s="21" t="s">
        <v>39</v>
      </c>
      <c r="C1" s="21" t="s">
        <v>40</v>
      </c>
      <c r="D1" s="12" t="s">
        <v>15</v>
      </c>
      <c r="E1" s="12" t="s">
        <v>16</v>
      </c>
      <c r="F1" s="12" t="s">
        <v>41</v>
      </c>
      <c r="G1" s="12" t="s">
        <v>42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50"/>
  </sheetPr>
  <dimension ref="A1:G1"/>
  <sheetViews>
    <sheetView workbookViewId="0">
      <selection sqref="A1:G1"/>
    </sheetView>
  </sheetViews>
  <sheetFormatPr defaultColWidth="11.42578125" defaultRowHeight="15"/>
  <cols>
    <col min="1" max="1" width="7.42578125" customWidth="1"/>
    <col min="2" max="2" width="17" customWidth="1"/>
    <col min="7" max="7" width="5.7109375" bestFit="1" customWidth="1"/>
  </cols>
  <sheetData>
    <row r="1" spans="1:7">
      <c r="A1" s="12" t="s">
        <v>38</v>
      </c>
      <c r="B1" s="21" t="s">
        <v>39</v>
      </c>
      <c r="C1" s="21" t="s">
        <v>40</v>
      </c>
      <c r="D1" s="12" t="s">
        <v>15</v>
      </c>
      <c r="E1" s="12" t="s">
        <v>16</v>
      </c>
      <c r="F1" s="12" t="s">
        <v>41</v>
      </c>
      <c r="G1" s="12" t="s">
        <v>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00B050"/>
  </sheetPr>
  <dimension ref="A1:G1"/>
  <sheetViews>
    <sheetView workbookViewId="0">
      <selection activeCell="E10" sqref="E10"/>
    </sheetView>
  </sheetViews>
  <sheetFormatPr defaultColWidth="11.42578125" defaultRowHeight="15"/>
  <cols>
    <col min="1" max="1" width="7.42578125" customWidth="1"/>
    <col min="2" max="2" width="17" customWidth="1"/>
    <col min="7" max="7" width="5.7109375" bestFit="1" customWidth="1"/>
  </cols>
  <sheetData>
    <row r="1" spans="1:7">
      <c r="A1" s="12" t="s">
        <v>38</v>
      </c>
      <c r="B1" s="21" t="s">
        <v>39</v>
      </c>
      <c r="C1" s="21" t="s">
        <v>40</v>
      </c>
      <c r="D1" s="12" t="s">
        <v>15</v>
      </c>
      <c r="E1" s="12" t="s">
        <v>16</v>
      </c>
      <c r="F1" s="12" t="s">
        <v>41</v>
      </c>
      <c r="G1" s="1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3</vt:i4>
      </vt:variant>
    </vt:vector>
  </HeadingPairs>
  <TitlesOfParts>
    <vt:vector size="13" baseType="lpstr">
      <vt:lpstr>Constante</vt:lpstr>
      <vt:lpstr>Encaissement</vt:lpstr>
      <vt:lpstr>Décaissement</vt:lpstr>
      <vt:lpstr>Ventes</vt:lpstr>
      <vt:lpstr>Achats</vt:lpstr>
      <vt:lpstr>GLA.C-Ass. Club performance</vt:lpstr>
      <vt:lpstr>GLA.C-École Sauvé</vt:lpstr>
      <vt:lpstr>GLA.C-Centre plein air</vt:lpstr>
      <vt:lpstr>GLA.F-St-Jérôme</vt:lpstr>
      <vt:lpstr>GLA.F-Boutique plongée</vt:lpstr>
      <vt:lpstr>Calc_retro_taxe</vt:lpstr>
      <vt:lpstr>TPS</vt:lpstr>
      <vt:lpstr>TVQ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Yanick</dc:creator>
  <cp:lastModifiedBy>Carim</cp:lastModifiedBy>
  <dcterms:created xsi:type="dcterms:W3CDTF">2017-09-07T13:31:46Z</dcterms:created>
  <dcterms:modified xsi:type="dcterms:W3CDTF">2017-09-12T19:36:02Z</dcterms:modified>
</cp:coreProperties>
</file>