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4320" windowWidth="20115" windowHeight="3750" activeTab="1"/>
  </bookViews>
  <sheets>
    <sheet name="Var" sheetId="31" r:id="rId1"/>
    <sheet name="FORMULAIRE" sheetId="27" r:id="rId2"/>
    <sheet name="Base" sheetId="26" r:id="rId3"/>
    <sheet name="SYNTHESE" sheetId="29" r:id="rId4"/>
    <sheet name="Edition" sheetId="33" r:id="rId5"/>
  </sheets>
  <functionGroups/>
  <definedNames>
    <definedName name="_xlnm._FilterDatabase" localSheetId="2" hidden="1">Base!$E$1:$Q$1</definedName>
    <definedName name="ETABLISSEMENTS">OFFSET(Var!$O$2,0,0,COUNTA(Var!$O:$O)-1,1)</definedName>
    <definedName name="_xlnm.Print_Area" localSheetId="2">Base!$A$1:$H$1</definedName>
    <definedName name="_xlnm.Print_Area" localSheetId="4">Edition!$A$1:$S$41</definedName>
  </definedNames>
  <calcPr calcId="125725" fullPrecision="0"/>
</workbook>
</file>

<file path=xl/calcChain.xml><?xml version="1.0" encoding="utf-8"?>
<calcChain xmlns="http://schemas.openxmlformats.org/spreadsheetml/2006/main">
  <c r="A1" i="26"/>
  <c r="G2"/>
  <c r="J7" l="1"/>
  <c r="J4"/>
  <c r="J2"/>
  <c r="J5"/>
  <c r="J3"/>
  <c r="J6"/>
  <c r="R34" i="33"/>
  <c r="R32"/>
  <c r="E25"/>
  <c r="G5" i="26"/>
  <c r="G6"/>
  <c r="G7"/>
  <c r="G3"/>
  <c r="G4"/>
  <c r="AI10" i="29" l="1"/>
  <c r="AI9"/>
  <c r="AI8"/>
  <c r="AI7"/>
  <c r="AI6"/>
  <c r="AI5"/>
  <c r="AK10"/>
  <c r="AK9"/>
  <c r="AK8"/>
  <c r="AK7"/>
  <c r="AK6"/>
  <c r="AK5"/>
  <c r="AJ10"/>
  <c r="AJ9"/>
  <c r="AJ8"/>
  <c r="AJ7"/>
  <c r="AJ6"/>
  <c r="AJ5"/>
  <c r="AH10"/>
  <c r="AH9"/>
  <c r="AH8"/>
  <c r="AH7"/>
  <c r="AH6"/>
  <c r="AH4"/>
  <c r="AH3"/>
  <c r="AG10"/>
  <c r="AG9"/>
  <c r="AG8"/>
  <c r="AG7"/>
  <c r="AG6"/>
  <c r="AG4"/>
  <c r="AG3"/>
  <c r="AF10"/>
  <c r="AF9"/>
  <c r="AF8"/>
  <c r="AF7"/>
  <c r="AF6"/>
  <c r="AF4"/>
  <c r="AF3"/>
  <c r="AE10"/>
  <c r="AE9"/>
  <c r="AE8"/>
  <c r="AE7"/>
  <c r="AE6"/>
  <c r="AE5"/>
  <c r="AE4"/>
  <c r="AE3"/>
  <c r="AE2"/>
  <c r="AD10"/>
  <c r="AD9"/>
  <c r="AD8"/>
  <c r="AD7"/>
  <c r="AD6"/>
  <c r="AD5"/>
  <c r="AD4"/>
  <c r="AD3"/>
  <c r="AD2"/>
  <c r="AC10"/>
  <c r="AC9"/>
  <c r="AC8"/>
  <c r="AC7"/>
  <c r="AC6"/>
  <c r="AC5"/>
  <c r="AC4"/>
  <c r="AC3"/>
  <c r="AC2"/>
  <c r="AB10"/>
  <c r="AB9"/>
  <c r="AB8"/>
  <c r="AB7"/>
  <c r="AB6"/>
  <c r="AB5"/>
  <c r="AB4"/>
  <c r="AB3"/>
  <c r="AB2"/>
  <c r="AA10"/>
  <c r="AA9"/>
  <c r="AA8"/>
  <c r="AA7"/>
  <c r="AA6"/>
  <c r="AA5"/>
  <c r="AA4"/>
  <c r="AA3"/>
  <c r="AA2"/>
  <c r="Z10"/>
  <c r="Z9"/>
  <c r="Z8"/>
  <c r="Z7"/>
  <c r="Z6"/>
  <c r="Z5"/>
  <c r="Z4"/>
  <c r="Z3"/>
  <c r="Z2"/>
  <c r="Y10"/>
  <c r="Y9"/>
  <c r="Y8"/>
  <c r="Y7"/>
  <c r="Y6"/>
  <c r="Y5"/>
  <c r="Y4"/>
  <c r="Y3"/>
  <c r="Y2"/>
  <c r="X10"/>
  <c r="X9"/>
  <c r="X8"/>
  <c r="X7"/>
  <c r="X6"/>
  <c r="X5"/>
  <c r="X4"/>
  <c r="X3"/>
  <c r="X2"/>
  <c r="W10"/>
  <c r="W9"/>
  <c r="W8"/>
  <c r="W7"/>
  <c r="W6"/>
  <c r="W5"/>
  <c r="W4"/>
  <c r="W3"/>
  <c r="W2"/>
  <c r="V10"/>
  <c r="V9"/>
  <c r="V8"/>
  <c r="V7"/>
  <c r="V6"/>
  <c r="V5"/>
  <c r="V4"/>
  <c r="V3"/>
  <c r="V2"/>
  <c r="U10"/>
  <c r="U9"/>
  <c r="U8"/>
  <c r="U7"/>
  <c r="U6"/>
  <c r="U5"/>
  <c r="U4"/>
  <c r="U3"/>
  <c r="U2"/>
  <c r="T10"/>
  <c r="T9"/>
  <c r="T8"/>
  <c r="T7"/>
  <c r="T6"/>
  <c r="T4"/>
  <c r="T3"/>
  <c r="S10"/>
  <c r="S9"/>
  <c r="S8"/>
  <c r="S7"/>
  <c r="S6"/>
  <c r="S5"/>
  <c r="S4"/>
  <c r="S2"/>
  <c r="R10"/>
  <c r="R9"/>
  <c r="R8"/>
  <c r="R7"/>
  <c r="R6"/>
  <c r="R5"/>
  <c r="R4"/>
  <c r="R3"/>
  <c r="R2"/>
  <c r="AK3" l="1"/>
  <c r="AJ3"/>
  <c r="S3"/>
  <c r="AI3"/>
  <c r="AH5"/>
  <c r="AG5"/>
  <c r="AF5"/>
  <c r="T5"/>
  <c r="AG2"/>
  <c r="AF2"/>
  <c r="AH2"/>
  <c r="AJ4"/>
  <c r="AI4"/>
  <c r="AK4"/>
  <c r="AI2"/>
  <c r="AK2"/>
  <c r="T2"/>
  <c r="AJ2"/>
  <c r="Q2"/>
  <c r="Q10"/>
  <c r="Q9"/>
  <c r="Q8"/>
  <c r="Q7"/>
  <c r="Q6"/>
  <c r="Q5"/>
  <c r="Q4"/>
  <c r="Q3"/>
  <c r="P10"/>
  <c r="P9"/>
  <c r="P8"/>
  <c r="P7"/>
  <c r="P6"/>
  <c r="P5"/>
  <c r="P4"/>
  <c r="P3"/>
  <c r="P2"/>
  <c r="O10"/>
  <c r="O9"/>
  <c r="O8"/>
  <c r="O7"/>
  <c r="O6"/>
  <c r="O5"/>
  <c r="O4"/>
  <c r="O3"/>
  <c r="O2"/>
  <c r="N10"/>
  <c r="N9"/>
  <c r="N8"/>
  <c r="N7"/>
  <c r="N6"/>
  <c r="N5"/>
  <c r="N4"/>
  <c r="N3"/>
  <c r="N2"/>
  <c r="M10"/>
  <c r="M9"/>
  <c r="M8"/>
  <c r="M7"/>
  <c r="M6"/>
  <c r="M5"/>
  <c r="M4"/>
  <c r="M3"/>
  <c r="M2"/>
  <c r="L10"/>
  <c r="L9"/>
  <c r="L8"/>
  <c r="L7"/>
  <c r="L6"/>
  <c r="L5"/>
  <c r="L4"/>
  <c r="L3"/>
  <c r="L2"/>
  <c r="K10"/>
  <c r="K9"/>
  <c r="K8"/>
  <c r="K7"/>
  <c r="K6"/>
  <c r="K5"/>
  <c r="K4"/>
  <c r="K3"/>
  <c r="K2"/>
  <c r="R11"/>
  <c r="S11"/>
  <c r="U11"/>
  <c r="V11"/>
  <c r="W11"/>
  <c r="X11"/>
  <c r="Y11"/>
  <c r="Z11"/>
  <c r="AA11"/>
  <c r="AB11"/>
  <c r="AC11"/>
  <c r="AD11"/>
  <c r="AE11"/>
  <c r="AF11"/>
  <c r="J10"/>
  <c r="J9"/>
  <c r="J8"/>
  <c r="J7"/>
  <c r="J6"/>
  <c r="J5"/>
  <c r="J4"/>
  <c r="J3"/>
  <c r="J2"/>
  <c r="I10"/>
  <c r="I9"/>
  <c r="I8"/>
  <c r="I7"/>
  <c r="I6"/>
  <c r="I5"/>
  <c r="I4"/>
  <c r="I3"/>
  <c r="I2"/>
  <c r="G10"/>
  <c r="G9"/>
  <c r="G8"/>
  <c r="G7"/>
  <c r="G6"/>
  <c r="G5"/>
  <c r="G4"/>
  <c r="G3"/>
  <c r="H2"/>
  <c r="H3"/>
  <c r="H4"/>
  <c r="H5"/>
  <c r="H6"/>
  <c r="H7"/>
  <c r="H8"/>
  <c r="H9"/>
  <c r="G2"/>
  <c r="H10"/>
  <c r="AK11" l="1"/>
  <c r="AG11"/>
  <c r="AI11"/>
  <c r="T11"/>
  <c r="AJ11"/>
  <c r="I11"/>
  <c r="AH11"/>
  <c r="J11"/>
  <c r="Q11"/>
  <c r="P11"/>
  <c r="O11"/>
  <c r="N11"/>
  <c r="M11"/>
  <c r="L11"/>
  <c r="K11"/>
  <c r="H11"/>
  <c r="G11"/>
  <c r="F10"/>
  <c r="F9"/>
  <c r="F8"/>
  <c r="F7"/>
  <c r="F6"/>
  <c r="F5"/>
  <c r="F4"/>
  <c r="F3"/>
  <c r="F2"/>
  <c r="F11" s="1"/>
  <c r="E10"/>
  <c r="E9"/>
  <c r="E8"/>
  <c r="E7"/>
  <c r="E6"/>
  <c r="E5"/>
  <c r="E4"/>
  <c r="E3"/>
  <c r="E2"/>
  <c r="C10"/>
  <c r="C9"/>
  <c r="C8"/>
  <c r="C7"/>
  <c r="C6"/>
  <c r="C5"/>
  <c r="C4"/>
  <c r="C3"/>
  <c r="C2"/>
  <c r="C11" l="1"/>
  <c r="E11"/>
  <c r="B10"/>
  <c r="D10" s="1"/>
  <c r="B9"/>
  <c r="D9" s="1"/>
  <c r="B8"/>
  <c r="D8" s="1"/>
  <c r="B7"/>
  <c r="D7" s="1"/>
  <c r="B6"/>
  <c r="D6" s="1"/>
  <c r="B5"/>
  <c r="D5" s="1"/>
  <c r="B4"/>
  <c r="D4" s="1"/>
  <c r="B3"/>
  <c r="D3" s="1"/>
  <c r="B2"/>
  <c r="D2" s="1"/>
  <c r="D11" l="1"/>
  <c r="B11"/>
  <c r="A1" i="27"/>
</calcChain>
</file>

<file path=xl/sharedStrings.xml><?xml version="1.0" encoding="utf-8"?>
<sst xmlns="http://schemas.openxmlformats.org/spreadsheetml/2006/main" count="284" uniqueCount="168">
  <si>
    <t>ENFANTS</t>
  </si>
  <si>
    <t>AGE</t>
  </si>
  <si>
    <t>ENTREE</t>
  </si>
  <si>
    <t>SORTIE</t>
  </si>
  <si>
    <t>ACCUEIL</t>
  </si>
  <si>
    <t>TARIF</t>
  </si>
  <si>
    <t>DATE           DE NAISSANCE</t>
  </si>
  <si>
    <t>NOMBRE   DE JOURS RESTANT</t>
  </si>
  <si>
    <t>NOMBRE   DE JOURS D'ACCUEIL</t>
  </si>
  <si>
    <t>HEURES MOIS</t>
  </si>
  <si>
    <t>MONTANT MENSUEL</t>
  </si>
  <si>
    <t>RESERVATION</t>
  </si>
  <si>
    <t>ABRI.MAT</t>
  </si>
  <si>
    <t>SALARIE</t>
  </si>
  <si>
    <t>ETABLISSEMENT 1</t>
  </si>
  <si>
    <t>ETABLISSEMENT</t>
  </si>
  <si>
    <t>ETABLISSEMENT 2</t>
  </si>
  <si>
    <t>ETABLISSEMENT 3</t>
  </si>
  <si>
    <t>ETABLISSEMENT 4</t>
  </si>
  <si>
    <t>ETABLISSEMENT 5</t>
  </si>
  <si>
    <t>ETABLISSEMENT 6</t>
  </si>
  <si>
    <t>ETABLISSEMENT 7</t>
  </si>
  <si>
    <t>ETABLISSEMENT 8</t>
  </si>
  <si>
    <t>ETABLISSEMENT 9</t>
  </si>
  <si>
    <t>Label</t>
  </si>
  <si>
    <t>CONTRAT</t>
  </si>
  <si>
    <t>DATE D'ENTREE :</t>
  </si>
  <si>
    <t>valvert</t>
  </si>
  <si>
    <t>Top</t>
  </si>
  <si>
    <t>Tag</t>
  </si>
  <si>
    <t>O</t>
  </si>
  <si>
    <t>ControlTipText</t>
  </si>
  <si>
    <t>Message</t>
  </si>
  <si>
    <t xml:space="preserve">SEPA </t>
  </si>
  <si>
    <t>REVENU</t>
  </si>
  <si>
    <t>FRATRIE</t>
  </si>
  <si>
    <t>NOM &amp; PRENOM</t>
  </si>
  <si>
    <t>DATE DE NAISSANCE</t>
  </si>
  <si>
    <t>DATE DE SORTIE</t>
  </si>
  <si>
    <t>JOUR DE PRESENCE</t>
  </si>
  <si>
    <t>JOUR HEBDOMADAIRE</t>
  </si>
  <si>
    <t>MENSUALITE</t>
  </si>
  <si>
    <t>TARIF HEURE</t>
  </si>
  <si>
    <t>TOTAL MENSUEL</t>
  </si>
  <si>
    <t>ADHESION N-1</t>
  </si>
  <si>
    <t>ADHESION</t>
  </si>
  <si>
    <t>PLACE RESERVATION</t>
  </si>
  <si>
    <t>ABRI MATERNEL</t>
  </si>
  <si>
    <t>VALVERT</t>
  </si>
  <si>
    <t>Mettre le NOM &amp; PRENOM</t>
  </si>
  <si>
    <t>Mettre ETABLISSEMENT</t>
  </si>
  <si>
    <t>F</t>
  </si>
  <si>
    <t>REGULIER</t>
  </si>
  <si>
    <t>X</t>
  </si>
  <si>
    <t xml:space="preserve">DATE D'ENTREE </t>
  </si>
  <si>
    <t>GENERAL</t>
  </si>
  <si>
    <t>inscrits</t>
  </si>
  <si>
    <t>sortis</t>
  </si>
  <si>
    <t>present</t>
  </si>
  <si>
    <t>ETABLISSEMENTS</t>
  </si>
  <si>
    <t>GENERALE</t>
  </si>
  <si>
    <t>desistement</t>
  </si>
  <si>
    <t>fratrie</t>
  </si>
  <si>
    <t>reservation</t>
  </si>
  <si>
    <t>abri mat</t>
  </si>
  <si>
    <t>salarie</t>
  </si>
  <si>
    <t>adhesion n-1</t>
  </si>
  <si>
    <t>adhesion</t>
  </si>
  <si>
    <t>reguliers</t>
  </si>
  <si>
    <t>periscolaire</t>
  </si>
  <si>
    <t>occasionnel</t>
  </si>
  <si>
    <t>1 jour</t>
  </si>
  <si>
    <t>heures</t>
  </si>
  <si>
    <t>montant</t>
  </si>
  <si>
    <t>2 jours</t>
  </si>
  <si>
    <t>3 jours</t>
  </si>
  <si>
    <t>4 jours</t>
  </si>
  <si>
    <t>5 jours</t>
  </si>
  <si>
    <t>adhesion manquante</t>
  </si>
  <si>
    <t>desistement adhesion</t>
  </si>
  <si>
    <t>irreccup</t>
  </si>
  <si>
    <t xml:space="preserve">ANNEE </t>
  </si>
  <si>
    <t>E9</t>
  </si>
  <si>
    <t>E13</t>
  </si>
  <si>
    <t>E17</t>
  </si>
  <si>
    <t>PRESENTS</t>
  </si>
  <si>
    <t>INSCRITS</t>
  </si>
  <si>
    <t>SORTIS</t>
  </si>
  <si>
    <t>DESISTEMENT</t>
  </si>
  <si>
    <t>REGULIERS</t>
  </si>
  <si>
    <t>PERISCOLAIRE</t>
  </si>
  <si>
    <t>OCCASIONNEL</t>
  </si>
  <si>
    <t>PRESENT</t>
  </si>
  <si>
    <t>ABRI MAT</t>
  </si>
  <si>
    <t>1 JOUR</t>
  </si>
  <si>
    <t>HEURES</t>
  </si>
  <si>
    <t>MONTANT</t>
  </si>
  <si>
    <t>SALARIES</t>
  </si>
  <si>
    <t>2 JOURS</t>
  </si>
  <si>
    <t>3 JOURS</t>
  </si>
  <si>
    <t>TOTAL ADHESION</t>
  </si>
  <si>
    <t>4 JOURS</t>
  </si>
  <si>
    <t>5 JOURS</t>
  </si>
  <si>
    <t>ADHESION MANQUANTE</t>
  </si>
  <si>
    <t>DESISTEMENT AVEC ADHESION</t>
  </si>
  <si>
    <t>TOTAL HEURES</t>
  </si>
  <si>
    <t>ADHESION IRRECUPERABLE</t>
  </si>
  <si>
    <t>TOTAL MONTANT</t>
  </si>
  <si>
    <t>COMMENTAIRE</t>
  </si>
  <si>
    <t>C3</t>
  </si>
  <si>
    <t>C9</t>
  </si>
  <si>
    <t>R3</t>
  </si>
  <si>
    <t>G9</t>
  </si>
  <si>
    <t>I9</t>
  </si>
  <si>
    <t>C13</t>
  </si>
  <si>
    <t>G13</t>
  </si>
  <si>
    <t>I13</t>
  </si>
  <si>
    <t>C17</t>
  </si>
  <si>
    <t>I17</t>
  </si>
  <si>
    <t>E21</t>
  </si>
  <si>
    <t>G21</t>
  </si>
  <si>
    <t>G29</t>
  </si>
  <si>
    <t>G31</t>
  </si>
  <si>
    <t>G33</t>
  </si>
  <si>
    <t>N9</t>
  </si>
  <si>
    <t>P9</t>
  </si>
  <si>
    <t>R9</t>
  </si>
  <si>
    <t>N13</t>
  </si>
  <si>
    <t>P13</t>
  </si>
  <si>
    <t>R13</t>
  </si>
  <si>
    <t>N17</t>
  </si>
  <si>
    <t>P17</t>
  </si>
  <si>
    <t>R17</t>
  </si>
  <si>
    <t>N21</t>
  </si>
  <si>
    <t>P21</t>
  </si>
  <si>
    <t>R21</t>
  </si>
  <si>
    <t>G17</t>
  </si>
  <si>
    <t>N25</t>
  </si>
  <si>
    <t>P25</t>
  </si>
  <si>
    <t>R25</t>
  </si>
  <si>
    <t>N29</t>
  </si>
  <si>
    <t>P29</t>
  </si>
  <si>
    <t>R29</t>
  </si>
  <si>
    <t>E25</t>
  </si>
  <si>
    <t>R32</t>
  </si>
  <si>
    <t>R34</t>
  </si>
  <si>
    <t>total adh</t>
  </si>
  <si>
    <t>total heures</t>
  </si>
  <si>
    <t>total montant</t>
  </si>
  <si>
    <t>ALINE</t>
  </si>
  <si>
    <t xml:space="preserve">ADHESION </t>
  </si>
  <si>
    <t>D</t>
  </si>
  <si>
    <t>JEAN</t>
  </si>
  <si>
    <t>ISABELLE</t>
  </si>
  <si>
    <t>SANDRINE</t>
  </si>
  <si>
    <t>NINA</t>
  </si>
  <si>
    <t>PIERRE</t>
  </si>
  <si>
    <t>présents</t>
  </si>
  <si>
    <t>désistements</t>
  </si>
  <si>
    <t>réservation</t>
  </si>
  <si>
    <t>présent</t>
  </si>
  <si>
    <t>périscolaire</t>
  </si>
  <si>
    <t>désistement adhesion</t>
  </si>
  <si>
    <t>adhésion manquante</t>
  </si>
  <si>
    <t>adhésion</t>
  </si>
  <si>
    <t>adhésion n-1</t>
  </si>
  <si>
    <t>salarié</t>
  </si>
  <si>
    <t>Date de la dernière utilisation du fichier : Tuesday 31 October 2017 à 08:35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</si>
</sst>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16"/>
      <color theme="3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2" tint="-0.89999084444715716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theme="3" tint="0.3999755851924192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35">
    <xf numFmtId="0" fontId="0" fillId="0" borderId="0" xfId="0"/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/>
    <xf numFmtId="0" fontId="0" fillId="0" borderId="0" xfId="0" applyNumberFormat="1"/>
    <xf numFmtId="0" fontId="0" fillId="0" borderId="0" xfId="0" applyBorder="1" applyAlignment="1">
      <alignment vertical="center"/>
    </xf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8" fillId="0" borderId="0" xfId="0" applyFont="1"/>
    <xf numFmtId="0" fontId="16" fillId="0" borderId="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4" xfId="0" applyBorder="1"/>
    <xf numFmtId="0" fontId="0" fillId="0" borderId="7" xfId="0" applyBorder="1"/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0" xfId="0" applyBorder="1" applyAlignment="1">
      <alignment horizontal="centerContinuous" vertical="center"/>
    </xf>
    <xf numFmtId="0" fontId="13" fillId="0" borderId="0" xfId="0" applyFont="1" applyBorder="1" applyAlignment="1">
      <alignment horizontal="centerContinuous" vertical="center"/>
    </xf>
    <xf numFmtId="0" fontId="18" fillId="0" borderId="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0" fillId="0" borderId="19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8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Continuous" vertical="center"/>
    </xf>
    <xf numFmtId="0" fontId="17" fillId="0" borderId="0" xfId="0" applyFont="1" applyBorder="1" applyAlignment="1">
      <alignment horizontal="centerContinuous" vertical="center"/>
    </xf>
    <xf numFmtId="0" fontId="4" fillId="0" borderId="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8" fillId="0" borderId="14" xfId="0" applyFont="1" applyBorder="1" applyAlignment="1">
      <alignment horizontal="left" vertical="center"/>
    </xf>
    <xf numFmtId="0" fontId="18" fillId="0" borderId="15" xfId="0" applyFont="1" applyBorder="1" applyAlignment="1">
      <alignment horizontal="left" vertical="center"/>
    </xf>
    <xf numFmtId="0" fontId="18" fillId="0" borderId="16" xfId="0" applyFont="1" applyBorder="1" applyAlignment="1">
      <alignment horizontal="left" vertical="center"/>
    </xf>
    <xf numFmtId="0" fontId="18" fillId="0" borderId="17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18" xfId="0" applyFont="1" applyBorder="1" applyAlignment="1">
      <alignment horizontal="left" vertical="center"/>
    </xf>
    <xf numFmtId="0" fontId="18" fillId="0" borderId="19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8" fillId="0" borderId="7" xfId="0" applyFont="1" applyBorder="1" applyAlignment="1">
      <alignment horizontal="left" vertical="center"/>
    </xf>
    <xf numFmtId="0" fontId="19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textRotation="90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left" vertical="center"/>
    </xf>
    <xf numFmtId="0" fontId="0" fillId="0" borderId="20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0" fillId="0" borderId="24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left" vertical="center"/>
    </xf>
    <xf numFmtId="14" fontId="0" fillId="0" borderId="22" xfId="0" applyNumberFormat="1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0" fontId="0" fillId="0" borderId="25" xfId="0" applyNumberForma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14" fontId="0" fillId="0" borderId="25" xfId="0" applyNumberFormat="1" applyBorder="1" applyAlignment="1">
      <alignment horizontal="center" vertical="center"/>
    </xf>
    <xf numFmtId="14" fontId="0" fillId="0" borderId="23" xfId="0" applyNumberFormat="1" applyBorder="1" applyAlignment="1">
      <alignment horizontal="center" vertical="center"/>
    </xf>
    <xf numFmtId="0" fontId="0" fillId="0" borderId="26" xfId="0" applyNumberFormat="1" applyBorder="1" applyAlignment="1">
      <alignment horizontal="center" vertical="center"/>
    </xf>
    <xf numFmtId="0" fontId="0" fillId="0" borderId="27" xfId="0" applyNumberFormat="1" applyBorder="1" applyAlignment="1">
      <alignment horizontal="center" vertical="center"/>
    </xf>
    <xf numFmtId="0" fontId="0" fillId="0" borderId="21" xfId="0" applyNumberFormat="1" applyBorder="1" applyAlignment="1">
      <alignment horizontal="left" vertical="center"/>
    </xf>
    <xf numFmtId="14" fontId="1" fillId="2" borderId="4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28" xfId="0" applyNumberFormat="1" applyFont="1" applyFill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20" xfId="0" applyNumberFormat="1" applyFont="1" applyBorder="1" applyAlignment="1">
      <alignment horizontal="center" vertical="center"/>
    </xf>
    <xf numFmtId="0" fontId="1" fillId="0" borderId="29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2" fillId="2" borderId="5" xfId="0" applyNumberFormat="1" applyFont="1" applyFill="1" applyBorder="1" applyAlignment="1">
      <alignment horizontal="center" vertical="center" wrapText="1"/>
    </xf>
    <xf numFmtId="0" fontId="12" fillId="0" borderId="26" xfId="0" applyNumberFormat="1" applyFont="1" applyBorder="1" applyAlignment="1">
      <alignment horizontal="center" vertical="center"/>
    </xf>
    <xf numFmtId="0" fontId="12" fillId="0" borderId="27" xfId="0" applyNumberFormat="1" applyFont="1" applyBorder="1" applyAlignment="1">
      <alignment horizontal="center" vertical="center"/>
    </xf>
    <xf numFmtId="0" fontId="12" fillId="0" borderId="0" xfId="0" applyNumberFormat="1" applyFont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0" borderId="25" xfId="0" applyNumberFormat="1" applyFont="1" applyBorder="1" applyAlignment="1">
      <alignment horizontal="center" vertical="center"/>
    </xf>
    <xf numFmtId="0" fontId="4" fillId="0" borderId="23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 textRotation="90"/>
    </xf>
    <xf numFmtId="0" fontId="20" fillId="2" borderId="2" xfId="0" applyNumberFormat="1" applyFont="1" applyFill="1" applyBorder="1" applyAlignment="1">
      <alignment horizontal="center" vertical="center" textRotation="90"/>
    </xf>
    <xf numFmtId="4" fontId="0" fillId="0" borderId="12" xfId="0" applyNumberFormat="1" applyBorder="1" applyAlignment="1">
      <alignment horizontal="center" vertical="center"/>
    </xf>
    <xf numFmtId="4" fontId="9" fillId="0" borderId="13" xfId="0" applyNumberFormat="1" applyFont="1" applyBorder="1" applyAlignment="1">
      <alignment horizontal="center" vertical="center"/>
    </xf>
    <xf numFmtId="4" fontId="8" fillId="0" borderId="13" xfId="0" applyNumberFormat="1" applyFont="1" applyBorder="1" applyAlignment="1">
      <alignment horizontal="center" vertical="center"/>
    </xf>
    <xf numFmtId="4" fontId="4" fillId="0" borderId="11" xfId="0" applyNumberFormat="1" applyFont="1" applyBorder="1" applyAlignment="1">
      <alignment horizontal="center" vertical="center"/>
    </xf>
    <xf numFmtId="4" fontId="16" fillId="0" borderId="11" xfId="0" applyNumberFormat="1" applyFont="1" applyBorder="1" applyAlignment="1">
      <alignment horizontal="center" vertical="center"/>
    </xf>
    <xf numFmtId="4" fontId="0" fillId="0" borderId="11" xfId="0" applyNumberFormat="1" applyBorder="1" applyAlignment="1">
      <alignment horizontal="center" vertical="center"/>
    </xf>
    <xf numFmtId="3" fontId="1" fillId="0" borderId="11" xfId="0" applyNumberFormat="1" applyFont="1" applyBorder="1" applyAlignment="1">
      <alignment horizontal="center" vertical="center"/>
    </xf>
    <xf numFmtId="3" fontId="16" fillId="0" borderId="11" xfId="0" applyNumberFormat="1" applyFont="1" applyBorder="1" applyAlignment="1">
      <alignment horizontal="center" vertical="center"/>
    </xf>
    <xf numFmtId="3" fontId="8" fillId="0" borderId="11" xfId="0" applyNumberFormat="1" applyFont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Continuous" vertical="center"/>
    </xf>
    <xf numFmtId="3" fontId="8" fillId="0" borderId="10" xfId="0" applyNumberFormat="1" applyFont="1" applyBorder="1" applyAlignment="1">
      <alignment horizontal="centerContinuous" vertical="center"/>
    </xf>
    <xf numFmtId="3" fontId="8" fillId="0" borderId="13" xfId="0" applyNumberFormat="1" applyFont="1" applyBorder="1" applyAlignment="1">
      <alignment horizontal="centerContinuous" vertical="center"/>
    </xf>
    <xf numFmtId="3" fontId="13" fillId="0" borderId="11" xfId="0" applyNumberFormat="1" applyFont="1" applyBorder="1" applyAlignment="1">
      <alignment horizontal="center" vertical="center"/>
    </xf>
    <xf numFmtId="0" fontId="0" fillId="0" borderId="0" xfId="0" applyAlignment="1">
      <alignment horizontal="right"/>
    </xf>
    <xf numFmtId="14" fontId="22" fillId="0" borderId="0" xfId="0" applyNumberFormat="1" applyFont="1" applyAlignment="1">
      <alignment horizontal="center"/>
    </xf>
    <xf numFmtId="0" fontId="18" fillId="0" borderId="4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6">
    <dxf>
      <fill>
        <patternFill>
          <bgColor rgb="FF9966FF"/>
        </patternFill>
      </fill>
    </dxf>
    <dxf>
      <fill>
        <patternFill patternType="darkDown">
          <f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gradientFill degree="90">
          <stop position="0">
            <color theme="5" tint="0.40000610370189521"/>
          </stop>
          <stop position="1">
            <color rgb="FFFF0000"/>
          </stop>
        </gradientFill>
      </fill>
    </dxf>
    <dxf>
      <border>
        <left/>
        <right/>
        <top/>
      </border>
    </dxf>
  </dxfs>
  <tableStyles count="0" defaultTableStyle="TableStyleMedium2" defaultPivotStyle="PivotStyleLight16"/>
  <colors>
    <mruColors>
      <color rgb="FF9966FF"/>
      <color rgb="FFCC99FF"/>
      <color rgb="FFFFCCFF"/>
      <color rgb="FF57DFFF"/>
      <color rgb="FFFF99FF"/>
      <color rgb="FFFFFF99"/>
      <color rgb="FF33D8FF"/>
      <color rgb="FF47DCFF"/>
      <color rgb="FF1DD4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733425</xdr:colOff>
      <xdr:row>0</xdr:row>
      <xdr:rowOff>38100</xdr:rowOff>
    </xdr:from>
    <xdr:to>
      <xdr:col>12</xdr:col>
      <xdr:colOff>733425</xdr:colOff>
      <xdr:row>28</xdr:row>
      <xdr:rowOff>28575</xdr:rowOff>
    </xdr:to>
    <xdr:pic macro="[0]!Liste">
      <xdr:nvPicPr>
        <xdr:cNvPr id="3" name="Image 2" descr="smiley tire langue.jp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543425" y="38100"/>
          <a:ext cx="5334000" cy="5334000"/>
        </a:xfrm>
        <a:prstGeom prst="rect">
          <a:avLst/>
        </a:prstGeom>
      </xdr:spPr>
    </xdr:pic>
    <xdr:clientData/>
  </xdr:twoCellAnchor>
  <xdr:twoCellAnchor editAs="oneCell">
    <xdr:from>
      <xdr:col>16</xdr:col>
      <xdr:colOff>285750</xdr:colOff>
      <xdr:row>0</xdr:row>
      <xdr:rowOff>28575</xdr:rowOff>
    </xdr:from>
    <xdr:to>
      <xdr:col>19</xdr:col>
      <xdr:colOff>638175</xdr:colOff>
      <xdr:row>12</xdr:row>
      <xdr:rowOff>66675</xdr:rowOff>
    </xdr:to>
    <xdr:pic macro="[0]!Synth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477750" y="28575"/>
          <a:ext cx="2638425" cy="2333625"/>
        </a:xfrm>
        <a:prstGeom prst="rect">
          <a:avLst/>
        </a:prstGeom>
        <a:solidFill>
          <a:srgbClr val="FFFFFF">
            <a:shade val="85000"/>
          </a:srgbClr>
        </a:solidFill>
        <a:ln w="190500" cap="rnd">
          <a:solidFill>
            <a:srgbClr val="FFFFFF"/>
          </a:solidFill>
        </a:ln>
        <a:effectLst>
          <a:outerShdw blurRad="36195" dist="12700" dir="11400000" algn="tl" rotWithShape="0">
            <a:srgbClr val="000000">
              <a:alpha val="33000"/>
            </a:srgbClr>
          </a:outerShdw>
        </a:effectLst>
        <a:scene3d>
          <a:camera prst="perspectiveContrastingLeftFacing">
            <a:rot lat="540000" lon="2100000" rev="0"/>
          </a:camera>
          <a:lightRig rig="soft" dir="t"/>
        </a:scene3d>
        <a:sp3d contourW="12700" prstMaterial="matte">
          <a:bevelT w="63500" h="508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00"/>
  <dimension ref="B1:P40"/>
  <sheetViews>
    <sheetView workbookViewId="0"/>
  </sheetViews>
  <sheetFormatPr defaultColWidth="11.42578125" defaultRowHeight="15"/>
  <cols>
    <col min="1" max="1" width="11.42578125" style="3"/>
    <col min="2" max="2" width="21.7109375" style="3" bestFit="1" customWidth="1"/>
    <col min="3" max="3" width="4.28515625" style="3" bestFit="1" customWidth="1"/>
    <col min="4" max="4" width="11.42578125" style="4"/>
    <col min="5" max="5" width="21.7109375" style="3" bestFit="1" customWidth="1"/>
    <col min="6" max="6" width="24.7109375" style="3" bestFit="1" customWidth="1"/>
    <col min="7" max="7" width="20" style="3" bestFit="1" customWidth="1"/>
    <col min="8" max="8" width="20.85546875" style="3" bestFit="1" customWidth="1"/>
    <col min="9" max="14" width="11.42578125" style="3"/>
    <col min="15" max="15" width="16.5703125" style="3" bestFit="1" customWidth="1"/>
    <col min="16" max="16384" width="11.42578125" style="3"/>
  </cols>
  <sheetData>
    <row r="1" spans="2:16">
      <c r="B1" s="5" t="s">
        <v>24</v>
      </c>
      <c r="C1" s="5" t="s">
        <v>28</v>
      </c>
      <c r="D1" s="6" t="s">
        <v>29</v>
      </c>
      <c r="E1" s="5" t="s">
        <v>31</v>
      </c>
      <c r="F1" s="5" t="s">
        <v>32</v>
      </c>
      <c r="H1" s="3" t="s">
        <v>81</v>
      </c>
      <c r="I1" s="3" t="s">
        <v>109</v>
      </c>
      <c r="O1" s="5" t="s">
        <v>59</v>
      </c>
    </row>
    <row r="2" spans="2:16">
      <c r="B2" s="3" t="s">
        <v>25</v>
      </c>
      <c r="C2" s="3">
        <v>20</v>
      </c>
      <c r="E2" s="3" t="s">
        <v>25</v>
      </c>
      <c r="H2" s="3" t="s">
        <v>56</v>
      </c>
      <c r="I2" s="7" t="s">
        <v>110</v>
      </c>
      <c r="O2" s="7" t="s">
        <v>60</v>
      </c>
      <c r="P2" s="3">
        <v>11</v>
      </c>
    </row>
    <row r="3" spans="2:16">
      <c r="B3" s="3" t="s">
        <v>33</v>
      </c>
      <c r="C3" s="3">
        <v>20</v>
      </c>
      <c r="E3" s="3" t="s">
        <v>33</v>
      </c>
      <c r="H3" s="3" t="s">
        <v>57</v>
      </c>
      <c r="I3" s="7" t="s">
        <v>82</v>
      </c>
      <c r="O3" s="7" t="s">
        <v>14</v>
      </c>
      <c r="P3" s="3">
        <v>2</v>
      </c>
    </row>
    <row r="4" spans="2:16">
      <c r="B4" s="3" t="s">
        <v>34</v>
      </c>
      <c r="C4" s="3">
        <v>20</v>
      </c>
      <c r="E4" s="3" t="s">
        <v>34</v>
      </c>
      <c r="H4" s="7" t="s">
        <v>157</v>
      </c>
      <c r="I4" s="7" t="s">
        <v>111</v>
      </c>
      <c r="O4" s="7" t="s">
        <v>16</v>
      </c>
      <c r="P4" s="7">
        <v>3</v>
      </c>
    </row>
    <row r="5" spans="2:16">
      <c r="B5" s="3" t="s">
        <v>35</v>
      </c>
      <c r="C5" s="3">
        <v>20</v>
      </c>
      <c r="E5" s="3" t="s">
        <v>35</v>
      </c>
      <c r="H5" s="7" t="s">
        <v>158</v>
      </c>
      <c r="I5" s="7" t="s">
        <v>112</v>
      </c>
      <c r="O5" s="7" t="s">
        <v>17</v>
      </c>
      <c r="P5" s="7">
        <v>4</v>
      </c>
    </row>
    <row r="6" spans="2:16">
      <c r="B6" s="3" t="s">
        <v>36</v>
      </c>
      <c r="C6" s="3">
        <v>50</v>
      </c>
      <c r="D6" s="4" t="s">
        <v>30</v>
      </c>
      <c r="E6" s="3" t="s">
        <v>36</v>
      </c>
      <c r="F6" s="3" t="s">
        <v>49</v>
      </c>
      <c r="H6" s="3" t="s">
        <v>62</v>
      </c>
      <c r="I6" s="7" t="s">
        <v>113</v>
      </c>
      <c r="O6" s="7" t="s">
        <v>18</v>
      </c>
      <c r="P6" s="7">
        <v>5</v>
      </c>
    </row>
    <row r="7" spans="2:16">
      <c r="B7" s="3" t="s">
        <v>37</v>
      </c>
      <c r="C7" s="3">
        <v>50</v>
      </c>
      <c r="D7" s="4" t="s">
        <v>30</v>
      </c>
      <c r="E7" s="3" t="s">
        <v>37</v>
      </c>
      <c r="F7" s="3" t="s">
        <v>37</v>
      </c>
      <c r="H7" s="7" t="s">
        <v>159</v>
      </c>
      <c r="I7" s="7" t="s">
        <v>114</v>
      </c>
      <c r="O7" s="7" t="s">
        <v>19</v>
      </c>
      <c r="P7" s="7">
        <v>6</v>
      </c>
    </row>
    <row r="8" spans="2:16">
      <c r="B8" s="3" t="s">
        <v>1</v>
      </c>
      <c r="C8" s="3">
        <v>80</v>
      </c>
      <c r="D8" s="4" t="s">
        <v>30</v>
      </c>
      <c r="E8" s="3" t="s">
        <v>1</v>
      </c>
      <c r="F8" s="3" t="s">
        <v>1</v>
      </c>
      <c r="H8" s="7" t="s">
        <v>160</v>
      </c>
      <c r="I8" s="7" t="s">
        <v>83</v>
      </c>
      <c r="O8" s="7" t="s">
        <v>20</v>
      </c>
      <c r="P8" s="7">
        <v>7</v>
      </c>
    </row>
    <row r="9" spans="2:16">
      <c r="B9" s="3" t="s">
        <v>54</v>
      </c>
      <c r="C9" s="3">
        <v>80</v>
      </c>
      <c r="D9" s="4" t="s">
        <v>30</v>
      </c>
      <c r="E9" s="3" t="s">
        <v>26</v>
      </c>
      <c r="F9" s="3" t="s">
        <v>26</v>
      </c>
      <c r="H9" s="3" t="s">
        <v>64</v>
      </c>
      <c r="I9" s="7" t="s">
        <v>115</v>
      </c>
      <c r="O9" s="7" t="s">
        <v>21</v>
      </c>
      <c r="P9" s="7">
        <v>8</v>
      </c>
    </row>
    <row r="10" spans="2:16">
      <c r="B10" s="3" t="s">
        <v>38</v>
      </c>
      <c r="C10" s="3">
        <v>80</v>
      </c>
      <c r="D10" s="4" t="s">
        <v>30</v>
      </c>
      <c r="E10" s="3" t="s">
        <v>38</v>
      </c>
      <c r="F10" s="3" t="s">
        <v>38</v>
      </c>
      <c r="H10" s="7" t="s">
        <v>160</v>
      </c>
      <c r="I10" s="7" t="s">
        <v>116</v>
      </c>
      <c r="O10" s="7" t="s">
        <v>22</v>
      </c>
      <c r="P10" s="7">
        <v>9</v>
      </c>
    </row>
    <row r="11" spans="2:16">
      <c r="B11" s="3" t="s">
        <v>39</v>
      </c>
      <c r="C11" s="3">
        <v>150</v>
      </c>
      <c r="D11" s="4" t="s">
        <v>30</v>
      </c>
      <c r="E11" s="3" t="s">
        <v>39</v>
      </c>
      <c r="F11" s="3" t="s">
        <v>39</v>
      </c>
      <c r="H11" s="7" t="s">
        <v>166</v>
      </c>
      <c r="I11" s="7" t="s">
        <v>117</v>
      </c>
      <c r="O11" s="7" t="s">
        <v>23</v>
      </c>
      <c r="P11" s="7">
        <v>10</v>
      </c>
    </row>
    <row r="12" spans="2:16">
      <c r="B12" s="7" t="s">
        <v>4</v>
      </c>
      <c r="C12" s="3">
        <v>180</v>
      </c>
      <c r="E12" s="7" t="s">
        <v>4</v>
      </c>
      <c r="H12" s="7" t="s">
        <v>160</v>
      </c>
      <c r="I12" s="7" t="s">
        <v>84</v>
      </c>
    </row>
    <row r="13" spans="2:16">
      <c r="B13" s="3" t="s">
        <v>40</v>
      </c>
      <c r="C13" s="3">
        <v>210</v>
      </c>
      <c r="E13" s="3" t="s">
        <v>40</v>
      </c>
      <c r="H13" s="3" t="s">
        <v>27</v>
      </c>
      <c r="I13" s="7" t="s">
        <v>136</v>
      </c>
    </row>
    <row r="14" spans="2:16">
      <c r="B14" s="3" t="s">
        <v>41</v>
      </c>
      <c r="C14" s="3">
        <v>240</v>
      </c>
      <c r="E14" s="3" t="s">
        <v>41</v>
      </c>
      <c r="H14" s="7" t="s">
        <v>160</v>
      </c>
      <c r="I14" s="7" t="s">
        <v>118</v>
      </c>
    </row>
    <row r="15" spans="2:16">
      <c r="B15" s="3" t="s">
        <v>42</v>
      </c>
      <c r="C15" s="3">
        <v>270</v>
      </c>
      <c r="E15" s="3" t="s">
        <v>42</v>
      </c>
      <c r="H15" s="7" t="s">
        <v>165</v>
      </c>
      <c r="I15" s="7" t="s">
        <v>119</v>
      </c>
    </row>
    <row r="16" spans="2:16">
      <c r="B16" s="3" t="s">
        <v>43</v>
      </c>
      <c r="C16" s="3">
        <v>300</v>
      </c>
      <c r="E16" s="3" t="s">
        <v>43</v>
      </c>
      <c r="H16" s="7" t="s">
        <v>164</v>
      </c>
      <c r="I16" s="7" t="s">
        <v>120</v>
      </c>
    </row>
    <row r="17" spans="2:9">
      <c r="B17" s="3" t="s">
        <v>44</v>
      </c>
      <c r="C17" s="3">
        <v>120</v>
      </c>
      <c r="E17" s="3" t="s">
        <v>44</v>
      </c>
      <c r="H17" s="7" t="s">
        <v>163</v>
      </c>
      <c r="I17" s="7" t="s">
        <v>121</v>
      </c>
    </row>
    <row r="18" spans="2:9">
      <c r="B18" s="3" t="s">
        <v>45</v>
      </c>
      <c r="C18" s="3">
        <v>150</v>
      </c>
      <c r="E18" s="3" t="s">
        <v>45</v>
      </c>
      <c r="H18" s="7" t="s">
        <v>162</v>
      </c>
      <c r="I18" s="7" t="s">
        <v>122</v>
      </c>
    </row>
    <row r="19" spans="2:9">
      <c r="B19" s="3" t="s">
        <v>46</v>
      </c>
      <c r="C19" s="3">
        <v>180</v>
      </c>
      <c r="E19" s="3" t="s">
        <v>46</v>
      </c>
      <c r="H19" s="3" t="s">
        <v>80</v>
      </c>
      <c r="I19" s="7" t="s">
        <v>123</v>
      </c>
    </row>
    <row r="20" spans="2:9">
      <c r="B20" s="3" t="s">
        <v>47</v>
      </c>
      <c r="C20" s="3">
        <v>210</v>
      </c>
      <c r="E20" s="3" t="s">
        <v>47</v>
      </c>
      <c r="H20" s="3" t="s">
        <v>68</v>
      </c>
      <c r="I20" s="7" t="s">
        <v>124</v>
      </c>
    </row>
    <row r="21" spans="2:9">
      <c r="B21" s="3" t="s">
        <v>13</v>
      </c>
      <c r="C21" s="3">
        <v>240</v>
      </c>
      <c r="E21" s="3" t="s">
        <v>13</v>
      </c>
      <c r="H21" s="7" t="s">
        <v>161</v>
      </c>
      <c r="I21" s="7" t="s">
        <v>125</v>
      </c>
    </row>
    <row r="22" spans="2:9">
      <c r="B22" s="3" t="s">
        <v>48</v>
      </c>
      <c r="C22" s="3">
        <v>270</v>
      </c>
      <c r="E22" s="3" t="s">
        <v>48</v>
      </c>
      <c r="H22" s="3" t="s">
        <v>70</v>
      </c>
      <c r="I22" s="7" t="s">
        <v>126</v>
      </c>
    </row>
    <row r="23" spans="2:9">
      <c r="B23" s="3" t="s">
        <v>15</v>
      </c>
      <c r="C23" s="3">
        <v>300</v>
      </c>
      <c r="D23" s="4" t="s">
        <v>30</v>
      </c>
      <c r="E23" s="3" t="s">
        <v>15</v>
      </c>
      <c r="F23" s="3" t="s">
        <v>50</v>
      </c>
      <c r="H23" s="3" t="s">
        <v>71</v>
      </c>
      <c r="I23" s="7" t="s">
        <v>127</v>
      </c>
    </row>
    <row r="24" spans="2:9">
      <c r="H24" s="3" t="s">
        <v>72</v>
      </c>
      <c r="I24" s="7" t="s">
        <v>128</v>
      </c>
    </row>
    <row r="25" spans="2:9">
      <c r="H25" s="3" t="s">
        <v>73</v>
      </c>
      <c r="I25" s="7" t="s">
        <v>129</v>
      </c>
    </row>
    <row r="26" spans="2:9">
      <c r="H26" s="3" t="s">
        <v>74</v>
      </c>
      <c r="I26" s="7" t="s">
        <v>130</v>
      </c>
    </row>
    <row r="27" spans="2:9">
      <c r="H27" s="3" t="s">
        <v>72</v>
      </c>
      <c r="I27" s="7" t="s">
        <v>131</v>
      </c>
    </row>
    <row r="28" spans="2:9">
      <c r="H28" s="3" t="s">
        <v>73</v>
      </c>
      <c r="I28" s="7" t="s">
        <v>132</v>
      </c>
    </row>
    <row r="29" spans="2:9">
      <c r="H29" s="3" t="s">
        <v>75</v>
      </c>
      <c r="I29" s="7" t="s">
        <v>133</v>
      </c>
    </row>
    <row r="30" spans="2:9">
      <c r="H30" s="3" t="s">
        <v>72</v>
      </c>
      <c r="I30" s="7" t="s">
        <v>134</v>
      </c>
    </row>
    <row r="31" spans="2:9">
      <c r="H31" s="3" t="s">
        <v>73</v>
      </c>
      <c r="I31" s="7" t="s">
        <v>135</v>
      </c>
    </row>
    <row r="32" spans="2:9">
      <c r="H32" s="3" t="s">
        <v>76</v>
      </c>
      <c r="I32" s="7" t="s">
        <v>137</v>
      </c>
    </row>
    <row r="33" spans="8:9">
      <c r="H33" s="3" t="s">
        <v>72</v>
      </c>
      <c r="I33" s="7" t="s">
        <v>138</v>
      </c>
    </row>
    <row r="34" spans="8:9">
      <c r="H34" s="3" t="s">
        <v>73</v>
      </c>
      <c r="I34" s="7" t="s">
        <v>139</v>
      </c>
    </row>
    <row r="35" spans="8:9">
      <c r="H35" s="3" t="s">
        <v>77</v>
      </c>
      <c r="I35" s="7" t="s">
        <v>140</v>
      </c>
    </row>
    <row r="36" spans="8:9">
      <c r="H36" s="3" t="s">
        <v>72</v>
      </c>
      <c r="I36" s="7" t="s">
        <v>141</v>
      </c>
    </row>
    <row r="37" spans="8:9">
      <c r="H37" s="3" t="s">
        <v>73</v>
      </c>
      <c r="I37" s="7" t="s">
        <v>142</v>
      </c>
    </row>
    <row r="38" spans="8:9">
      <c r="H38" s="3" t="s">
        <v>146</v>
      </c>
      <c r="I38" s="3" t="s">
        <v>143</v>
      </c>
    </row>
    <row r="39" spans="8:9">
      <c r="H39" s="3" t="s">
        <v>147</v>
      </c>
      <c r="I39" s="3" t="s">
        <v>144</v>
      </c>
    </row>
    <row r="40" spans="8:9">
      <c r="H40" s="3" t="s">
        <v>148</v>
      </c>
      <c r="I40" s="3" t="s">
        <v>145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04"/>
  <dimension ref="A1:Q30"/>
  <sheetViews>
    <sheetView tabSelected="1" zoomScaleNormal="100" workbookViewId="0"/>
  </sheetViews>
  <sheetFormatPr defaultColWidth="11.42578125" defaultRowHeight="15"/>
  <sheetData>
    <row r="1" spans="1:17" ht="15.75">
      <c r="A1" s="133">
        <f ca="1">TODAY()</f>
        <v>43039</v>
      </c>
    </row>
    <row r="12" spans="1:17">
      <c r="Q12" s="9"/>
    </row>
    <row r="30" spans="6:6" ht="21">
      <c r="F30" s="25" t="s">
        <v>167</v>
      </c>
    </row>
  </sheetData>
  <pageMargins left="0.7" right="0.7" top="0.75" bottom="0.75" header="0.3" footer="0.3"/>
  <pageSetup paperSize="9" orientation="portrait" r:id="rId1"/>
  <drawing r:id="rId2"/>
  <legacyDrawing r:id="rId3"/>
  <controls>
    <control shapeId="1032" r:id="rId4" name="CommandButton2"/>
    <control shapeId="1034" r:id="rId5" name="CommandButton3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02"/>
  <dimension ref="A1:V7"/>
  <sheetViews>
    <sheetView zoomScaleNormal="100" workbookViewId="0">
      <pane xSplit="5" ySplit="1" topLeftCell="F2" activePane="bottomRight" state="frozen"/>
      <selection pane="topRight" activeCell="F1" sqref="F1"/>
      <selection pane="bottomLeft" activeCell="A5" sqref="A5"/>
      <selection pane="bottomRight" activeCell="B1" sqref="B1"/>
    </sheetView>
  </sheetViews>
  <sheetFormatPr defaultColWidth="11.42578125" defaultRowHeight="15"/>
  <cols>
    <col min="1" max="1" width="8.42578125" style="107" bestFit="1" customWidth="1"/>
    <col min="2" max="4" width="2" style="107" customWidth="1"/>
    <col min="5" max="5" width="10.140625" style="83" bestFit="1" customWidth="1"/>
    <col min="6" max="6" width="11.42578125" style="2"/>
    <col min="7" max="7" width="20.5703125" style="2" bestFit="1" customWidth="1"/>
    <col min="8" max="10" width="11.42578125" style="2"/>
    <col min="11" max="11" width="14.42578125" style="2" customWidth="1"/>
    <col min="12" max="12" width="11.42578125" style="2"/>
    <col min="13" max="13" width="12.140625" style="115" bestFit="1" customWidth="1"/>
    <col min="14" max="14" width="11.42578125" style="2"/>
    <col min="15" max="15" width="11.5703125" style="111" customWidth="1"/>
    <col min="16" max="17" width="11.42578125" style="2"/>
    <col min="18" max="21" width="4.42578125" style="2" customWidth="1"/>
    <col min="22" max="22" width="16.5703125" style="2" customWidth="1"/>
    <col min="23" max="16384" width="11.42578125" style="1"/>
  </cols>
  <sheetData>
    <row r="1" spans="1:22" ht="48.75" customHeight="1">
      <c r="A1" s="100">
        <f ca="1">TODAY()+11</f>
        <v>43050</v>
      </c>
      <c r="B1" s="101"/>
      <c r="C1" s="101"/>
      <c r="D1" s="102"/>
      <c r="E1" s="79" t="s">
        <v>0</v>
      </c>
      <c r="F1" s="78" t="s">
        <v>6</v>
      </c>
      <c r="G1" s="78" t="s">
        <v>1</v>
      </c>
      <c r="H1" s="78" t="s">
        <v>2</v>
      </c>
      <c r="I1" s="78" t="s">
        <v>3</v>
      </c>
      <c r="J1" s="78" t="s">
        <v>7</v>
      </c>
      <c r="K1" s="78" t="s">
        <v>4</v>
      </c>
      <c r="L1" s="78" t="s">
        <v>8</v>
      </c>
      <c r="M1" s="112" t="s">
        <v>9</v>
      </c>
      <c r="N1" s="78" t="s">
        <v>5</v>
      </c>
      <c r="O1" s="108" t="s">
        <v>10</v>
      </c>
      <c r="P1" s="79" t="s">
        <v>44</v>
      </c>
      <c r="Q1" s="80" t="s">
        <v>150</v>
      </c>
      <c r="R1" s="81" t="s">
        <v>11</v>
      </c>
      <c r="S1" s="82" t="s">
        <v>12</v>
      </c>
      <c r="T1" s="118" t="s">
        <v>13</v>
      </c>
      <c r="U1" s="117" t="s">
        <v>27</v>
      </c>
      <c r="V1" s="116" t="s">
        <v>15</v>
      </c>
    </row>
    <row r="2" spans="1:22">
      <c r="A2" s="103"/>
      <c r="B2" s="103"/>
      <c r="C2" s="103"/>
      <c r="D2" s="104"/>
      <c r="E2" s="99" t="s">
        <v>149</v>
      </c>
      <c r="F2" s="91">
        <v>42379</v>
      </c>
      <c r="G2" s="99" t="str">
        <f ca="1">Age(F2,MIN($A$1,I2))</f>
        <v>1 an(s) 10 mois 1 jours</v>
      </c>
      <c r="H2" s="95">
        <v>42979</v>
      </c>
      <c r="I2" s="95">
        <v>43069</v>
      </c>
      <c r="J2" s="93">
        <f t="shared" ref="J2:J6" ca="1" si="0">IF(I2="","",IF((I2-$A$1)&lt;=0,0,I2-$A$1))</f>
        <v>19</v>
      </c>
      <c r="K2" s="93" t="s">
        <v>52</v>
      </c>
      <c r="L2" s="93">
        <v>4</v>
      </c>
      <c r="M2" s="113">
        <v>160</v>
      </c>
      <c r="N2" s="93">
        <v>0.5</v>
      </c>
      <c r="O2" s="109">
        <v>80</v>
      </c>
      <c r="P2" s="88" t="s">
        <v>53</v>
      </c>
      <c r="Q2" s="97"/>
      <c r="R2" s="87"/>
      <c r="S2" s="85"/>
      <c r="T2" s="85"/>
      <c r="U2" s="84"/>
      <c r="V2" s="86" t="s">
        <v>14</v>
      </c>
    </row>
    <row r="3" spans="1:22">
      <c r="A3" s="105"/>
      <c r="B3" s="105"/>
      <c r="C3" s="105"/>
      <c r="D3" s="106"/>
      <c r="E3" s="90" t="s">
        <v>152</v>
      </c>
      <c r="F3" s="92">
        <v>42461</v>
      </c>
      <c r="G3" s="90" t="str">
        <f t="shared" ref="G3:G7" ca="1" si="1">Age(F3,MIN($A$1,I3))</f>
        <v>1 an(s) 7 mois 10 jours</v>
      </c>
      <c r="H3" s="96">
        <v>42744</v>
      </c>
      <c r="I3" s="96">
        <v>43311</v>
      </c>
      <c r="J3" s="94">
        <f t="shared" ca="1" si="0"/>
        <v>261</v>
      </c>
      <c r="K3" s="94" t="s">
        <v>52</v>
      </c>
      <c r="L3" s="94">
        <v>5</v>
      </c>
      <c r="M3" s="114">
        <v>150</v>
      </c>
      <c r="N3" s="94">
        <v>2</v>
      </c>
      <c r="O3" s="110">
        <v>300</v>
      </c>
      <c r="P3" s="89" t="s">
        <v>53</v>
      </c>
      <c r="Q3" s="98"/>
      <c r="R3" s="87"/>
      <c r="S3" s="85"/>
      <c r="T3" s="85" t="s">
        <v>53</v>
      </c>
      <c r="U3" s="85"/>
      <c r="V3" s="87" t="s">
        <v>14</v>
      </c>
    </row>
    <row r="4" spans="1:22">
      <c r="A4" s="105"/>
      <c r="B4" s="105"/>
      <c r="C4" s="105"/>
      <c r="D4" s="106" t="s">
        <v>151</v>
      </c>
      <c r="E4" s="90" t="s">
        <v>153</v>
      </c>
      <c r="F4" s="92">
        <v>42016</v>
      </c>
      <c r="G4" s="90" t="str">
        <f t="shared" ca="1" si="1"/>
        <v>2 an(s) 9 mois 30 jours</v>
      </c>
      <c r="H4" s="96">
        <v>42744</v>
      </c>
      <c r="I4" s="96">
        <v>43311</v>
      </c>
      <c r="J4" s="94">
        <f ca="1">IF(I4="","",IF((I4-$A$1)&lt;=0,0,I4-$A$1))</f>
        <v>261</v>
      </c>
      <c r="K4" s="94"/>
      <c r="L4" s="94">
        <v>5</v>
      </c>
      <c r="M4" s="114">
        <v>0</v>
      </c>
      <c r="N4" s="94">
        <v>0</v>
      </c>
      <c r="O4" s="110">
        <v>0</v>
      </c>
      <c r="P4" s="89"/>
      <c r="Q4" s="98"/>
      <c r="R4" s="87"/>
      <c r="S4" s="85"/>
      <c r="T4" s="85"/>
      <c r="U4" s="85"/>
      <c r="V4" s="87" t="s">
        <v>16</v>
      </c>
    </row>
    <row r="5" spans="1:22">
      <c r="A5" s="105"/>
      <c r="B5" s="105"/>
      <c r="C5" s="105"/>
      <c r="D5" s="104"/>
      <c r="E5" s="90" t="s">
        <v>154</v>
      </c>
      <c r="F5" s="92">
        <v>41691</v>
      </c>
      <c r="G5" s="90" t="str">
        <f t="shared" ca="1" si="1"/>
        <v>3 an(s) 8 mois 9 jours</v>
      </c>
      <c r="H5" s="96">
        <v>41883</v>
      </c>
      <c r="I5" s="96">
        <v>43038</v>
      </c>
      <c r="J5" s="94">
        <f t="shared" ca="1" si="0"/>
        <v>0</v>
      </c>
      <c r="K5" s="94"/>
      <c r="L5" s="94"/>
      <c r="M5" s="114"/>
      <c r="N5" s="94"/>
      <c r="O5" s="110"/>
      <c r="P5" s="89"/>
      <c r="Q5" s="98"/>
      <c r="R5" s="86"/>
      <c r="S5" s="84"/>
      <c r="T5" s="84"/>
      <c r="U5" s="84"/>
      <c r="V5" s="86" t="s">
        <v>17</v>
      </c>
    </row>
    <row r="6" spans="1:22">
      <c r="A6" s="105"/>
      <c r="B6" s="105"/>
      <c r="C6" s="105"/>
      <c r="D6" s="104" t="s">
        <v>51</v>
      </c>
      <c r="E6" s="90" t="s">
        <v>155</v>
      </c>
      <c r="F6" s="92">
        <v>42287</v>
      </c>
      <c r="G6" s="90" t="str">
        <f t="shared" ca="1" si="1"/>
        <v>2 an(s) 1 mois 1 jours</v>
      </c>
      <c r="H6" s="96">
        <v>42378</v>
      </c>
      <c r="I6" s="96">
        <v>43107</v>
      </c>
      <c r="J6" s="94">
        <f t="shared" ca="1" si="0"/>
        <v>57</v>
      </c>
      <c r="K6" s="94" t="s">
        <v>52</v>
      </c>
      <c r="L6" s="94">
        <v>4</v>
      </c>
      <c r="M6" s="114">
        <v>200</v>
      </c>
      <c r="N6" s="94">
        <v>1.5</v>
      </c>
      <c r="O6" s="110">
        <v>300</v>
      </c>
      <c r="P6" s="89">
        <v>0</v>
      </c>
      <c r="Q6" s="98">
        <v>0</v>
      </c>
      <c r="R6" s="86" t="s">
        <v>53</v>
      </c>
      <c r="S6" s="84"/>
      <c r="T6" s="84"/>
      <c r="U6" s="84"/>
      <c r="V6" s="86" t="s">
        <v>14</v>
      </c>
    </row>
    <row r="7" spans="1:22">
      <c r="A7" s="105"/>
      <c r="B7" s="105"/>
      <c r="C7" s="105"/>
      <c r="D7" s="104"/>
      <c r="E7" s="90" t="s">
        <v>156</v>
      </c>
      <c r="F7" s="92">
        <v>42302</v>
      </c>
      <c r="G7" s="90" t="str">
        <f t="shared" ca="1" si="1"/>
        <v>2 an(s) 0 mois 17 jours</v>
      </c>
      <c r="H7" s="96">
        <v>42614</v>
      </c>
      <c r="I7" s="96">
        <v>43281</v>
      </c>
      <c r="J7" s="94">
        <f ca="1">IF(I7="","",IF((I7-$A$1)&lt;=0,0,I7-$A$1))</f>
        <v>231</v>
      </c>
      <c r="K7" s="94" t="s">
        <v>52</v>
      </c>
      <c r="L7" s="94">
        <v>4</v>
      </c>
      <c r="M7" s="114">
        <v>190.5</v>
      </c>
      <c r="N7" s="94">
        <v>1.5</v>
      </c>
      <c r="O7" s="110">
        <v>285.75</v>
      </c>
      <c r="P7" s="89" t="s">
        <v>53</v>
      </c>
      <c r="Q7" s="98"/>
      <c r="R7" s="86"/>
      <c r="S7" s="84"/>
      <c r="T7" s="84"/>
      <c r="U7" s="84"/>
      <c r="V7" s="86" t="s">
        <v>17</v>
      </c>
    </row>
  </sheetData>
  <sortState ref="A2:V9">
    <sortCondition ref="E2"/>
  </sortState>
  <conditionalFormatting sqref="A2:V7">
    <cfRule type="expression" dxfId="5" priority="2">
      <formula>$E2=""</formula>
    </cfRule>
    <cfRule type="expression" dxfId="4" priority="11">
      <formula>$J2=0</formula>
    </cfRule>
  </conditionalFormatting>
  <conditionalFormatting sqref="Q2:Q7">
    <cfRule type="expression" dxfId="3" priority="8">
      <formula>AND($Q2&gt;0,$Q2&lt;50,$J2&gt;0)</formula>
    </cfRule>
    <cfRule type="expression" dxfId="2" priority="9">
      <formula>AND($Q2=50,$J2&gt;0)</formula>
    </cfRule>
    <cfRule type="expression" dxfId="1" priority="10">
      <formula>AND($D2="F",$J2&gt;0)</formula>
    </cfRule>
  </conditionalFormatting>
  <conditionalFormatting sqref="P2:P7">
    <cfRule type="expression" dxfId="0" priority="1">
      <formula>AND($P2&lt;50,$P2&gt;0)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03"/>
  <dimension ref="A1:AK11"/>
  <sheetViews>
    <sheetView workbookViewId="0"/>
  </sheetViews>
  <sheetFormatPr defaultColWidth="11.42578125" defaultRowHeight="15"/>
  <cols>
    <col min="1" max="1" width="22.85546875" customWidth="1"/>
    <col min="17" max="17" width="9.85546875" customWidth="1"/>
  </cols>
  <sheetData>
    <row r="1" spans="1:37">
      <c r="B1" s="132" t="s">
        <v>56</v>
      </c>
      <c r="C1" s="132" t="s">
        <v>57</v>
      </c>
      <c r="D1" s="132" t="s">
        <v>58</v>
      </c>
      <c r="E1" s="132" t="s">
        <v>61</v>
      </c>
      <c r="F1" s="132" t="s">
        <v>62</v>
      </c>
      <c r="G1" s="132" t="s">
        <v>63</v>
      </c>
      <c r="H1" s="132" t="s">
        <v>58</v>
      </c>
      <c r="I1" s="132" t="s">
        <v>64</v>
      </c>
      <c r="J1" s="132" t="s">
        <v>58</v>
      </c>
      <c r="K1" s="132" t="s">
        <v>65</v>
      </c>
      <c r="L1" s="132" t="s">
        <v>58</v>
      </c>
      <c r="M1" s="132" t="s">
        <v>27</v>
      </c>
      <c r="N1" s="132" t="s">
        <v>58</v>
      </c>
      <c r="O1" s="132" t="s">
        <v>66</v>
      </c>
      <c r="P1" s="132" t="s">
        <v>67</v>
      </c>
      <c r="Q1" s="132" t="s">
        <v>78</v>
      </c>
      <c r="R1" s="132" t="s">
        <v>79</v>
      </c>
      <c r="S1" s="132" t="s">
        <v>80</v>
      </c>
      <c r="T1" s="132" t="s">
        <v>68</v>
      </c>
      <c r="U1" s="132" t="s">
        <v>69</v>
      </c>
      <c r="V1" s="132" t="s">
        <v>70</v>
      </c>
      <c r="W1" s="132" t="s">
        <v>71</v>
      </c>
      <c r="X1" s="132" t="s">
        <v>72</v>
      </c>
      <c r="Y1" s="132" t="s">
        <v>73</v>
      </c>
      <c r="Z1" s="132" t="s">
        <v>74</v>
      </c>
      <c r="AA1" s="132" t="s">
        <v>72</v>
      </c>
      <c r="AB1" s="132" t="s">
        <v>73</v>
      </c>
      <c r="AC1" s="132" t="s">
        <v>75</v>
      </c>
      <c r="AD1" s="132" t="s">
        <v>72</v>
      </c>
      <c r="AE1" s="132" t="s">
        <v>73</v>
      </c>
      <c r="AF1" s="132" t="s">
        <v>76</v>
      </c>
      <c r="AG1" s="132" t="s">
        <v>72</v>
      </c>
      <c r="AH1" s="132" t="s">
        <v>73</v>
      </c>
      <c r="AI1" s="132" t="s">
        <v>77</v>
      </c>
      <c r="AJ1" s="132" t="s">
        <v>72</v>
      </c>
      <c r="AK1" s="132" t="s">
        <v>73</v>
      </c>
    </row>
    <row r="2" spans="1:37">
      <c r="A2" t="s">
        <v>14</v>
      </c>
      <c r="B2">
        <f>COUNTIFS(Base!V:V,"ETABLISSEMENT 1")</f>
        <v>3</v>
      </c>
      <c r="C2">
        <f ca="1">COUNTIFS(Base!V:V,"ETABLISSEMENT 1",Base!J:J,"0")</f>
        <v>0</v>
      </c>
      <c r="D2">
        <f ca="1">B2-C2</f>
        <v>3</v>
      </c>
      <c r="E2">
        <f>COUNTIFS(Base!V:V,"ETABLISSEMENT 1",Base!D:D,"D")</f>
        <v>0</v>
      </c>
      <c r="F2">
        <f>COUNTIFS(Base!V:V,"ETABLISSEMENT 1",Base!D:D,"F")</f>
        <v>1</v>
      </c>
      <c r="G2">
        <f>COUNTIFS(Base!V:V,"ETABLISSEMENT 1",Base!R:R,"X")</f>
        <v>1</v>
      </c>
      <c r="H2">
        <f>COUNTIFS(Base!V:V,"ETABLISSEMENT 1",Base!R:R,"X",Base!L:L,"&gt;0")</f>
        <v>1</v>
      </c>
      <c r="I2">
        <f>COUNTIFS(Base!V:V,"ETABLISSEMENT 1",Base!S:S,"X")</f>
        <v>0</v>
      </c>
      <c r="J2">
        <f>COUNTIFS(Base!V:V,"ETABLISSEMENT 1",Base!S:S,"X",Base!J:J,"&gt;0")</f>
        <v>0</v>
      </c>
      <c r="K2">
        <f>COUNTIFS(Base!V:V,"ETABLISSEMENT 1",Base!T:T,"X")</f>
        <v>1</v>
      </c>
      <c r="L2">
        <f ca="1">COUNTIFS(Base!V:V,"ETABLISSEMENT 1",Base!T:T,"X",Base!J:J,"&gt;0")</f>
        <v>1</v>
      </c>
      <c r="M2">
        <f>COUNTIFS(Base!V:V,"ETABLISSEMENT 1",Base!U:U,"X")</f>
        <v>0</v>
      </c>
      <c r="N2">
        <f>COUNTIFS(Base!V:V,"ETABLISSEMENT 1",Base!U:U,"X",Base!J:J,"&gt;0")</f>
        <v>0</v>
      </c>
      <c r="O2">
        <f>SUMIFS(Base!P:P,Base!V:V,"ETABLISSEMENT 1")</f>
        <v>0</v>
      </c>
      <c r="P2">
        <f>SUMIFS(Base!Q:Q,Base!V:V,"ETABLISSEMENT 1")</f>
        <v>0</v>
      </c>
      <c r="Q2">
        <f ca="1">COUNTIFS(Base!V:V,"ETABLISSEMENT 1",Base!Q:Q,"",Base!J:J,"&gt;0")</f>
        <v>2</v>
      </c>
      <c r="R2">
        <f>COUNTIFS(Base!V:V,"ETABLISSEMENT 1",Base!D:D,"D")</f>
        <v>0</v>
      </c>
      <c r="S2">
        <f ca="1">COUNTIFS(Base!V:V,"ETABLISSEMENT 1",Base!Q:Q,"",Base!J:J,"0")</f>
        <v>0</v>
      </c>
      <c r="T2">
        <f ca="1">COUNTIFS(Base!V:V,"ETABLISSEMENT 1",Base!K:K,"REGULIER",Base!J:J,"&gt;0")</f>
        <v>3</v>
      </c>
      <c r="U2">
        <f>COUNTIFS(Base!V:V,"ETABLISSEMENT 1",Base!K:K,"PERISCOLAIRE",Base!J:J,"&gt;0")</f>
        <v>0</v>
      </c>
      <c r="V2">
        <f>COUNTIFS(Base!V:V,"ETABLISSEMENT 1",Base!K:K,"OCCASIONNEL",Base!J:J,"&gt;0")</f>
        <v>0</v>
      </c>
      <c r="W2">
        <f>COUNTIFS(Base!V:V,"ETABLISSEMENT 1",Base!L:L,"1",Base!J:J,"&gt;0")</f>
        <v>0</v>
      </c>
      <c r="X2">
        <f>SUMIFS(Base!M:M,Base!V:V,"ETABLISSEMENT 1",Base!L:L,"1",Base!J:J,"&gt;0")</f>
        <v>0</v>
      </c>
      <c r="Y2">
        <f>SUMIFS(Base!O:O,Base!V:V,"ETABLISSEMENT 1",Base!L:L,"1",Base!J:J,"&gt;0")</f>
        <v>0</v>
      </c>
      <c r="Z2">
        <f>COUNTIFS(Base!V:V,"ETABLISSEMENT 1",Base!L:L,"2",Base!J:J,"&gt;0")</f>
        <v>0</v>
      </c>
      <c r="AA2">
        <f>SUMIFS(Base!M:M,Base!V:V,"ETABLISSEMENT 1",Base!L:L,"2",Base!J:J,"&gt;0")</f>
        <v>0</v>
      </c>
      <c r="AB2">
        <f>SUMIFS(Base!O:O,Base!V:V,"ETABLISSEMENT 1",Base!L:L,"2",Base!J:J,"&gt;0")</f>
        <v>0</v>
      </c>
      <c r="AC2">
        <f>COUNTIFS(Base!V:V,"ETABLISSEMENT 1",Base!L:L,"3",Base!J:J,"&gt;0")</f>
        <v>0</v>
      </c>
      <c r="AD2">
        <f>SUMIFS(Base!M:M,Base!V:V,"ETABLISSEMENT 1",Base!L:L,"3",Base!J:J,"&gt;0")</f>
        <v>0</v>
      </c>
      <c r="AE2">
        <f>SUMIFS(Base!O:O,Base!V:V,"ETABLISSEMENT 1",Base!L:L,"3",Base!J:J,"&gt;0")</f>
        <v>0</v>
      </c>
      <c r="AF2">
        <f ca="1">COUNTIFS(Base!V:V,"ETABLISSEMENT 1",Base!L:L,"4",Base!J:J,"&gt;0")</f>
        <v>2</v>
      </c>
      <c r="AG2">
        <f ca="1">SUMIFS(Base!M:M,Base!V:V,"ETABLISSEMENT 1",Base!L:L,"4",Base!J:J,"&gt;0")</f>
        <v>360</v>
      </c>
      <c r="AH2">
        <f ca="1">SUMIFS(Base!O:O,Base!V:V,"ETABLISSEMENT 1",Base!L:L,"4",Base!J:J,"&gt;0")</f>
        <v>380</v>
      </c>
      <c r="AI2">
        <f ca="1">COUNTIFS(Base!V:V,"ETABLISSEMENT 1",Base!L:L,"5",Base!J:J,"&gt;0")</f>
        <v>1</v>
      </c>
      <c r="AJ2">
        <f ca="1">SUMIFS(Base!M:M,Base!V:V,"ETABLISSEMENT 1",Base!L:L,"5",Base!J:J,"&gt;0")</f>
        <v>150</v>
      </c>
      <c r="AK2">
        <f ca="1">SUMIFS(Base!O:O,Base!V:V,"ETABLISSEMENT 1",Base!L:L,"5",Base!J:J,"&gt;0")</f>
        <v>300</v>
      </c>
    </row>
    <row r="3" spans="1:37">
      <c r="A3" t="s">
        <v>16</v>
      </c>
      <c r="B3">
        <f>COUNTIFS(Base!V:V,"ETABLISSEMENT 2")</f>
        <v>1</v>
      </c>
      <c r="C3">
        <f ca="1">COUNTIFS(Base!V:V,"ETABLISSEMENT 2",Base!J:J,"0")</f>
        <v>0</v>
      </c>
      <c r="D3">
        <f t="shared" ref="D3:D10" ca="1" si="0">B3-C3</f>
        <v>1</v>
      </c>
      <c r="E3">
        <f>COUNTIFS(Base!V:V,"ETABLISSEMENT 2",Base!D:D,"D")</f>
        <v>1</v>
      </c>
      <c r="F3">
        <f>COUNTIFS(Base!V:V,"ETABLISSEMENT 2",Base!D:D,"F")</f>
        <v>0</v>
      </c>
      <c r="G3">
        <f>COUNTIFS(Base!V:V,"ETABLISSEMENT 2",Base!R:R,"X")</f>
        <v>0</v>
      </c>
      <c r="H3">
        <f>COUNTIFS(Base!V:V,"ETABLISSEMENT 2",Base!R:R,"X",Base!L:L,"&gt;0")</f>
        <v>0</v>
      </c>
      <c r="I3">
        <f>COUNTIFS(Base!V:V,"ETABLISSEMENT 2",Base!S:S,"X")</f>
        <v>0</v>
      </c>
      <c r="J3">
        <f>COUNTIFS(Base!V:V,"ETABLISSEMENT 2",Base!S:S,"X",Base!J:J,"&gt;0")</f>
        <v>0</v>
      </c>
      <c r="K3">
        <f>COUNTIFS(Base!V:V,"ETABLISSEMENT 2",Base!T:T,"X")</f>
        <v>0</v>
      </c>
      <c r="L3">
        <f>COUNTIFS(Base!V:V,"ETABLISSEMENT 2",Base!T:T,"X",Base!J:J,"&gt;0")</f>
        <v>0</v>
      </c>
      <c r="M3">
        <f>COUNTIFS(Base!V:V,"ETABLISSEMENT 2",Base!U:U,"X")</f>
        <v>0</v>
      </c>
      <c r="N3">
        <f>COUNTIFS(Base!V:V,"ETABLISSEMENT 2",Base!U:U,"X",Base!J:J,"&gt;0")</f>
        <v>0</v>
      </c>
      <c r="O3">
        <f>SUMIFS(Base!P:P,Base!V:V,"ETABLISSEMENT 2")</f>
        <v>0</v>
      </c>
      <c r="P3">
        <f>SUMIFS(Base!Q:Q,Base!V:V,"ETABLISSEMENT 2")</f>
        <v>0</v>
      </c>
      <c r="Q3">
        <f ca="1">COUNTIFS(Base!V:V,"ETABLISSEMENT 2",Base!Q:Q,"",Base!J:J,"&gt;0")</f>
        <v>1</v>
      </c>
      <c r="R3">
        <f>COUNTIFS(Base!V:V,"ETABLISSEMENT 2",Base!D:D,"D")</f>
        <v>1</v>
      </c>
      <c r="S3">
        <f ca="1">COUNTIFS(Base!V:V,"ETABLISSEMENT 2",Base!Q:Q,"",Base!J:J,"0")</f>
        <v>0</v>
      </c>
      <c r="T3">
        <f>COUNTIFS(Base!V:V,"ETABLISSEMENT 2",Base!K:K,"REGULIER",Base!J:J,"&gt;0")</f>
        <v>0</v>
      </c>
      <c r="U3">
        <f>COUNTIFS(Base!V:V,"ETABLISSEMENT 2",Base!K:K,"PERISCOLAIRE",Base!J:J,"&gt;0")</f>
        <v>0</v>
      </c>
      <c r="V3">
        <f>COUNTIFS(Base!V:V,"ETABLISSEMENT 2",Base!K:K,"OCCASIONNEL",Base!J:J,"&gt;0")</f>
        <v>0</v>
      </c>
      <c r="W3">
        <f>COUNTIFS(Base!V:V,"ETABLISSEMENT 2",Base!L:L,"1",Base!J:J,"&gt;0")</f>
        <v>0</v>
      </c>
      <c r="X3">
        <f>SUMIFS(Base!M:M,Base!V:V,"ETABLISSEMENT 2",Base!L:L,"1",Base!J:J,"&gt;0")</f>
        <v>0</v>
      </c>
      <c r="Y3">
        <f>SUMIFS(Base!O:O,Base!V:V,"ETABLISSEMENT 2",Base!L:L,"1",Base!J:J,"&gt;0")</f>
        <v>0</v>
      </c>
      <c r="Z3">
        <f>COUNTIFS(Base!V:V,"ETABLISSEMENT 2",Base!L:L,"2",Base!J:J,"&gt;0")</f>
        <v>0</v>
      </c>
      <c r="AA3">
        <f>SUMIFS(Base!M:M,Base!V:V,"ETABLISSEMENT 2",Base!L:L,"2",Base!J:J,"&gt;0")</f>
        <v>0</v>
      </c>
      <c r="AB3">
        <f>SUMIFS(Base!O:O,Base!V:V,"ETABLISSEMENT 2",Base!L:L,"2",Base!J:J,"&gt;0")</f>
        <v>0</v>
      </c>
      <c r="AC3">
        <f>COUNTIFS(Base!V:V,"ETABLISSEMENT 2",Base!L:L,"3",Base!J:J,"&gt;0")</f>
        <v>0</v>
      </c>
      <c r="AD3">
        <f>SUMIFS(Base!M:M,Base!V:V,"ETABLISSEMENT 2",Base!L:L,"3",Base!J:J,"&gt;0")</f>
        <v>0</v>
      </c>
      <c r="AE3">
        <f>SUMIFS(Base!O:O,Base!V:V,"ETABLISSEMENT 2",Base!L:L,"3",Base!J:J,"&gt;0")</f>
        <v>0</v>
      </c>
      <c r="AF3">
        <f>COUNTIFS(Base!V:V,"ETABLISSEMENT 2",Base!L:L,"4",Base!J:J,"&gt;0")</f>
        <v>0</v>
      </c>
      <c r="AG3">
        <f>SUMIFS(Base!M:M,Base!V:V,"ETABLISSEMENT 2",Base!L:L,"4",Base!J:J,"&gt;0")</f>
        <v>0</v>
      </c>
      <c r="AH3">
        <f>SUMIFS(Base!O:O,Base!V:V,"ETABLISSEMENT 2",Base!L:L,"4",Base!J:J,"&gt;0")</f>
        <v>0</v>
      </c>
      <c r="AI3">
        <f ca="1">COUNTIFS(Base!V:V,"ETABLISSEMENT 2",Base!L:L,"5",Base!J:J,"&gt;0")</f>
        <v>1</v>
      </c>
      <c r="AJ3">
        <f ca="1">SUMIFS(Base!M:M,Base!V:V,"ETABLISSEMENT 2",Base!L:L,"5",Base!J:J,"&gt;0")</f>
        <v>0</v>
      </c>
      <c r="AK3">
        <f ca="1">SUMIFS(Base!O:O,Base!V:V,"ETABLISSEMENT 2",Base!L:L,"5",Base!J:J,"&gt;0")</f>
        <v>0</v>
      </c>
    </row>
    <row r="4" spans="1:37">
      <c r="A4" t="s">
        <v>17</v>
      </c>
      <c r="B4">
        <f>COUNTIFS(Base!V:V,"ETABLISSEMENT 3")</f>
        <v>2</v>
      </c>
      <c r="C4">
        <f ca="1">COUNTIFS(Base!V:V,"ETABLISSEMENT 3",Base!J:J,"0")</f>
        <v>1</v>
      </c>
      <c r="D4">
        <f t="shared" ca="1" si="0"/>
        <v>1</v>
      </c>
      <c r="E4">
        <f>COUNTIFS(Base!V:V,"ETABLISSEMENT 3",Base!D:D,"D")</f>
        <v>0</v>
      </c>
      <c r="F4">
        <f>COUNTIFS(Base!V:V,"ETABLISSEMENT 3",Base!D:D,"F")</f>
        <v>0</v>
      </c>
      <c r="G4">
        <f>COUNTIFS(Base!V:V,"ETABLISSEMENT 3",Base!R:R,"X")</f>
        <v>0</v>
      </c>
      <c r="H4">
        <f>COUNTIFS(Base!V:V,"ETABLISSEMENT 3",Base!R:R,"X",Base!L:L,"&gt;0")</f>
        <v>0</v>
      </c>
      <c r="I4">
        <f>COUNTIFS(Base!V:V,"ETABLISSEMENT 3",Base!S:S,"X")</f>
        <v>0</v>
      </c>
      <c r="J4">
        <f>COUNTIFS(Base!V:V,"ETABLISSEMENT 3",Base!S:S,"X",Base!J:J,"&gt;0")</f>
        <v>0</v>
      </c>
      <c r="K4">
        <f>COUNTIFS(Base!V:V,"ETABLISSEMENT 3",Base!T:T,"X")</f>
        <v>0</v>
      </c>
      <c r="L4">
        <f>COUNTIFS(Base!V:V,"ETABLISSEMENT 3",Base!T:T,"X",Base!J:J,"&gt;0")</f>
        <v>0</v>
      </c>
      <c r="M4">
        <f>COUNTIFS(Base!V:V,"ETABLISSEMENT 3",Base!U:U,"X")</f>
        <v>0</v>
      </c>
      <c r="N4">
        <f>COUNTIFS(Base!V:V,"ETABLISSEMENT 3",Base!U:U,"X",Base!J:J,"&gt;0")</f>
        <v>0</v>
      </c>
      <c r="O4">
        <f>SUMIFS(Base!P:P,Base!V:V,"ETABLISSEMENT 3")</f>
        <v>0</v>
      </c>
      <c r="P4">
        <f>SUMIFS(Base!Q:Q,Base!V:V,"ETABLISSEMENT 3")</f>
        <v>0</v>
      </c>
      <c r="Q4">
        <f ca="1">COUNTIFS(Base!V:V,"ETABLISSEMENT 3",Base!Q:Q,"",Base!J:J,"&gt;0")</f>
        <v>1</v>
      </c>
      <c r="R4">
        <f>COUNTIFS(Base!V:V,"ETABLISSEMENT 3",Base!D:D,"D")</f>
        <v>0</v>
      </c>
      <c r="S4">
        <f ca="1">COUNTIFS(Base!V:V,"ETABLISSEMENT 3",Base!Q:Q,"",Base!J:J,"0")</f>
        <v>1</v>
      </c>
      <c r="T4">
        <f ca="1">COUNTIFS(Base!V:V,"ETABLISSEMENT 3",Base!K:K,"REGULIER",Base!J:J,"&gt;0")</f>
        <v>1</v>
      </c>
      <c r="U4">
        <f>COUNTIFS(Base!V:V,"ETABLISSEMENT 3",Base!K:K,"PERISCOLAIRE",Base!J:J,"&gt;0")</f>
        <v>0</v>
      </c>
      <c r="V4">
        <f>COUNTIFS(Base!V:V,"ETABLISSEMENT 3",Base!K:K,"OCCASIONNEL",Base!J:J,"&gt;0")</f>
        <v>0</v>
      </c>
      <c r="W4">
        <f>COUNTIFS(Base!V:V,"ETABLISSEMENT 3",Base!L:L,"1",Base!J:J,"&gt;0")</f>
        <v>0</v>
      </c>
      <c r="X4">
        <f>SUMIFS(Base!M:M,Base!V:V,"ETABLISSEMENT 3",Base!L:L,"1",Base!J:J,"&gt;0")</f>
        <v>0</v>
      </c>
      <c r="Y4">
        <f>SUMIFS(Base!O:O,Base!V:V,"ETABLISSEMENT 3",Base!L:L,"1",Base!J:J,"&gt;0")</f>
        <v>0</v>
      </c>
      <c r="Z4">
        <f>COUNTIFS(Base!V:V,"ETABLISSEMENT 3",Base!L:L,"2",Base!J:J,"&gt;0")</f>
        <v>0</v>
      </c>
      <c r="AA4">
        <f>SUMIFS(Base!M:M,Base!V:V,"ETABLISSEMENT 3",Base!L:L,"2",Base!J:J,"&gt;0")</f>
        <v>0</v>
      </c>
      <c r="AB4">
        <f>SUMIFS(Base!O:O,Base!V:V,"ETABLISSEMENT 3",Base!L:L,"2",Base!J:J,"&gt;0")</f>
        <v>0</v>
      </c>
      <c r="AC4">
        <f>COUNTIFS(Base!V:V,"ETABLISSEMENT 3",Base!L:L,"3",Base!J:J,"&gt;0")</f>
        <v>0</v>
      </c>
      <c r="AD4">
        <f>SUMIFS(Base!M:M,Base!V:V,"ETABLISSEMENT 3",Base!L:L,"3",Base!J:J,"&gt;0")</f>
        <v>0</v>
      </c>
      <c r="AE4">
        <f>SUMIFS(Base!O:O,Base!V:V,"ETABLISSEMENT 3",Base!L:L,"3",Base!J:J,"&gt;0")</f>
        <v>0</v>
      </c>
      <c r="AF4">
        <f ca="1">COUNTIFS(Base!V:V,"ETABLISSEMENT 3",Base!L:L,"4",Base!J:J,"&gt;0")</f>
        <v>1</v>
      </c>
      <c r="AG4">
        <f ca="1">SUMIFS(Base!M:M,Base!V:V,"ETABLISSEMENT 3",Base!L:L,"4",Base!J:J,"&gt;0")</f>
        <v>190.5</v>
      </c>
      <c r="AH4">
        <f ca="1">SUMIFS(Base!O:O,Base!V:V,"ETABLISSEMENT 3",Base!L:L,"4",Base!J:J,"&gt;0")</f>
        <v>285.75</v>
      </c>
      <c r="AI4">
        <f>COUNTIFS(Base!V:V,"ETABLISSEMENT 3",Base!L:L,"5",Base!J:J,"&gt;0")</f>
        <v>0</v>
      </c>
      <c r="AJ4">
        <f>SUMIFS(Base!M:M,Base!V:V,"ETABLISSEMENT 3",Base!L:L,"5",Base!J:J,"&gt;0")</f>
        <v>0</v>
      </c>
      <c r="AK4">
        <f>SUMIFS(Base!O:O,Base!V:V,"ETABLISSEMENT 3",Base!L:L,"5",Base!J:J,"&gt;0")</f>
        <v>0</v>
      </c>
    </row>
    <row r="5" spans="1:37">
      <c r="A5" t="s">
        <v>18</v>
      </c>
      <c r="B5">
        <f>COUNTIFS(Base!V:V,"ETABLISSEMENT 4")</f>
        <v>0</v>
      </c>
      <c r="C5">
        <f>COUNTIFS(Base!V:V,"ETABLISSEMENT 4",Base!J:J,"0")</f>
        <v>0</v>
      </c>
      <c r="D5">
        <f t="shared" si="0"/>
        <v>0</v>
      </c>
      <c r="E5">
        <f>COUNTIFS(Base!V:V,"ETABLISSEMENT 4",Base!D:D,"D")</f>
        <v>0</v>
      </c>
      <c r="F5">
        <f>COUNTIFS(Base!V:V,"ETABLISSEMENT 4",Base!D:D,"F")</f>
        <v>0</v>
      </c>
      <c r="G5">
        <f>COUNTIFS(Base!V:V,"ETABLISSEMENT 4",Base!R:R,"X")</f>
        <v>0</v>
      </c>
      <c r="H5">
        <f>COUNTIFS(Base!V:V,"ETABLISSEMENT 4",Base!R:R,"X",Base!L:L,"&gt;0")</f>
        <v>0</v>
      </c>
      <c r="I5">
        <f>COUNTIFS(Base!V:V,"ETABLISSEMENT 4",Base!S:S,"X")</f>
        <v>0</v>
      </c>
      <c r="J5">
        <f>COUNTIFS(Base!V:V,"ETABLISSEMENT 4",Base!S:S,"X",Base!J:J,"&gt;0")</f>
        <v>0</v>
      </c>
      <c r="K5">
        <f>COUNTIFS(Base!V:V,"ETABLISSEMENT 4",Base!T:T,"X")</f>
        <v>0</v>
      </c>
      <c r="L5">
        <f>COUNTIFS(Base!V:V,"ETABLISSEMENT 4",Base!T:T,"X",Base!J:J,"&gt;0")</f>
        <v>0</v>
      </c>
      <c r="M5">
        <f>COUNTIFS(Base!V:V,"ETABLISSEMENT 4",Base!U:U,"X")</f>
        <v>0</v>
      </c>
      <c r="N5">
        <f>COUNTIFS(Base!V:V,"ETABLISSEMENT 4",Base!U:U,"X",Base!J:J,"&gt;0")</f>
        <v>0</v>
      </c>
      <c r="O5">
        <f>SUMIFS(Base!P:P,Base!V:V,"ETABLISSEMENT 4")</f>
        <v>0</v>
      </c>
      <c r="P5">
        <f>SUMIFS(Base!Q:Q,Base!V:V,"ETABLISSEMENT 4")</f>
        <v>0</v>
      </c>
      <c r="Q5">
        <f>COUNTIFS(Base!V:V,"ETABLISSEMENT 4",Base!Q:Q,"",Base!J:J,"&gt;0")</f>
        <v>0</v>
      </c>
      <c r="R5">
        <f>COUNTIFS(Base!V:V,"ETABLISSEMENT 4",Base!D:D,"D")</f>
        <v>0</v>
      </c>
      <c r="S5">
        <f>COUNTIFS(Base!V:V,"ETABLISSEMENT 4",Base!Q:Q,"",Base!J:J,"0")</f>
        <v>0</v>
      </c>
      <c r="T5">
        <f>COUNTIFS(Base!V:V,"ETABLISSEMENT 4",Base!K:K,"REGULIER",Base!J:J,"&gt;0")</f>
        <v>0</v>
      </c>
      <c r="U5">
        <f>COUNTIFS(Base!V:V,"ETABLISSEMENT 4",Base!K:K,"PERISCOLAIRE",Base!J:J,"&gt;0")</f>
        <v>0</v>
      </c>
      <c r="V5">
        <f>COUNTIFS(Base!V:V,"ETABLISSEMENT 4",Base!K:K,"OCCASIONNEL",Base!J:J,"&gt;0")</f>
        <v>0</v>
      </c>
      <c r="W5">
        <f>COUNTIFS(Base!V:V,"ETABLISSEMENT 4",Base!L:L,"1",Base!J:J,"&gt;0")</f>
        <v>0</v>
      </c>
      <c r="X5">
        <f>SUMIFS(Base!M:M,Base!V:V,"ETABLISSEMENT 4",Base!L:L,"1",Base!J:J,"&gt;0")</f>
        <v>0</v>
      </c>
      <c r="Y5">
        <f>SUMIFS(Base!O:O,Base!V:V,"ETABLISSEMENT 4",Base!L:L,"1",Base!J:J,"&gt;0")</f>
        <v>0</v>
      </c>
      <c r="Z5">
        <f>COUNTIFS(Base!V:V,"ETABLISSEMENT 4",Base!L:L,"2",Base!J:J,"&gt;0")</f>
        <v>0</v>
      </c>
      <c r="AA5">
        <f>SUMIFS(Base!M:M,Base!V:V,"ETABLISSEMENT 4",Base!L:L,"2",Base!J:J,"&gt;0")</f>
        <v>0</v>
      </c>
      <c r="AB5">
        <f>SUMIFS(Base!O:O,Base!V:V,"ETABLISSEMENT 4",Base!L:L,"2",Base!J:J,"&gt;0")</f>
        <v>0</v>
      </c>
      <c r="AC5">
        <f>COUNTIFS(Base!V:V,"ETABLISSEMENT 4",Base!L:L,"3",Base!J:J,"&gt;0")</f>
        <v>0</v>
      </c>
      <c r="AD5">
        <f>SUMIFS(Base!M:M,Base!V:V,"ETABLISSEMENT 4",Base!L:L,"3",Base!J:J,"&gt;0")</f>
        <v>0</v>
      </c>
      <c r="AE5">
        <f>SUMIFS(Base!O:O,Base!V:V,"ETABLISSEMENT 4",Base!L:L,"3",Base!J:J,"&gt;0")</f>
        <v>0</v>
      </c>
      <c r="AF5">
        <f>COUNTIFS(Base!V:V,"ETABLISSEMENT 4",Base!L:L,"4",Base!J:J,"&gt;0")</f>
        <v>0</v>
      </c>
      <c r="AG5">
        <f>SUMIFS(Base!M:M,Base!V:V,"ETABLISSEMENT 4",Base!L:L,"4",Base!J:J,"&gt;0")</f>
        <v>0</v>
      </c>
      <c r="AH5">
        <f>SUMIFS(Base!O:O,Base!V:V,"ETABLISSEMENT 4",Base!L:L,"4",Base!J:J,"&gt;0")</f>
        <v>0</v>
      </c>
      <c r="AI5">
        <f>COUNTIFS(Base!V:V,"ETABLISSEMENT 4",Base!L:L,"5",Base!J:J,"&gt;0")</f>
        <v>0</v>
      </c>
      <c r="AJ5">
        <f>SUMIFS(Base!M:M,Base!V:V,"ETABLISSEMENT 4",Base!L:L,"5",Base!J:J,"&gt;0")</f>
        <v>0</v>
      </c>
      <c r="AK5">
        <f>SUMIFS(Base!O:O,Base!V:V,"ETABLISSEMENT 4",Base!L:L,"5",Base!J:J,"&gt;0")</f>
        <v>0</v>
      </c>
    </row>
    <row r="6" spans="1:37">
      <c r="A6" t="s">
        <v>19</v>
      </c>
      <c r="B6">
        <f>COUNTIFS(Base!V:V,"ETABLISSEMENT 5")</f>
        <v>0</v>
      </c>
      <c r="C6">
        <f>COUNTIFS(Base!V:V,"ETABLISSEMENT 5",Base!J:J,"0")</f>
        <v>0</v>
      </c>
      <c r="D6">
        <f t="shared" si="0"/>
        <v>0</v>
      </c>
      <c r="E6">
        <f>COUNTIFS(Base!V:V,"ETABLISSEMENT 5",Base!D:D,"D")</f>
        <v>0</v>
      </c>
      <c r="F6">
        <f>COUNTIFS(Base!V:V,"ETABLISSEMENT 5",Base!D:D,"F")</f>
        <v>0</v>
      </c>
      <c r="G6">
        <f>COUNTIFS(Base!V:V,"ETABLISSEMENT 5",Base!R:R,"X")</f>
        <v>0</v>
      </c>
      <c r="H6">
        <f>COUNTIFS(Base!V:V,"ETABLISSEMENT 5",Base!R:R,"X",Base!L:L,"&gt;0")</f>
        <v>0</v>
      </c>
      <c r="I6">
        <f>COUNTIFS(Base!V:V,"ETABLISSEMENT 5",Base!S:S,"X")</f>
        <v>0</v>
      </c>
      <c r="J6">
        <f>COUNTIFS(Base!V:V,"ETABLISSEMENT 5",Base!S:S,"X",Base!J:J,"&gt;0")</f>
        <v>0</v>
      </c>
      <c r="K6">
        <f>COUNTIFS(Base!V:V,"ETABLISSEMENT 5",Base!T:T,"X")</f>
        <v>0</v>
      </c>
      <c r="L6">
        <f>COUNTIFS(Base!V:V,"ETABLISSEMENT 5",Base!T:T,"X",Base!J:J,"&gt;0")</f>
        <v>0</v>
      </c>
      <c r="M6">
        <f>COUNTIFS(Base!V:V,"ETABLISSEMENT 5",Base!U:U,"X")</f>
        <v>0</v>
      </c>
      <c r="N6">
        <f>COUNTIFS(Base!V:V,"ETABLISSEMENT 5",Base!U:U,"X",Base!J:J,"&gt;0")</f>
        <v>0</v>
      </c>
      <c r="O6">
        <f>SUMIFS(Base!P:P,Base!V:V,"ETABLISSEMENT 5")</f>
        <v>0</v>
      </c>
      <c r="P6">
        <f>SUMIFS(Base!Q:Q,Base!V:V,"ETABLISSEMENT 5")</f>
        <v>0</v>
      </c>
      <c r="Q6">
        <f>COUNTIFS(Base!V:V,"ETABLISSEMENT 5",Base!Q:Q,"",Base!J:J,"&gt;0")</f>
        <v>0</v>
      </c>
      <c r="R6">
        <f>COUNTIFS(Base!V:V,"ETABLISSEMENT 5",Base!D:D,"D")</f>
        <v>0</v>
      </c>
      <c r="S6">
        <f>COUNTIFS(Base!V:V,"ETABLISSEMENT 5",Base!Q:Q,"",Base!J:J,"0")</f>
        <v>0</v>
      </c>
      <c r="T6">
        <f>COUNTIFS(Base!V:V,"ETABLISSEMENT 5",Base!K:K,"REGULIER",Base!J:J,"&gt;0")</f>
        <v>0</v>
      </c>
      <c r="U6">
        <f>COUNTIFS(Base!V:V,"ETABLISSEMENT 5",Base!K:K,"PERISCOLAIRE",Base!J:J,"&gt;0")</f>
        <v>0</v>
      </c>
      <c r="V6">
        <f>COUNTIFS(Base!V:V,"ETABLISSEMENT 5",Base!K:K,"OCCASIONNEL",Base!J:J,"&gt;0")</f>
        <v>0</v>
      </c>
      <c r="W6">
        <f>COUNTIFS(Base!V:V,"ETABLISSEMENT 5",Base!L:L,"1",Base!J:J,"&gt;0")</f>
        <v>0</v>
      </c>
      <c r="X6">
        <f>SUMIFS(Base!M:M,Base!V:V,"ETABLISSEMENT 5",Base!L:L,"1",Base!J:J,"&gt;0")</f>
        <v>0</v>
      </c>
      <c r="Y6">
        <f>SUMIFS(Base!O:O,Base!V:V,"ETABLISSEMENT 5",Base!L:L,"1",Base!J:J,"&gt;0")</f>
        <v>0</v>
      </c>
      <c r="Z6">
        <f>COUNTIFS(Base!V:V,"ETABLISSEMENT 5",Base!L:L,"2",Base!J:J,"&gt;0")</f>
        <v>0</v>
      </c>
      <c r="AA6">
        <f>SUMIFS(Base!M:M,Base!V:V,"ETABLISSEMENT 5",Base!L:L,"2",Base!J:J,"&gt;0")</f>
        <v>0</v>
      </c>
      <c r="AB6">
        <f>SUMIFS(Base!O:O,Base!V:V,"ETABLISSEMENT 5",Base!L:L,"2",Base!J:J,"&gt;0")</f>
        <v>0</v>
      </c>
      <c r="AC6">
        <f>COUNTIFS(Base!V:V,"ETABLISSEMENT 5",Base!L:L,"3",Base!J:J,"&gt;0")</f>
        <v>0</v>
      </c>
      <c r="AD6">
        <f>SUMIFS(Base!M:M,Base!V:V,"ETABLISSEMENT 5",Base!L:L,"3",Base!J:J,"&gt;0")</f>
        <v>0</v>
      </c>
      <c r="AE6">
        <f>SUMIFS(Base!O:O,Base!V:V,"ETABLISSEMENT 5",Base!L:L,"3",Base!J:J,"&gt;0")</f>
        <v>0</v>
      </c>
      <c r="AF6">
        <f>COUNTIFS(Base!V:V,"ETABLISSEMENT 5",Base!L:L,"4",Base!J:J,"&gt;0")</f>
        <v>0</v>
      </c>
      <c r="AG6">
        <f>SUMIFS(Base!M:M,Base!V:V,"ETABLISSEMENT 5",Base!L:L,"4",Base!J:J,"&gt;0")</f>
        <v>0</v>
      </c>
      <c r="AH6">
        <f>SUMIFS(Base!O:O,Base!V:V,"ETABLISSEMENT 5",Base!L:L,"4",Base!J:J,"&gt;0")</f>
        <v>0</v>
      </c>
      <c r="AI6">
        <f>COUNTIFS(Base!V:V,"ETABLISSEMENT 5",Base!L:L,"5",Base!J:J,"&gt;0")</f>
        <v>0</v>
      </c>
      <c r="AJ6">
        <f>SUMIFS(Base!M:M,Base!V:V,"ETABLISSEMENT 5",Base!L:L,"5",Base!J:J,"&gt;0")</f>
        <v>0</v>
      </c>
      <c r="AK6">
        <f>SUMIFS(Base!O:O,Base!V:V,"ETABLISSEMENT 5",Base!L:L,"5",Base!J:J,"&gt;0")</f>
        <v>0</v>
      </c>
    </row>
    <row r="7" spans="1:37">
      <c r="A7" t="s">
        <v>20</v>
      </c>
      <c r="B7">
        <f>COUNTIFS(Base!V:V,"ETABLISSEMENT 6")</f>
        <v>0</v>
      </c>
      <c r="C7">
        <f>COUNTIFS(Base!V:V,"ETABLISSEMENT 6",Base!J:J,"0")</f>
        <v>0</v>
      </c>
      <c r="D7">
        <f t="shared" si="0"/>
        <v>0</v>
      </c>
      <c r="E7">
        <f>COUNTIFS(Base!V:V,"ETABLISSEMENT 6",Base!D:D,"D")</f>
        <v>0</v>
      </c>
      <c r="F7">
        <f>COUNTIFS(Base!V:V,"ETABLISSEMENT 6",Base!D:D,"F")</f>
        <v>0</v>
      </c>
      <c r="G7">
        <f>COUNTIFS(Base!V:V,"ETABLISSEMENT 6",Base!R:R,"X")</f>
        <v>0</v>
      </c>
      <c r="H7">
        <f>COUNTIFS(Base!V:V,"ETABLISSEMENT 6",Base!R:R,"X",Base!L:L,"&gt;0")</f>
        <v>0</v>
      </c>
      <c r="I7">
        <f>COUNTIFS(Base!V:V,"ETABLISSEMENT 6",Base!S:S,"X")</f>
        <v>0</v>
      </c>
      <c r="J7">
        <f>COUNTIFS(Base!V:V,"ETABLISSEMENT 6",Base!S:S,"X",Base!J:J,"&gt;0")</f>
        <v>0</v>
      </c>
      <c r="K7">
        <f>COUNTIFS(Base!V:V,"ETABLISSEMENT 6",Base!T:T,"X")</f>
        <v>0</v>
      </c>
      <c r="L7">
        <f>COUNTIFS(Base!V:V,"ETABLISSEMENT 6",Base!T:T,"X",Base!J:J,"&gt;0")</f>
        <v>0</v>
      </c>
      <c r="M7">
        <f>COUNTIFS(Base!V:V,"ETABLISSEMENT 6",Base!U:U,"X")</f>
        <v>0</v>
      </c>
      <c r="N7">
        <f>COUNTIFS(Base!V:V,"ETABLISSEMENT 6",Base!U:U,"X",Base!J:J,"&gt;0")</f>
        <v>0</v>
      </c>
      <c r="O7">
        <f>SUMIFS(Base!P:P,Base!V:V,"ETABLISSEMENT 6")</f>
        <v>0</v>
      </c>
      <c r="P7">
        <f>SUMIFS(Base!Q:Q,Base!V:V,"ETABLISSEMENT 6")</f>
        <v>0</v>
      </c>
      <c r="Q7">
        <f>COUNTIFS(Base!V:V,"ETABLISSEMENT 6",Base!Q:Q,"",Base!J:J,"&gt;0")</f>
        <v>0</v>
      </c>
      <c r="R7">
        <f>COUNTIFS(Base!V:V,"ETABLISSEMENT 6",Base!D:D,"D")</f>
        <v>0</v>
      </c>
      <c r="S7">
        <f>COUNTIFS(Base!V:V,"ETABLISSEMENT 6",Base!Q:Q,"",Base!J:J,"0")</f>
        <v>0</v>
      </c>
      <c r="T7">
        <f>COUNTIFS(Base!V:V,"ETABLISSEMENT 6",Base!K:K,"REGULIER",Base!J:J,"&gt;0")</f>
        <v>0</v>
      </c>
      <c r="U7">
        <f>COUNTIFS(Base!V:V,"ETABLISSEMENT 6",Base!K:K,"PERISCOLAIRE",Base!J:J,"&gt;0")</f>
        <v>0</v>
      </c>
      <c r="V7">
        <f>COUNTIFS(Base!V:V,"ETABLISSEMENT 6",Base!K:K,"OCCASIONNEL",Base!J:J,"&gt;0")</f>
        <v>0</v>
      </c>
      <c r="W7">
        <f>COUNTIFS(Base!V:V,"ETABLISSEMENT 6",Base!L:L,"1",Base!J:J,"&gt;0")</f>
        <v>0</v>
      </c>
      <c r="X7">
        <f>SUMIFS(Base!M:M,Base!V:V,"ETABLISSEMENT 6",Base!L:L,"1",Base!J:J,"&gt;0")</f>
        <v>0</v>
      </c>
      <c r="Y7">
        <f>SUMIFS(Base!O:O,Base!V:V,"ETABLISSEMENT 6",Base!L:L,"1",Base!J:J,"&gt;0")</f>
        <v>0</v>
      </c>
      <c r="Z7">
        <f>COUNTIFS(Base!V:V,"ETABLISSEMENT 6",Base!L:L,"2",Base!J:J,"&gt;0")</f>
        <v>0</v>
      </c>
      <c r="AA7">
        <f>SUMIFS(Base!M:M,Base!V:V,"ETABLISSEMENT 6",Base!L:L,"2",Base!J:J,"&gt;0")</f>
        <v>0</v>
      </c>
      <c r="AB7">
        <f>SUMIFS(Base!O:O,Base!V:V,"ETABLISSEMENT 6",Base!L:L,"2",Base!J:J,"&gt;0")</f>
        <v>0</v>
      </c>
      <c r="AC7">
        <f>COUNTIFS(Base!V:V,"ETABLISSEMENT 6",Base!L:L,"3",Base!J:J,"&gt;0")</f>
        <v>0</v>
      </c>
      <c r="AD7">
        <f>SUMIFS(Base!M:M,Base!V:V,"ETABLISSEMENT 6",Base!L:L,"3",Base!J:J,"&gt;0")</f>
        <v>0</v>
      </c>
      <c r="AE7">
        <f>SUMIFS(Base!O:O,Base!V:V,"ETABLISSEMENT 6",Base!L:L,"3",Base!J:J,"&gt;0")</f>
        <v>0</v>
      </c>
      <c r="AF7">
        <f>COUNTIFS(Base!V:V,"ETABLISSEMENT 6",Base!L:L,"4",Base!J:J,"&gt;0")</f>
        <v>0</v>
      </c>
      <c r="AG7">
        <f>SUMIFS(Base!M:M,Base!V:V,"ETABLISSEMENT 6",Base!L:L,"4",Base!J:J,"&gt;0")</f>
        <v>0</v>
      </c>
      <c r="AH7">
        <f>SUMIFS(Base!O:O,Base!V:V,"ETABLISSEMENT 6",Base!L:L,"4",Base!J:J,"&gt;0")</f>
        <v>0</v>
      </c>
      <c r="AI7">
        <f>COUNTIFS(Base!V:V,"ETABLISSEMENT 6",Base!L:L,"5",Base!J:J,"&gt;0")</f>
        <v>0</v>
      </c>
      <c r="AJ7">
        <f>SUMIFS(Base!M:M,Base!V:V,"ETABLISSEMENT 6",Base!L:L,"5",Base!J:J,"&gt;0")</f>
        <v>0</v>
      </c>
      <c r="AK7">
        <f>SUMIFS(Base!O:O,Base!V:V,"ETABLISSEMENT 6",Base!L:L,"5",Base!J:J,"&gt;0")</f>
        <v>0</v>
      </c>
    </row>
    <row r="8" spans="1:37">
      <c r="A8" t="s">
        <v>21</v>
      </c>
      <c r="B8">
        <f>COUNTIFS(Base!V:V,"ETABLISSEMENT 7")</f>
        <v>0</v>
      </c>
      <c r="C8">
        <f>COUNTIFS(Base!V:V,"ETABLISSEMENT 7",Base!J:J,"0")</f>
        <v>0</v>
      </c>
      <c r="D8">
        <f t="shared" si="0"/>
        <v>0</v>
      </c>
      <c r="E8">
        <f>COUNTIFS(Base!V:V,"ETABLISSEMENT 7",Base!D:D,"D")</f>
        <v>0</v>
      </c>
      <c r="F8">
        <f>COUNTIFS(Base!V:V,"ETABLISSEMENT 7",Base!D:D,"F")</f>
        <v>0</v>
      </c>
      <c r="G8">
        <f>COUNTIFS(Base!V:V,"ETABLISSEMENT 7",Base!R:R,"X")</f>
        <v>0</v>
      </c>
      <c r="H8">
        <f>COUNTIFS(Base!V:V,"ETABLISSEMENT 7",Base!R:R,"X",Base!L:L,"&gt;0")</f>
        <v>0</v>
      </c>
      <c r="I8">
        <f>COUNTIFS(Base!V:V,"ETABLISSEMENT 7",Base!S:S,"X")</f>
        <v>0</v>
      </c>
      <c r="J8">
        <f>COUNTIFS(Base!V:V,"ETABLISSEMENT 7",Base!S:S,"X",Base!J:J,"&gt;0")</f>
        <v>0</v>
      </c>
      <c r="K8">
        <f>COUNTIFS(Base!V:V,"ETABLISSEMENT 7",Base!T:T,"X")</f>
        <v>0</v>
      </c>
      <c r="L8">
        <f>COUNTIFS(Base!V:V,"ETABLISSEMENT 7",Base!T:T,"X",Base!J:J,"&gt;0")</f>
        <v>0</v>
      </c>
      <c r="M8">
        <f>COUNTIFS(Base!V:V,"ETABLISSEMENT 7",Base!U:U,"X")</f>
        <v>0</v>
      </c>
      <c r="N8">
        <f>COUNTIFS(Base!V:V,"ETABLISSEMENT 7",Base!U:U,"X",Base!J:J,"&gt;0")</f>
        <v>0</v>
      </c>
      <c r="O8">
        <f>SUMIFS(Base!P:P,Base!V:V,"ETABLISSEMENT 7")</f>
        <v>0</v>
      </c>
      <c r="P8">
        <f>SUMIFS(Base!Q:Q,Base!V:V,"ETABLISSEMENT 7")</f>
        <v>0</v>
      </c>
      <c r="Q8">
        <f>COUNTIFS(Base!V:V,"ETABLISSEMENT 7",Base!Q:Q,"",Base!J:J,"&gt;0")</f>
        <v>0</v>
      </c>
      <c r="R8">
        <f>COUNTIFS(Base!V:V,"ETABLISSEMENT 7",Base!D:D,"D")</f>
        <v>0</v>
      </c>
      <c r="S8">
        <f>COUNTIFS(Base!V:V,"ETABLISSEMENT 7",Base!Q:Q,"",Base!J:J,"0")</f>
        <v>0</v>
      </c>
      <c r="T8">
        <f>COUNTIFS(Base!V:V,"ETABLISSEMENT 7",Base!K:K,"REGULIER",Base!J:J,"&gt;0")</f>
        <v>0</v>
      </c>
      <c r="U8">
        <f>COUNTIFS(Base!V:V,"ETABLISSEMENT 7",Base!K:K,"PERISCOLAIRE",Base!J:J,"&gt;0")</f>
        <v>0</v>
      </c>
      <c r="V8">
        <f>COUNTIFS(Base!V:V,"ETABLISSEMENT 7",Base!K:K,"OCCASIONNEL",Base!J:J,"&gt;0")</f>
        <v>0</v>
      </c>
      <c r="W8">
        <f>COUNTIFS(Base!V:V,"ETABLISSEMENT 7",Base!L:L,"1",Base!J:J,"&gt;0")</f>
        <v>0</v>
      </c>
      <c r="X8">
        <f>SUMIFS(Base!M:M,Base!V:V,"ETABLISSEMENT 7",Base!L:L,"1",Base!J:J,"&gt;0")</f>
        <v>0</v>
      </c>
      <c r="Y8">
        <f>SUMIFS(Base!O:O,Base!V:V,"ETABLISSEMENT 7",Base!L:L,"1",Base!J:J,"&gt;0")</f>
        <v>0</v>
      </c>
      <c r="Z8">
        <f>COUNTIFS(Base!V:V,"ETABLISSEMENT 7",Base!L:L,"2",Base!J:J,"&gt;0")</f>
        <v>0</v>
      </c>
      <c r="AA8">
        <f>SUMIFS(Base!M:M,Base!V:V,"ETABLISSEMENT 7",Base!L:L,"2",Base!J:J,"&gt;0")</f>
        <v>0</v>
      </c>
      <c r="AB8">
        <f>SUMIFS(Base!O:O,Base!V:V,"ETABLISSEMENT 7",Base!L:L,"2",Base!J:J,"&gt;0")</f>
        <v>0</v>
      </c>
      <c r="AC8">
        <f>COUNTIFS(Base!V:V,"ETABLISSEMENT 7",Base!L:L,"3",Base!J:J,"&gt;0")</f>
        <v>0</v>
      </c>
      <c r="AD8">
        <f>SUMIFS(Base!M:M,Base!V:V,"ETABLISSEMENT 7",Base!L:L,"3",Base!J:J,"&gt;0")</f>
        <v>0</v>
      </c>
      <c r="AE8">
        <f>SUMIFS(Base!O:O,Base!V:V,"ETABLISSEMENT 7",Base!L:L,"3",Base!J:J,"&gt;0")</f>
        <v>0</v>
      </c>
      <c r="AF8">
        <f>COUNTIFS(Base!V:V,"ETABLISSEMENT 7",Base!L:L,"4",Base!J:J,"&gt;0")</f>
        <v>0</v>
      </c>
      <c r="AG8">
        <f>SUMIFS(Base!M:M,Base!V:V,"ETABLISSEMENT 7",Base!L:L,"4",Base!J:J,"&gt;0")</f>
        <v>0</v>
      </c>
      <c r="AH8">
        <f>SUMIFS(Base!O:O,Base!V:V,"ETABLISSEMENT 7",Base!L:L,"4",Base!J:J,"&gt;0")</f>
        <v>0</v>
      </c>
      <c r="AI8">
        <f>COUNTIFS(Base!V:V,"ETABLISSEMENT 7",Base!L:L,"5",Base!J:J,"&gt;0")</f>
        <v>0</v>
      </c>
      <c r="AJ8">
        <f>SUMIFS(Base!M:M,Base!V:V,"ETABLISSEMENT 7",Base!L:L,"5",Base!J:J,"&gt;0")</f>
        <v>0</v>
      </c>
      <c r="AK8">
        <f>SUMIFS(Base!O:O,Base!V:V,"ETABLISSEMENT 7",Base!L:L,"5",Base!J:J,"&gt;0")</f>
        <v>0</v>
      </c>
    </row>
    <row r="9" spans="1:37">
      <c r="A9" t="s">
        <v>22</v>
      </c>
      <c r="B9">
        <f>COUNTIFS(Base!V:V,"ETABLISSEMENT 8")</f>
        <v>0</v>
      </c>
      <c r="C9">
        <f>COUNTIFS(Base!V:V,"ETABLISSEMENT 8",Base!J:J,"0")</f>
        <v>0</v>
      </c>
      <c r="D9">
        <f t="shared" si="0"/>
        <v>0</v>
      </c>
      <c r="E9">
        <f>COUNTIFS(Base!V:V,"ETABLISSEMENT 8",Base!D:D,"D")</f>
        <v>0</v>
      </c>
      <c r="F9">
        <f>COUNTIFS(Base!V:V,"ETABLISSEMENT 8",Base!D:D,"F")</f>
        <v>0</v>
      </c>
      <c r="G9">
        <f>COUNTIFS(Base!V:V,"ETABLISSEMENT 8",Base!R:R,"X")</f>
        <v>0</v>
      </c>
      <c r="H9">
        <f>COUNTIFS(Base!V:V,"ETABLISSEMENT 8",Base!R:R,"X",Base!L:L,"&gt;0")</f>
        <v>0</v>
      </c>
      <c r="I9">
        <f>COUNTIFS(Base!V:V,"ETABLISSEMENT 8",Base!S:S,"X")</f>
        <v>0</v>
      </c>
      <c r="J9">
        <f>COUNTIFS(Base!V:V,"ETABLISSEMENT 8",Base!S:S,"X",Base!J:J,"&gt;0")</f>
        <v>0</v>
      </c>
      <c r="K9">
        <f>COUNTIFS(Base!V:V,"ETABLISSEMENT 8",Base!T:T,"X")</f>
        <v>0</v>
      </c>
      <c r="L9">
        <f>COUNTIFS(Base!V:V,"ETABLISSEMENT 8",Base!T:T,"X",Base!J:J,"&gt;0")</f>
        <v>0</v>
      </c>
      <c r="M9">
        <f>COUNTIFS(Base!V:V,"ETABLISSEMENT 8",Base!U:U,"X")</f>
        <v>0</v>
      </c>
      <c r="N9">
        <f>COUNTIFS(Base!V:V,"ETABLISSEMENT 8",Base!U:U,"X",Base!J:J,"&gt;0")</f>
        <v>0</v>
      </c>
      <c r="O9">
        <f>SUMIFS(Base!P:P,Base!V:V,"ETABLISSEMENT 8")</f>
        <v>0</v>
      </c>
      <c r="P9">
        <f>SUMIFS(Base!Q:Q,Base!V:V,"ETABLISSEMENT 8")</f>
        <v>0</v>
      </c>
      <c r="Q9">
        <f>COUNTIFS(Base!V:V,"ETABLISSEMENT 8",Base!Q:Q,"",Base!J:J,"&gt;0")</f>
        <v>0</v>
      </c>
      <c r="R9">
        <f>COUNTIFS(Base!V:V,"ETABLISSEMENT 8",Base!D:D,"D")</f>
        <v>0</v>
      </c>
      <c r="S9">
        <f>COUNTIFS(Base!V:V,"ETABLISSEMENT 8",Base!Q:Q,"",Base!J:J,"0")</f>
        <v>0</v>
      </c>
      <c r="T9">
        <f>COUNTIFS(Base!V:V,"ETABLISSEMENT 8",Base!K:K,"REGULIER",Base!J:J,"&gt;0")</f>
        <v>0</v>
      </c>
      <c r="U9">
        <f>COUNTIFS(Base!V:V,"ETABLISSEMENT 8",Base!K:K,"PERISCOLAIRE",Base!J:J,"&gt;0")</f>
        <v>0</v>
      </c>
      <c r="V9">
        <f>COUNTIFS(Base!V:V,"ETABLISSEMENT 8",Base!K:K,"OCCASIONNEL",Base!J:J,"&gt;0")</f>
        <v>0</v>
      </c>
      <c r="W9">
        <f>COUNTIFS(Base!V:V,"ETABLISSEMENT 8",Base!L:L,"1",Base!J:J,"&gt;0")</f>
        <v>0</v>
      </c>
      <c r="X9">
        <f>SUMIFS(Base!M:M,Base!V:V,"ETABLISSEMENT 8",Base!L:L,"1",Base!J:J,"&gt;0")</f>
        <v>0</v>
      </c>
      <c r="Y9">
        <f>SUMIFS(Base!O:O,Base!V:V,"ETABLISSEMENT 8",Base!L:L,"1",Base!J:J,"&gt;0")</f>
        <v>0</v>
      </c>
      <c r="Z9">
        <f>COUNTIFS(Base!V:V,"ETABLISSEMENT 8",Base!L:L,"2",Base!J:J,"&gt;0")</f>
        <v>0</v>
      </c>
      <c r="AA9">
        <f>SUMIFS(Base!M:M,Base!V:V,"ETABLISSEMENT 8",Base!L:L,"2",Base!J:J,"&gt;0")</f>
        <v>0</v>
      </c>
      <c r="AB9">
        <f>SUMIFS(Base!O:O,Base!V:V,"ETABLISSEMENT 8",Base!L:L,"2",Base!J:J,"&gt;0")</f>
        <v>0</v>
      </c>
      <c r="AC9">
        <f>COUNTIFS(Base!V:V,"ETABLISSEMENT 8",Base!L:L,"3",Base!J:J,"&gt;0")</f>
        <v>0</v>
      </c>
      <c r="AD9">
        <f>SUMIFS(Base!M:M,Base!V:V,"ETABLISSEMENT 8",Base!L:L,"3",Base!J:J,"&gt;0")</f>
        <v>0</v>
      </c>
      <c r="AE9">
        <f>SUMIFS(Base!O:O,Base!V:V,"ETABLISSEMENT 8",Base!L:L,"3",Base!J:J,"&gt;0")</f>
        <v>0</v>
      </c>
      <c r="AF9">
        <f>COUNTIFS(Base!V:V,"ETABLISSEMENT 8",Base!L:L,"4",Base!J:J,"&gt;0")</f>
        <v>0</v>
      </c>
      <c r="AG9">
        <f>SUMIFS(Base!M:M,Base!V:V,"ETABLISSEMENT 8",Base!L:L,"4",Base!J:J,"&gt;0")</f>
        <v>0</v>
      </c>
      <c r="AH9">
        <f>SUMIFS(Base!O:O,Base!V:V,"ETABLISSEMENT 8",Base!L:L,"4",Base!J:J,"&gt;0")</f>
        <v>0</v>
      </c>
      <c r="AI9">
        <f>COUNTIFS(Base!V:V,"ETABLISSEMENT 8",Base!L:L,"5",Base!J:J,"&gt;0")</f>
        <v>0</v>
      </c>
      <c r="AJ9">
        <f>SUMIFS(Base!M:M,Base!V:V,"ETABLISSEMENT 8",Base!L:L,"5",Base!J:J,"&gt;0")</f>
        <v>0</v>
      </c>
      <c r="AK9">
        <f>SUMIFS(Base!O:O,Base!V:V,"ETABLISSEMENT 8",Base!L:L,"5",Base!J:J,"&gt;0")</f>
        <v>0</v>
      </c>
    </row>
    <row r="10" spans="1:37">
      <c r="A10" t="s">
        <v>23</v>
      </c>
      <c r="B10">
        <f>COUNTIFS(Base!V:V,"ETABLISSEMENT 9")</f>
        <v>0</v>
      </c>
      <c r="C10">
        <f>COUNTIFS(Base!V:V,"ETABLISSEMENT 9",Base!J:J,"0")</f>
        <v>0</v>
      </c>
      <c r="D10">
        <f t="shared" si="0"/>
        <v>0</v>
      </c>
      <c r="E10">
        <f>COUNTIFS(Base!V:V,"ETABLISSEMENT 9",Base!D:D,"D")</f>
        <v>0</v>
      </c>
      <c r="F10">
        <f>COUNTIFS(Base!V:V,"ETABLISSEMENT 9",Base!D:D,"F")</f>
        <v>0</v>
      </c>
      <c r="G10">
        <f>COUNTIFS(Base!V:V,"ETABLISSEMENT 9",Base!R:R,"X")</f>
        <v>0</v>
      </c>
      <c r="H10">
        <f>COUNTIFS(Base!V:V,"ETABLISSEMENT 9",Base!R:R,"X",Base!L:L,"&gt;0")</f>
        <v>0</v>
      </c>
      <c r="I10">
        <f>COUNTIFS(Base!V:V,"ETABLISSEMENT 9",Base!S:S,"X")</f>
        <v>0</v>
      </c>
      <c r="J10">
        <f>COUNTIFS(Base!V:V,"ETABLISSEMENT 9",Base!S:S,"X",Base!J:J,"&gt;0")</f>
        <v>0</v>
      </c>
      <c r="K10">
        <f>COUNTIFS(Base!V:V,"ETABLISSEMENT 9",Base!T:T,"X")</f>
        <v>0</v>
      </c>
      <c r="L10">
        <f>COUNTIFS(Base!V:V,"ETABLISSEMENT 9",Base!T:T,"X",Base!J:J,"&gt;0")</f>
        <v>0</v>
      </c>
      <c r="M10">
        <f>COUNTIFS(Base!V:V,"ETABLISSEMENT 9",Base!U:U,"X")</f>
        <v>0</v>
      </c>
      <c r="N10">
        <f>COUNTIFS(Base!V:V,"ETABLISSEMENT 9",Base!U:U,"X",Base!J:J,"&gt;0")</f>
        <v>0</v>
      </c>
      <c r="O10">
        <f>SUMIFS(Base!P:P,Base!V:V,"ETABLISSEMENT 9")</f>
        <v>0</v>
      </c>
      <c r="P10">
        <f>SUMIFS(Base!Q:Q,Base!V:V,"ETABLISSEMENT 9")</f>
        <v>0</v>
      </c>
      <c r="Q10">
        <f>COUNTIFS(Base!V:V,"ETABLISSEMENT 9",Base!Q:Q,"",Base!J:J,"&gt;0")</f>
        <v>0</v>
      </c>
      <c r="R10">
        <f>COUNTIFS(Base!V:V,"ETABLISSEMENT 9",Base!D:D,"D")</f>
        <v>0</v>
      </c>
      <c r="S10">
        <f>COUNTIFS(Base!V:V,"ETABLISSEMENT 9",Base!Q:Q,"",Base!J:J,"0")</f>
        <v>0</v>
      </c>
      <c r="T10">
        <f>COUNTIFS(Base!V:V,"ETABLISSEMENT 9",Base!K:K,"REGULIER",Base!J:J,"&gt;0")</f>
        <v>0</v>
      </c>
      <c r="U10">
        <f>COUNTIFS(Base!V:V,"ETABLISSEMENT 9",Base!K:K,"PERISCOLAIRE",Base!J:J,"&gt;0")</f>
        <v>0</v>
      </c>
      <c r="V10">
        <f>COUNTIFS(Base!V:V,"ETABLISSEMENT 9",Base!K:K,"OCCASIONNEL",Base!J:J,"&gt;0")</f>
        <v>0</v>
      </c>
      <c r="W10">
        <f>COUNTIFS(Base!V:V,"ETABLISSEMENT 9",Base!L:L,"1",Base!J:J,"&gt;0")</f>
        <v>0</v>
      </c>
      <c r="X10">
        <f>SUMIFS(Base!M:M,Base!V:V,"ETABLISSEMENT 9",Base!L:L,"1",Base!J:J,"&gt;0")</f>
        <v>0</v>
      </c>
      <c r="Y10">
        <f>SUMIFS(Base!O:O,Base!V:V,"ETABLISSEMENT 9",Base!L:L,"1",Base!J:J,"&gt;0")</f>
        <v>0</v>
      </c>
      <c r="Z10">
        <f>COUNTIFS(Base!V:V,"ETABLISSEMENT 9",Base!L:L,"2",Base!J:J,"&gt;0")</f>
        <v>0</v>
      </c>
      <c r="AA10">
        <f>SUMIFS(Base!M:M,Base!V:V,"ETABLISSEMENT 9",Base!L:L,"2",Base!J:J,"&gt;0")</f>
        <v>0</v>
      </c>
      <c r="AB10">
        <f>SUMIFS(Base!O:O,Base!V:V,"ETABLISSEMENT 9",Base!L:L,"2",Base!J:J,"&gt;0")</f>
        <v>0</v>
      </c>
      <c r="AC10">
        <f>COUNTIFS(Base!V:V,"ETABLISSEMENT 9",Base!L:L,"3",Base!J:J,"&gt;0")</f>
        <v>0</v>
      </c>
      <c r="AD10">
        <f>SUMIFS(Base!M:M,Base!V:V,"ETABLISSEMENT 9",Base!L:L,"3",Base!J:J,"&gt;0")</f>
        <v>0</v>
      </c>
      <c r="AE10">
        <f>SUMIFS(Base!O:O,Base!V:V,"ETABLISSEMENT 9",Base!L:L,"3",Base!J:J,"&gt;0")</f>
        <v>0</v>
      </c>
      <c r="AF10">
        <f>COUNTIFS(Base!V:V,"ETABLISSEMENT 9",Base!L:L,"4",Base!J:J,"&gt;0")</f>
        <v>0</v>
      </c>
      <c r="AG10">
        <f>SUMIFS(Base!M:M,Base!V:V,"ETABLISSEMENT 9",Base!L:L,"4",Base!J:J,"&gt;0")</f>
        <v>0</v>
      </c>
      <c r="AH10">
        <f>SUMIFS(Base!O:O,Base!V:V,"ETABLISSEMENT 9",Base!L:L,"4",Base!J:J,"&gt;0")</f>
        <v>0</v>
      </c>
      <c r="AI10">
        <f>COUNTIFS(Base!V:V,"ETABLISSEMENT 9",Base!L:L,"5",Base!J:J,"&gt;0")</f>
        <v>0</v>
      </c>
      <c r="AJ10">
        <f>SUMIFS(Base!M:M,Base!V:V,"ETABLISSEMENT 9",Base!L:L,"5",Base!J:J,"&gt;0")</f>
        <v>0</v>
      </c>
      <c r="AK10">
        <f>SUMIFS(Base!O:O,Base!V:V,"ETABLISSEMENT 9",Base!L:L,"5",Base!J:J,"&gt;0")</f>
        <v>0</v>
      </c>
    </row>
    <row r="11" spans="1:37">
      <c r="A11" t="s">
        <v>55</v>
      </c>
      <c r="B11" s="8">
        <f>SUM(B2:B10)</f>
        <v>6</v>
      </c>
      <c r="C11" s="8">
        <f ca="1">SUM(C2:C10)</f>
        <v>1</v>
      </c>
      <c r="D11" s="8">
        <f ca="1">SUM(D2:D10)</f>
        <v>5</v>
      </c>
      <c r="E11" s="8">
        <f>SUM(E2:E10)</f>
        <v>1</v>
      </c>
      <c r="F11" s="8">
        <f>SUM(F2:F10)</f>
        <v>1</v>
      </c>
      <c r="G11" s="8">
        <f t="shared" ref="G11:J11" si="1">SUM(G2:G10)</f>
        <v>1</v>
      </c>
      <c r="H11" s="8">
        <f t="shared" si="1"/>
        <v>1</v>
      </c>
      <c r="I11" s="8">
        <f t="shared" si="1"/>
        <v>0</v>
      </c>
      <c r="J11" s="8">
        <f t="shared" si="1"/>
        <v>0</v>
      </c>
      <c r="K11" s="8">
        <f t="shared" ref="K11" si="2">SUM(K2:K10)</f>
        <v>1</v>
      </c>
      <c r="L11" s="8">
        <f t="shared" ref="L11" ca="1" si="3">SUM(L2:L10)</f>
        <v>1</v>
      </c>
      <c r="M11" s="8">
        <f t="shared" ref="M11" si="4">SUM(M2:M10)</f>
        <v>0</v>
      </c>
      <c r="N11" s="8">
        <f t="shared" ref="N11" si="5">SUM(N2:N10)</f>
        <v>0</v>
      </c>
      <c r="O11" s="8">
        <f t="shared" ref="O11" si="6">SUM(O2:O10)</f>
        <v>0</v>
      </c>
      <c r="P11" s="8">
        <f t="shared" ref="P11" si="7">SUM(P2:P10)</f>
        <v>0</v>
      </c>
      <c r="Q11" s="8">
        <f t="shared" ref="Q11" ca="1" si="8">SUM(Q2:Q10)</f>
        <v>4</v>
      </c>
      <c r="R11" s="8">
        <f t="shared" ref="R11" si="9">SUM(R2:R10)</f>
        <v>1</v>
      </c>
      <c r="S11" s="8">
        <f t="shared" ref="S11" ca="1" si="10">SUM(S2:S10)</f>
        <v>1</v>
      </c>
      <c r="T11" s="8">
        <f t="shared" ref="T11" ca="1" si="11">SUM(T2:T10)</f>
        <v>4</v>
      </c>
      <c r="U11" s="8">
        <f t="shared" ref="U11" si="12">SUM(U2:U10)</f>
        <v>0</v>
      </c>
      <c r="V11" s="8">
        <f t="shared" ref="V11" si="13">SUM(V2:V10)</f>
        <v>0</v>
      </c>
      <c r="W11" s="8">
        <f t="shared" ref="W11" si="14">SUM(W2:W10)</f>
        <v>0</v>
      </c>
      <c r="X11" s="8">
        <f t="shared" ref="X11" si="15">SUM(X2:X10)</f>
        <v>0</v>
      </c>
      <c r="Y11" s="8">
        <f t="shared" ref="Y11" si="16">SUM(Y2:Y10)</f>
        <v>0</v>
      </c>
      <c r="Z11" s="8">
        <f t="shared" ref="Z11" si="17">SUM(Z2:Z10)</f>
        <v>0</v>
      </c>
      <c r="AA11" s="8">
        <f t="shared" ref="AA11" si="18">SUM(AA2:AA10)</f>
        <v>0</v>
      </c>
      <c r="AB11" s="8">
        <f t="shared" ref="AB11" si="19">SUM(AB2:AB10)</f>
        <v>0</v>
      </c>
      <c r="AC11" s="8">
        <f t="shared" ref="AC11" si="20">SUM(AC2:AC10)</f>
        <v>0</v>
      </c>
      <c r="AD11" s="8">
        <f t="shared" ref="AD11" si="21">SUM(AD2:AD10)</f>
        <v>0</v>
      </c>
      <c r="AE11" s="8">
        <f t="shared" ref="AE11" si="22">SUM(AE2:AE10)</f>
        <v>0</v>
      </c>
      <c r="AF11" s="8">
        <f t="shared" ref="AF11" ca="1" si="23">SUM(AF2:AF10)</f>
        <v>3</v>
      </c>
      <c r="AG11" s="8">
        <f t="shared" ref="AG11" ca="1" si="24">SUM(AG2:AG10)</f>
        <v>550.5</v>
      </c>
      <c r="AH11" s="8">
        <f t="shared" ref="AH11" ca="1" si="25">SUM(AH2:AH10)</f>
        <v>665.75</v>
      </c>
      <c r="AI11" s="8">
        <f t="shared" ref="AI11" ca="1" si="26">SUM(AI2:AI10)</f>
        <v>2</v>
      </c>
      <c r="AJ11" s="8">
        <f t="shared" ref="AJ11" ca="1" si="27">SUM(AJ2:AJ10)</f>
        <v>150</v>
      </c>
      <c r="AK11" s="8">
        <f t="shared" ref="AK11" ca="1" si="28">SUM(AK2:AK10)</f>
        <v>300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05">
    <pageSetUpPr fitToPage="1"/>
  </sheetPr>
  <dimension ref="A1:T41"/>
  <sheetViews>
    <sheetView workbookViewId="0">
      <selection activeCell="C3" sqref="C3"/>
    </sheetView>
  </sheetViews>
  <sheetFormatPr defaultColWidth="11.42578125" defaultRowHeight="15"/>
  <cols>
    <col min="1" max="2" width="3.7109375" customWidth="1"/>
    <col min="3" max="3" width="13.28515625" customWidth="1"/>
    <col min="4" max="4" width="3.7109375" customWidth="1"/>
    <col min="5" max="5" width="13.28515625" customWidth="1"/>
    <col min="6" max="6" width="3.7109375" customWidth="1"/>
    <col min="7" max="7" width="13.28515625" customWidth="1"/>
    <col min="8" max="8" width="3.7109375" customWidth="1"/>
    <col min="9" max="9" width="13.42578125" customWidth="1"/>
    <col min="10" max="13" width="3.7109375" customWidth="1"/>
    <col min="14" max="14" width="13.42578125" customWidth="1"/>
    <col min="15" max="15" width="3.7109375" customWidth="1"/>
    <col min="16" max="16" width="13.42578125" customWidth="1"/>
    <col min="17" max="17" width="3.7109375" customWidth="1"/>
    <col min="18" max="18" width="13.42578125" customWidth="1"/>
    <col min="19" max="20" width="3.7109375" customWidth="1"/>
  </cols>
  <sheetData>
    <row r="1" spans="1:20" ht="17.100000000000001" customHeight="1">
      <c r="A1" s="14"/>
      <c r="B1" s="12"/>
      <c r="C1" s="24" t="s">
        <v>81</v>
      </c>
      <c r="D1" s="30"/>
      <c r="E1" s="13"/>
      <c r="F1" s="13"/>
      <c r="G1" s="13"/>
      <c r="H1" s="13"/>
      <c r="I1" s="72"/>
      <c r="J1" s="72" t="s">
        <v>60</v>
      </c>
      <c r="K1" s="71"/>
      <c r="L1" s="72"/>
      <c r="M1" s="72"/>
      <c r="N1" s="13"/>
      <c r="O1" s="13"/>
      <c r="P1" s="13"/>
      <c r="Q1" s="30"/>
      <c r="R1" s="25" t="s">
        <v>85</v>
      </c>
      <c r="S1" s="12"/>
      <c r="T1" s="11"/>
    </row>
    <row r="2" spans="1:20" ht="5.0999999999999996" customHeight="1">
      <c r="A2" s="10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1"/>
    </row>
    <row r="3" spans="1:20" ht="17.100000000000001" customHeight="1">
      <c r="A3" s="10"/>
      <c r="B3" s="12"/>
      <c r="C3" s="24">
        <v>2017</v>
      </c>
      <c r="D3" s="17"/>
      <c r="E3" s="12"/>
      <c r="F3" s="15"/>
      <c r="G3" s="12"/>
      <c r="H3" s="15"/>
      <c r="I3" s="19"/>
      <c r="J3" s="19"/>
      <c r="K3" s="16"/>
      <c r="L3" s="15"/>
      <c r="M3" s="15"/>
      <c r="N3" s="12"/>
      <c r="O3" s="12"/>
      <c r="P3" s="12"/>
      <c r="Q3" s="12"/>
      <c r="R3" s="127">
        <v>5</v>
      </c>
      <c r="S3" s="12"/>
      <c r="T3" s="11"/>
    </row>
    <row r="4" spans="1:20" ht="5.0999999999999996" customHeight="1">
      <c r="A4" s="10"/>
      <c r="B4" s="12"/>
      <c r="C4" s="17"/>
      <c r="D4" s="17"/>
      <c r="E4" s="12"/>
      <c r="F4" s="15"/>
      <c r="G4" s="18"/>
      <c r="H4" s="15"/>
      <c r="I4" s="19"/>
      <c r="J4" s="19"/>
      <c r="K4" s="16"/>
      <c r="L4" s="15"/>
      <c r="M4" s="15"/>
      <c r="N4" s="12"/>
      <c r="O4" s="12"/>
      <c r="P4" s="12"/>
      <c r="Q4" s="12"/>
      <c r="R4" s="12"/>
      <c r="S4" s="12"/>
      <c r="T4" s="11"/>
    </row>
    <row r="5" spans="1:20" ht="15.75" customHeight="1">
      <c r="A5" s="10"/>
      <c r="B5" s="12"/>
      <c r="C5" s="12"/>
      <c r="D5" s="17"/>
      <c r="E5" s="17"/>
      <c r="F5" s="15"/>
      <c r="G5" s="18"/>
      <c r="H5" s="15"/>
      <c r="I5" s="21"/>
      <c r="J5" s="21"/>
      <c r="K5" s="16"/>
      <c r="L5" s="15"/>
      <c r="M5" s="15"/>
      <c r="N5" s="12"/>
      <c r="O5" s="12"/>
      <c r="P5" s="12"/>
      <c r="Q5" s="12"/>
      <c r="R5" s="12"/>
      <c r="S5" s="12"/>
      <c r="T5" s="11"/>
    </row>
    <row r="6" spans="1:20" ht="15.75" customHeight="1">
      <c r="A6" s="10"/>
      <c r="B6" s="14"/>
      <c r="C6" s="14"/>
      <c r="D6" s="16"/>
      <c r="E6" s="14"/>
      <c r="F6" s="14"/>
      <c r="G6" s="14"/>
      <c r="H6" s="15"/>
      <c r="I6" s="20"/>
      <c r="J6" s="54"/>
      <c r="K6" s="16"/>
      <c r="L6" s="15"/>
      <c r="M6" s="15"/>
      <c r="N6" s="12"/>
      <c r="O6" s="12"/>
      <c r="P6" s="12"/>
      <c r="Q6" s="12"/>
      <c r="R6" s="12"/>
      <c r="S6" s="12"/>
      <c r="T6" s="11"/>
    </row>
    <row r="7" spans="1:20" ht="15" customHeight="1">
      <c r="A7" s="10"/>
      <c r="B7" s="31"/>
      <c r="C7" s="46" t="s">
        <v>86</v>
      </c>
      <c r="D7" s="60"/>
      <c r="E7" s="47" t="s">
        <v>87</v>
      </c>
      <c r="F7" s="47"/>
      <c r="G7" s="48" t="s">
        <v>88</v>
      </c>
      <c r="H7" s="37"/>
      <c r="I7" s="48" t="s">
        <v>35</v>
      </c>
      <c r="J7" s="39"/>
      <c r="K7" s="16"/>
      <c r="L7" s="52"/>
      <c r="M7" s="38"/>
      <c r="N7" s="46" t="s">
        <v>89</v>
      </c>
      <c r="O7" s="37"/>
      <c r="P7" s="46" t="s">
        <v>90</v>
      </c>
      <c r="Q7" s="37"/>
      <c r="R7" s="46" t="s">
        <v>91</v>
      </c>
      <c r="S7" s="32"/>
      <c r="T7" s="11"/>
    </row>
    <row r="8" spans="1:20" ht="5.0999999999999996" customHeight="1">
      <c r="A8" s="10"/>
      <c r="B8" s="33"/>
      <c r="C8" s="22"/>
      <c r="D8" s="61"/>
      <c r="E8" s="23"/>
      <c r="F8" s="23"/>
      <c r="G8" s="26"/>
      <c r="H8" s="16"/>
      <c r="I8" s="16"/>
      <c r="J8" s="40"/>
      <c r="K8" s="16"/>
      <c r="L8" s="53"/>
      <c r="M8" s="15"/>
      <c r="N8" s="16"/>
      <c r="O8" s="16"/>
      <c r="P8" s="16"/>
      <c r="Q8" s="16"/>
      <c r="R8" s="16"/>
      <c r="S8" s="34"/>
      <c r="T8" s="11"/>
    </row>
    <row r="9" spans="1:20" ht="15" customHeight="1">
      <c r="A9" s="10"/>
      <c r="B9" s="33"/>
      <c r="C9" s="125">
        <v>5</v>
      </c>
      <c r="D9" s="16"/>
      <c r="E9" s="125">
        <v>0</v>
      </c>
      <c r="F9" s="16"/>
      <c r="G9" s="126">
        <v>1</v>
      </c>
      <c r="H9" s="16"/>
      <c r="I9" s="126">
        <v>1</v>
      </c>
      <c r="J9" s="34"/>
      <c r="K9" s="16"/>
      <c r="L9" s="53"/>
      <c r="M9" s="15"/>
      <c r="N9" s="125">
        <v>4</v>
      </c>
      <c r="O9" s="16"/>
      <c r="P9" s="27">
        <v>0</v>
      </c>
      <c r="Q9" s="16"/>
      <c r="R9" s="27">
        <v>0</v>
      </c>
      <c r="S9" s="34"/>
      <c r="T9" s="11"/>
    </row>
    <row r="10" spans="1:20" ht="15" customHeight="1">
      <c r="A10" s="14"/>
      <c r="B10" s="33"/>
      <c r="C10" s="16"/>
      <c r="D10" s="16"/>
      <c r="E10" s="16"/>
      <c r="F10" s="16"/>
      <c r="G10" s="16"/>
      <c r="H10" s="16"/>
      <c r="I10" s="44"/>
      <c r="J10" s="40"/>
      <c r="K10" s="16"/>
      <c r="L10" s="53"/>
      <c r="M10" s="15"/>
      <c r="N10" s="16"/>
      <c r="O10" s="16"/>
      <c r="P10" s="16"/>
      <c r="Q10" s="16"/>
      <c r="R10" s="16"/>
      <c r="S10" s="34"/>
      <c r="T10" s="11"/>
    </row>
    <row r="11" spans="1:20">
      <c r="A11" s="14"/>
      <c r="B11" s="33"/>
      <c r="C11" s="26" t="s">
        <v>11</v>
      </c>
      <c r="D11" s="16"/>
      <c r="E11" s="26" t="s">
        <v>92</v>
      </c>
      <c r="F11" s="16"/>
      <c r="G11" s="26" t="s">
        <v>93</v>
      </c>
      <c r="H11" s="16"/>
      <c r="I11" s="26" t="s">
        <v>92</v>
      </c>
      <c r="J11" s="40"/>
      <c r="K11" s="16"/>
      <c r="L11" s="53"/>
      <c r="M11" s="15"/>
      <c r="N11" s="26" t="s">
        <v>94</v>
      </c>
      <c r="O11" s="16"/>
      <c r="P11" s="58" t="s">
        <v>95</v>
      </c>
      <c r="Q11" s="16"/>
      <c r="R11" s="26" t="s">
        <v>96</v>
      </c>
      <c r="S11" s="34"/>
      <c r="T11" s="11"/>
    </row>
    <row r="12" spans="1:20" ht="5.0999999999999996" customHeight="1">
      <c r="A12" s="14"/>
      <c r="B12" s="33"/>
      <c r="C12" s="16"/>
      <c r="D12" s="16"/>
      <c r="E12" s="16"/>
      <c r="F12" s="16"/>
      <c r="G12" s="16"/>
      <c r="H12" s="16"/>
      <c r="I12" s="59"/>
      <c r="J12" s="40"/>
      <c r="K12" s="16"/>
      <c r="L12" s="53"/>
      <c r="M12" s="15"/>
      <c r="N12" s="16"/>
      <c r="O12" s="16"/>
      <c r="P12" s="16"/>
      <c r="Q12" s="16"/>
      <c r="R12" s="16"/>
      <c r="S12" s="34"/>
      <c r="T12" s="11"/>
    </row>
    <row r="13" spans="1:20">
      <c r="A13" s="14"/>
      <c r="B13" s="33"/>
      <c r="C13" s="126">
        <v>1</v>
      </c>
      <c r="D13" s="16"/>
      <c r="E13" s="126">
        <v>1</v>
      </c>
      <c r="F13" s="16"/>
      <c r="G13" s="126">
        <v>0</v>
      </c>
      <c r="H13" s="16"/>
      <c r="I13" s="126">
        <v>0</v>
      </c>
      <c r="J13" s="40"/>
      <c r="K13" s="16"/>
      <c r="L13" s="53"/>
      <c r="M13" s="15"/>
      <c r="N13" s="126">
        <v>0</v>
      </c>
      <c r="O13" s="16"/>
      <c r="P13" s="122">
        <v>0</v>
      </c>
      <c r="Q13" s="16"/>
      <c r="R13" s="123">
        <v>0</v>
      </c>
      <c r="S13" s="34"/>
      <c r="T13" s="11"/>
    </row>
    <row r="14" spans="1:20">
      <c r="A14" s="14"/>
      <c r="B14" s="33"/>
      <c r="C14" s="16"/>
      <c r="D14" s="16"/>
      <c r="E14" s="16"/>
      <c r="F14" s="16"/>
      <c r="G14" s="16"/>
      <c r="H14" s="16"/>
      <c r="I14" s="44"/>
      <c r="J14" s="40"/>
      <c r="K14" s="16"/>
      <c r="L14" s="53"/>
      <c r="M14" s="15"/>
      <c r="N14" s="16"/>
      <c r="O14" s="16"/>
      <c r="P14" s="16"/>
      <c r="Q14" s="16"/>
      <c r="R14" s="16"/>
      <c r="S14" s="34"/>
      <c r="T14" s="11"/>
    </row>
    <row r="15" spans="1:20">
      <c r="A15" s="14"/>
      <c r="B15" s="33"/>
      <c r="C15" s="26" t="s">
        <v>97</v>
      </c>
      <c r="D15" s="16"/>
      <c r="E15" s="26" t="s">
        <v>92</v>
      </c>
      <c r="F15" s="16"/>
      <c r="G15" s="26" t="s">
        <v>48</v>
      </c>
      <c r="H15" s="16"/>
      <c r="I15" s="26" t="s">
        <v>92</v>
      </c>
      <c r="J15" s="40"/>
      <c r="K15" s="16"/>
      <c r="L15" s="53"/>
      <c r="M15" s="15"/>
      <c r="N15" s="26" t="s">
        <v>98</v>
      </c>
      <c r="O15" s="16"/>
      <c r="P15" s="58" t="s">
        <v>95</v>
      </c>
      <c r="Q15" s="16"/>
      <c r="R15" s="26" t="s">
        <v>96</v>
      </c>
      <c r="S15" s="34"/>
      <c r="T15" s="11"/>
    </row>
    <row r="16" spans="1:20" ht="5.0999999999999996" customHeight="1">
      <c r="A16" s="14"/>
      <c r="B16" s="33"/>
      <c r="C16" s="16"/>
      <c r="D16" s="16"/>
      <c r="E16" s="16"/>
      <c r="F16" s="16"/>
      <c r="G16" s="16"/>
      <c r="H16" s="16"/>
      <c r="I16" s="16"/>
      <c r="J16" s="40"/>
      <c r="K16" s="16"/>
      <c r="L16" s="53"/>
      <c r="M16" s="15"/>
      <c r="N16" s="16"/>
      <c r="O16" s="16"/>
      <c r="P16" s="16"/>
      <c r="Q16" s="16"/>
      <c r="R16" s="16"/>
      <c r="S16" s="34"/>
      <c r="T16" s="11"/>
    </row>
    <row r="17" spans="1:20">
      <c r="A17" s="14"/>
      <c r="B17" s="33"/>
      <c r="C17" s="126">
        <v>1</v>
      </c>
      <c r="D17" s="16"/>
      <c r="E17" s="126">
        <v>1</v>
      </c>
      <c r="F17" s="16"/>
      <c r="G17" s="126">
        <v>0</v>
      </c>
      <c r="H17" s="16"/>
      <c r="I17" s="126">
        <v>0</v>
      </c>
      <c r="J17" s="40"/>
      <c r="K17" s="16"/>
      <c r="L17" s="53"/>
      <c r="M17" s="15"/>
      <c r="N17" s="126">
        <v>0</v>
      </c>
      <c r="O17" s="16"/>
      <c r="P17" s="122">
        <v>0</v>
      </c>
      <c r="Q17" s="16"/>
      <c r="R17" s="124">
        <v>0</v>
      </c>
      <c r="S17" s="34"/>
      <c r="T17" s="11"/>
    </row>
    <row r="18" spans="1:20">
      <c r="A18" s="14"/>
      <c r="B18" s="33"/>
      <c r="C18" s="16"/>
      <c r="D18" s="16"/>
      <c r="E18" s="16"/>
      <c r="F18" s="16"/>
      <c r="G18" s="16"/>
      <c r="H18" s="16"/>
      <c r="I18" s="44"/>
      <c r="J18" s="40"/>
      <c r="K18" s="16"/>
      <c r="L18" s="53"/>
      <c r="M18" s="15"/>
      <c r="N18" s="16"/>
      <c r="O18" s="16"/>
      <c r="P18" s="16"/>
      <c r="Q18" s="16"/>
      <c r="R18" s="16"/>
      <c r="S18" s="34"/>
      <c r="T18" s="11"/>
    </row>
    <row r="19" spans="1:20">
      <c r="A19" s="34"/>
      <c r="B19" s="33"/>
      <c r="C19" s="16"/>
      <c r="D19" s="16"/>
      <c r="E19" s="26" t="s">
        <v>44</v>
      </c>
      <c r="F19" s="16"/>
      <c r="G19" s="26" t="s">
        <v>45</v>
      </c>
      <c r="H19" s="16"/>
      <c r="I19" s="16"/>
      <c r="J19" s="40"/>
      <c r="K19" s="16"/>
      <c r="L19" s="53"/>
      <c r="M19" s="15"/>
      <c r="N19" s="26" t="s">
        <v>99</v>
      </c>
      <c r="O19" s="16"/>
      <c r="P19" s="58" t="s">
        <v>95</v>
      </c>
      <c r="Q19" s="16"/>
      <c r="R19" s="26" t="s">
        <v>96</v>
      </c>
      <c r="S19" s="34"/>
      <c r="T19" s="11"/>
    </row>
    <row r="20" spans="1:20" ht="5.0999999999999996" customHeight="1">
      <c r="A20" s="14"/>
      <c r="B20" s="33"/>
      <c r="C20" s="16"/>
      <c r="D20" s="16"/>
      <c r="E20" s="16"/>
      <c r="F20" s="16"/>
      <c r="G20" s="16"/>
      <c r="H20" s="16"/>
      <c r="I20" s="16"/>
      <c r="J20" s="40"/>
      <c r="K20" s="16"/>
      <c r="L20" s="53"/>
      <c r="M20" s="15"/>
      <c r="N20" s="26"/>
      <c r="O20" s="16"/>
      <c r="P20" s="16"/>
      <c r="Q20" s="16"/>
      <c r="R20" s="16"/>
      <c r="S20" s="34"/>
      <c r="T20" s="11"/>
    </row>
    <row r="21" spans="1:20">
      <c r="A21" s="14"/>
      <c r="B21" s="33"/>
      <c r="C21" s="16"/>
      <c r="D21" s="16"/>
      <c r="E21" s="126">
        <v>0</v>
      </c>
      <c r="F21" s="16"/>
      <c r="G21" s="126">
        <v>0</v>
      </c>
      <c r="H21" s="16"/>
      <c r="I21" s="16"/>
      <c r="J21" s="40"/>
      <c r="K21" s="16"/>
      <c r="L21" s="53"/>
      <c r="M21" s="15"/>
      <c r="N21" s="126">
        <v>0</v>
      </c>
      <c r="O21" s="16"/>
      <c r="P21" s="122">
        <v>0</v>
      </c>
      <c r="Q21" s="16"/>
      <c r="R21" s="124">
        <v>0</v>
      </c>
      <c r="S21" s="34"/>
      <c r="T21" s="11"/>
    </row>
    <row r="22" spans="1:20">
      <c r="A22" s="14"/>
      <c r="B22" s="33"/>
      <c r="C22" s="16"/>
      <c r="D22" s="16"/>
      <c r="E22" s="16"/>
      <c r="F22" s="16"/>
      <c r="G22" s="16"/>
      <c r="H22" s="16"/>
      <c r="I22" s="16"/>
      <c r="J22" s="40"/>
      <c r="K22" s="16"/>
      <c r="L22" s="53"/>
      <c r="M22" s="15"/>
      <c r="N22" s="16"/>
      <c r="O22" s="16"/>
      <c r="P22" s="16"/>
      <c r="Q22" s="16"/>
      <c r="R22" s="16"/>
      <c r="S22" s="34"/>
      <c r="T22" s="11"/>
    </row>
    <row r="23" spans="1:20" ht="15.95" customHeight="1">
      <c r="A23" s="14"/>
      <c r="B23" s="33"/>
      <c r="C23" s="15"/>
      <c r="D23" s="15"/>
      <c r="E23" s="29" t="s">
        <v>100</v>
      </c>
      <c r="F23" s="28"/>
      <c r="G23" s="28"/>
      <c r="H23" s="15"/>
      <c r="I23" s="15"/>
      <c r="J23" s="40"/>
      <c r="K23" s="16"/>
      <c r="L23" s="53"/>
      <c r="M23" s="15"/>
      <c r="N23" s="26" t="s">
        <v>101</v>
      </c>
      <c r="O23" s="16"/>
      <c r="P23" s="58" t="s">
        <v>95</v>
      </c>
      <c r="Q23" s="16"/>
      <c r="R23" s="26" t="s">
        <v>96</v>
      </c>
      <c r="S23" s="34"/>
      <c r="T23" s="11"/>
    </row>
    <row r="24" spans="1:20" ht="5.0999999999999996" customHeight="1">
      <c r="A24" s="14"/>
      <c r="B24" s="33"/>
      <c r="C24" s="14"/>
      <c r="D24" s="14"/>
      <c r="E24" s="14"/>
      <c r="F24" s="14"/>
      <c r="G24" s="14"/>
      <c r="H24" s="14"/>
      <c r="I24" s="14"/>
      <c r="J24" s="34"/>
      <c r="K24" s="14"/>
      <c r="L24" s="33"/>
      <c r="M24" s="14"/>
      <c r="N24" s="16"/>
      <c r="O24" s="16"/>
      <c r="P24" s="16"/>
      <c r="Q24" s="16"/>
      <c r="R24" s="16"/>
      <c r="S24" s="34"/>
      <c r="T24" s="11"/>
    </row>
    <row r="25" spans="1:20" ht="15.95" customHeight="1">
      <c r="A25" s="14"/>
      <c r="B25" s="33"/>
      <c r="C25" s="14"/>
      <c r="D25" s="14"/>
      <c r="E25" s="128">
        <f>E21+G21</f>
        <v>0</v>
      </c>
      <c r="F25" s="129"/>
      <c r="G25" s="130"/>
      <c r="H25" s="14"/>
      <c r="I25" s="14"/>
      <c r="J25" s="34"/>
      <c r="K25" s="14"/>
      <c r="L25" s="33"/>
      <c r="M25" s="14"/>
      <c r="N25" s="126">
        <v>2</v>
      </c>
      <c r="O25" s="16"/>
      <c r="P25" s="122">
        <v>360</v>
      </c>
      <c r="Q25" s="16"/>
      <c r="R25" s="123">
        <v>380</v>
      </c>
      <c r="S25" s="34"/>
      <c r="T25" s="11"/>
    </row>
    <row r="26" spans="1:20">
      <c r="A26" s="14"/>
      <c r="B26" s="33"/>
      <c r="C26" s="14"/>
      <c r="D26" s="14"/>
      <c r="E26" s="14"/>
      <c r="F26" s="14"/>
      <c r="G26" s="14"/>
      <c r="H26" s="14"/>
      <c r="I26" s="14"/>
      <c r="J26" s="34"/>
      <c r="K26" s="14"/>
      <c r="L26" s="33"/>
      <c r="M26" s="14"/>
      <c r="N26" s="16"/>
      <c r="O26" s="16"/>
      <c r="P26" s="16"/>
      <c r="Q26" s="16"/>
      <c r="R26" s="16"/>
      <c r="S26" s="34"/>
      <c r="T26" s="11"/>
    </row>
    <row r="27" spans="1:20">
      <c r="A27" s="14"/>
      <c r="B27" s="33"/>
      <c r="C27" s="14"/>
      <c r="D27" s="14"/>
      <c r="E27" s="14"/>
      <c r="F27" s="14"/>
      <c r="G27" s="14"/>
      <c r="H27" s="14"/>
      <c r="I27" s="14"/>
      <c r="J27" s="34"/>
      <c r="K27" s="14"/>
      <c r="L27" s="33"/>
      <c r="M27" s="14"/>
      <c r="N27" s="26" t="s">
        <v>102</v>
      </c>
      <c r="O27" s="16"/>
      <c r="P27" s="58" t="s">
        <v>95</v>
      </c>
      <c r="Q27" s="16"/>
      <c r="R27" s="26" t="s">
        <v>96</v>
      </c>
      <c r="S27" s="34"/>
      <c r="T27" s="11"/>
    </row>
    <row r="28" spans="1:20" ht="5.0999999999999996" customHeight="1">
      <c r="A28" s="14"/>
      <c r="B28" s="33"/>
      <c r="C28" s="14"/>
      <c r="D28" s="14"/>
      <c r="E28" s="14"/>
      <c r="F28" s="14"/>
      <c r="G28" s="14"/>
      <c r="H28" s="14"/>
      <c r="I28" s="14"/>
      <c r="J28" s="34"/>
      <c r="K28" s="14"/>
      <c r="L28" s="33"/>
      <c r="M28" s="14"/>
      <c r="N28" s="16"/>
      <c r="O28" s="16"/>
      <c r="P28" s="16"/>
      <c r="Q28" s="16"/>
      <c r="R28" s="16"/>
      <c r="S28" s="34"/>
      <c r="T28" s="11"/>
    </row>
    <row r="29" spans="1:20">
      <c r="A29" s="14"/>
      <c r="B29" s="33"/>
      <c r="C29" s="56" t="s">
        <v>103</v>
      </c>
      <c r="D29" s="56"/>
      <c r="E29" s="56"/>
      <c r="F29" s="14"/>
      <c r="G29" s="126">
        <v>4</v>
      </c>
      <c r="H29" s="16"/>
      <c r="I29" s="16"/>
      <c r="J29" s="39"/>
      <c r="K29" s="14"/>
      <c r="L29" s="33"/>
      <c r="M29" s="14"/>
      <c r="N29" s="126">
        <v>3</v>
      </c>
      <c r="O29" s="16"/>
      <c r="P29" s="122">
        <v>340.5</v>
      </c>
      <c r="Q29" s="16"/>
      <c r="R29" s="123">
        <v>585.75</v>
      </c>
      <c r="S29" s="34"/>
      <c r="T29" s="11"/>
    </row>
    <row r="30" spans="1:20">
      <c r="A30" s="14"/>
      <c r="B30" s="33"/>
      <c r="C30" s="14"/>
      <c r="D30" s="14"/>
      <c r="E30" s="14"/>
      <c r="F30" s="14"/>
      <c r="G30" s="16"/>
      <c r="H30" s="14"/>
      <c r="I30" s="14"/>
      <c r="J30" s="34"/>
      <c r="K30" s="14"/>
      <c r="L30" s="33"/>
      <c r="M30" s="14"/>
      <c r="N30" s="16"/>
      <c r="O30" s="16"/>
      <c r="P30" s="16"/>
      <c r="Q30" s="16"/>
      <c r="R30" s="16"/>
      <c r="S30" s="34"/>
      <c r="T30" s="11"/>
    </row>
    <row r="31" spans="1:20">
      <c r="A31" s="14"/>
      <c r="B31" s="33"/>
      <c r="C31" s="56" t="s">
        <v>104</v>
      </c>
      <c r="D31" s="57"/>
      <c r="E31" s="57"/>
      <c r="F31" s="14"/>
      <c r="G31" s="126">
        <v>1</v>
      </c>
      <c r="H31" s="14"/>
      <c r="I31" s="14"/>
      <c r="J31" s="34"/>
      <c r="K31" s="14"/>
      <c r="L31" s="33"/>
      <c r="M31" s="14"/>
      <c r="N31" s="14"/>
      <c r="O31" s="14"/>
      <c r="P31" s="14"/>
      <c r="Q31" s="14"/>
      <c r="R31" s="14"/>
      <c r="S31" s="34"/>
      <c r="T31" s="11"/>
    </row>
    <row r="32" spans="1:20" ht="21" customHeight="1">
      <c r="A32" s="14"/>
      <c r="B32" s="33"/>
      <c r="C32" s="16"/>
      <c r="D32" s="41"/>
      <c r="E32" s="41"/>
      <c r="F32" s="14"/>
      <c r="G32" s="16"/>
      <c r="H32" s="14"/>
      <c r="I32" s="14"/>
      <c r="J32" s="34"/>
      <c r="K32" s="14"/>
      <c r="L32" s="33"/>
      <c r="M32" s="14"/>
      <c r="N32" s="73" t="s">
        <v>105</v>
      </c>
      <c r="O32" s="74"/>
      <c r="P32" s="74"/>
      <c r="Q32" s="119"/>
      <c r="R32" s="120">
        <f>P13+P17+P21+P25+P29</f>
        <v>700.5</v>
      </c>
      <c r="S32" s="34"/>
      <c r="T32" s="11"/>
    </row>
    <row r="33" spans="1:20">
      <c r="A33" s="14"/>
      <c r="B33" s="33"/>
      <c r="C33" s="42" t="s">
        <v>106</v>
      </c>
      <c r="D33" s="42"/>
      <c r="E33" s="42"/>
      <c r="F33" s="14"/>
      <c r="G33" s="131">
        <v>0</v>
      </c>
      <c r="H33" s="14"/>
      <c r="I33" s="14"/>
      <c r="J33" s="34"/>
      <c r="K33" s="14"/>
      <c r="L33" s="33"/>
      <c r="M33" s="14"/>
      <c r="N33" s="14"/>
      <c r="O33" s="14"/>
      <c r="P33" s="14"/>
      <c r="Q33" s="14"/>
      <c r="R33" s="16"/>
      <c r="S33" s="34"/>
      <c r="T33" s="12"/>
    </row>
    <row r="34" spans="1:20" ht="21" customHeight="1">
      <c r="A34" s="14"/>
      <c r="B34" s="33"/>
      <c r="C34" s="14"/>
      <c r="D34" s="14"/>
      <c r="E34" s="14"/>
      <c r="F34" s="14"/>
      <c r="G34" s="14"/>
      <c r="H34" s="14"/>
      <c r="I34" s="14"/>
      <c r="J34" s="34"/>
      <c r="K34" s="14"/>
      <c r="L34" s="33"/>
      <c r="M34" s="14"/>
      <c r="N34" s="75" t="s">
        <v>107</v>
      </c>
      <c r="O34" s="76"/>
      <c r="P34" s="76"/>
      <c r="Q34" s="77"/>
      <c r="R34" s="121">
        <f>R13+R17+R21+R25+R29</f>
        <v>965.75</v>
      </c>
      <c r="S34" s="34"/>
      <c r="T34" s="12"/>
    </row>
    <row r="35" spans="1:20">
      <c r="A35" s="12"/>
      <c r="B35" s="49"/>
      <c r="C35" s="50"/>
      <c r="D35" s="50"/>
      <c r="E35" s="50"/>
      <c r="F35" s="50"/>
      <c r="G35" s="50"/>
      <c r="H35" s="50"/>
      <c r="I35" s="50"/>
      <c r="J35" s="51"/>
      <c r="K35" s="45"/>
      <c r="L35" s="49"/>
      <c r="M35" s="50"/>
      <c r="N35" s="50"/>
      <c r="O35" s="50"/>
      <c r="P35" s="50"/>
      <c r="Q35" s="50"/>
      <c r="R35" s="35"/>
      <c r="S35" s="36"/>
      <c r="T35" s="12"/>
    </row>
    <row r="36" spans="1:20" ht="15" customHeight="1">
      <c r="A36" s="55"/>
      <c r="B36" s="134" t="s">
        <v>108</v>
      </c>
      <c r="C36" s="134"/>
      <c r="D36" s="134"/>
      <c r="E36" s="134"/>
      <c r="F36" s="134"/>
      <c r="G36" s="134"/>
      <c r="H36" s="134"/>
      <c r="I36" s="134"/>
      <c r="J36" s="134"/>
      <c r="K36" s="134"/>
      <c r="L36" s="134"/>
      <c r="M36" s="134"/>
      <c r="N36" s="134"/>
      <c r="O36" s="134"/>
      <c r="P36" s="134"/>
      <c r="Q36" s="134"/>
      <c r="R36" s="134"/>
      <c r="S36" s="134"/>
      <c r="T36" s="55"/>
    </row>
    <row r="37" spans="1:20">
      <c r="A37" s="12"/>
      <c r="B37" s="62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4"/>
      <c r="T37" s="43"/>
    </row>
    <row r="38" spans="1:20">
      <c r="A38" s="12"/>
      <c r="B38" s="65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7"/>
      <c r="T38" s="43"/>
    </row>
    <row r="39" spans="1:20">
      <c r="A39" s="12"/>
      <c r="B39" s="65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7"/>
      <c r="T39" s="43"/>
    </row>
    <row r="40" spans="1:20">
      <c r="A40" s="12"/>
      <c r="B40" s="65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7"/>
      <c r="T40" s="43"/>
    </row>
    <row r="41" spans="1:20">
      <c r="A41" s="12"/>
      <c r="B41" s="68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70"/>
      <c r="T41" s="43"/>
    </row>
  </sheetData>
  <mergeCells count="1">
    <mergeCell ref="B36:S36"/>
  </mergeCells>
  <pageMargins left="0.39370078740157483" right="0.39370078740157483" top="0.39370078740157483" bottom="0.39370078740157483" header="0" footer="0"/>
  <pageSetup paperSize="9" orientation="landscape" r:id="rId1"/>
  <headerFooter>
    <oddFooter>&amp;L&amp;"-,Italique"      SANDRINE&amp;R&amp;"-,Italique"&amp;D   &amp;T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Var</vt:lpstr>
      <vt:lpstr>FORMULAIRE</vt:lpstr>
      <vt:lpstr>Base</vt:lpstr>
      <vt:lpstr>SYNTHESE</vt:lpstr>
      <vt:lpstr>Edition</vt:lpstr>
      <vt:lpstr>Base!Print_Area</vt:lpstr>
      <vt:lpstr>Edition!Print_Area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Carim</cp:lastModifiedBy>
  <cp:lastPrinted>2017-10-29T09:52:47Z</cp:lastPrinted>
  <dcterms:created xsi:type="dcterms:W3CDTF">2015-08-01T17:38:13Z</dcterms:created>
  <dcterms:modified xsi:type="dcterms:W3CDTF">2017-10-31T07:41:16Z</dcterms:modified>
</cp:coreProperties>
</file>