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Override4.xml" ContentType="application/vnd.openxmlformats-officedocument.themeOverride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olors2.xml" ContentType="application/vnd.ms-office.chartcolor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Override5.xml" ContentType="application/vnd.openxmlformats-officedocument.themeOverride+xml"/>
  <Default Extension="png" ContentType="image/png"/>
  <Override PartName="/xl/charts/chart5.xml" ContentType="application/vnd.openxmlformats-officedocument.drawingml.chart+xml"/>
  <Override PartName="/xl/theme/themeOverride3.xml" ContentType="application/vnd.openxmlformats-officedocument.themeOverrid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5325"/>
  </bookViews>
  <sheets>
    <sheet name="Tornade" sheetId="2" r:id="rId1"/>
    <sheet name="WFCN" sheetId="5" r:id="rId2"/>
    <sheet name="Statistique" sheetId="4" r:id="rId3"/>
    <sheet name="Stat_Tornade" sheetId="6" r:id="rId4"/>
    <sheet name="Stat_Tornade_V2017" sheetId="7" r:id="rId5"/>
    <sheet name="Carte&amp;Code" sheetId="8" r:id="rId6"/>
  </sheets>
  <externalReferences>
    <externalReference r:id="rId7"/>
    <externalReference r:id="rId8"/>
  </externalReferences>
  <definedNames>
    <definedName name="_xlnm._FilterDatabase" localSheetId="0" hidden="1">Tornade!$A$1:$A$104</definedName>
    <definedName name="_xlnm._FilterDatabase" localSheetId="1" hidden="1">WFCN!$A$1:$O$306</definedName>
    <definedName name="L_Gravite">[1]Controle!$A$2:$A$4</definedName>
    <definedName name="L_Région" localSheetId="3">[1]Controle!$C$2:$C$52</definedName>
    <definedName name="L_Région" localSheetId="4">[1]Controle!$C$2:$C$52</definedName>
    <definedName name="L_Région" localSheetId="1">[1]Controle!$C$2:$C$52</definedName>
    <definedName name="L_Région">[2]Controle!$C$2:$C$52</definedName>
    <definedName name="L_Secteurs" localSheetId="3">[1]Controle!$E$2:$E$141</definedName>
    <definedName name="L_Secteurs" localSheetId="4">[1]Controle!$E$2:$E$141</definedName>
    <definedName name="L_Secteurs" localSheetId="1">[1]Controle!$E$2:$E$141</definedName>
    <definedName name="L_Secteurs">[2]Controle!$E$2:$E$141</definedName>
    <definedName name="L_Verif">[1]Controle!$G$2:$G$4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a="1"/>
  <c r="F2" s="1"/>
  <c r="E2" a="1"/>
  <c r="E2" s="1"/>
  <c r="AC14" i="4" l="1"/>
  <c r="Z23"/>
  <c r="AA22" l="1"/>
  <c r="AA21"/>
  <c r="AA20"/>
  <c r="AA19"/>
  <c r="AA18"/>
  <c r="AA17"/>
  <c r="AA16"/>
  <c r="AA15"/>
  <c r="AA14"/>
  <c r="AA13"/>
  <c r="AA12"/>
  <c r="AA11"/>
  <c r="AA10"/>
  <c r="AA9"/>
  <c r="AA8"/>
  <c r="AA7"/>
  <c r="AA6"/>
  <c r="AA5"/>
  <c r="AA4"/>
  <c r="AA3"/>
  <c r="U3"/>
  <c r="AA3" i="5"/>
  <c r="AA23" i="4" l="1"/>
  <c r="C22"/>
  <c r="C21"/>
  <c r="C20"/>
  <c r="C19"/>
  <c r="C18"/>
  <c r="C17"/>
  <c r="B22"/>
  <c r="B21"/>
  <c r="B20"/>
  <c r="B19"/>
  <c r="B18"/>
  <c r="B17"/>
  <c r="V22" l="1"/>
  <c r="V21"/>
  <c r="V20"/>
  <c r="V19"/>
  <c r="V18"/>
  <c r="V17"/>
  <c r="V16"/>
  <c r="V15"/>
  <c r="V14"/>
  <c r="V13"/>
  <c r="V12"/>
  <c r="V11"/>
  <c r="V10"/>
  <c r="V9"/>
  <c r="V8"/>
  <c r="V7"/>
  <c r="V6"/>
  <c r="V5"/>
  <c r="V4"/>
  <c r="V3"/>
  <c r="U22"/>
  <c r="Y22" s="1"/>
  <c r="U21"/>
  <c r="Y21" s="1"/>
  <c r="U20"/>
  <c r="U19"/>
  <c r="U18"/>
  <c r="U17"/>
  <c r="U16"/>
  <c r="U15"/>
  <c r="U14"/>
  <c r="U13"/>
  <c r="U12"/>
  <c r="U10"/>
  <c r="U11"/>
  <c r="U9"/>
  <c r="U8"/>
  <c r="U7"/>
  <c r="U6"/>
  <c r="U5"/>
  <c r="U4"/>
  <c r="H77" i="7"/>
  <c r="H76"/>
  <c r="H75"/>
  <c r="H74"/>
  <c r="H73"/>
  <c r="H72"/>
  <c r="H71"/>
  <c r="H70"/>
  <c r="H69"/>
  <c r="H68"/>
  <c r="H67"/>
  <c r="H66"/>
  <c r="H65"/>
  <c r="H64"/>
  <c r="AC48"/>
  <c r="AC47"/>
  <c r="AC46"/>
  <c r="AC45"/>
  <c r="AC44"/>
  <c r="AC43"/>
  <c r="AC42"/>
  <c r="AC41"/>
  <c r="AC40"/>
  <c r="AC39"/>
  <c r="AC38"/>
  <c r="AC37"/>
  <c r="AC36"/>
  <c r="AC35"/>
  <c r="Y29"/>
  <c r="AC28"/>
  <c r="AB28"/>
  <c r="AC27"/>
  <c r="AB27"/>
  <c r="AC26"/>
  <c r="AB26"/>
  <c r="AC25"/>
  <c r="AB25"/>
  <c r="AC24"/>
  <c r="AB24"/>
  <c r="AC23"/>
  <c r="AB23"/>
  <c r="AC22"/>
  <c r="AB22"/>
  <c r="AC21"/>
  <c r="AB21"/>
  <c r="AC20"/>
  <c r="AB20"/>
  <c r="AC19"/>
  <c r="AB19"/>
  <c r="J19"/>
  <c r="AC18"/>
  <c r="AB18"/>
  <c r="S18"/>
  <c r="R18"/>
  <c r="Q18"/>
  <c r="P18"/>
  <c r="O18"/>
  <c r="N18"/>
  <c r="M18"/>
  <c r="M19" s="1"/>
  <c r="L18"/>
  <c r="K18"/>
  <c r="K19" s="1"/>
  <c r="J18"/>
  <c r="I18"/>
  <c r="AC15"/>
  <c r="AB15"/>
  <c r="AC14"/>
  <c r="AB14"/>
  <c r="AC13"/>
  <c r="AB13"/>
  <c r="V13"/>
  <c r="AC12"/>
  <c r="AB12"/>
  <c r="V12"/>
  <c r="AC11"/>
  <c r="AB11"/>
  <c r="AC10"/>
  <c r="AB10"/>
  <c r="AC9"/>
  <c r="AB9"/>
  <c r="AC8"/>
  <c r="AB8"/>
  <c r="AC7"/>
  <c r="AB7"/>
  <c r="AC6"/>
  <c r="AB6"/>
  <c r="AC5"/>
  <c r="AB5"/>
  <c r="AN4"/>
  <c r="AM4"/>
  <c r="AM5" s="1"/>
  <c r="AC4"/>
  <c r="AB4"/>
  <c r="AN3"/>
  <c r="AC3"/>
  <c r="AB3"/>
  <c r="G83" i="6"/>
  <c r="G82"/>
  <c r="G81"/>
  <c r="G80"/>
  <c r="G79"/>
  <c r="G78"/>
  <c r="G77"/>
  <c r="G76"/>
  <c r="G75"/>
  <c r="G74"/>
  <c r="G73"/>
  <c r="G72"/>
  <c r="G71"/>
  <c r="G70"/>
  <c r="G69"/>
  <c r="AB53"/>
  <c r="AB52"/>
  <c r="AB51"/>
  <c r="AB50"/>
  <c r="AB49"/>
  <c r="AB48"/>
  <c r="AB47"/>
  <c r="AB46"/>
  <c r="AB45"/>
  <c r="AB44"/>
  <c r="AB43"/>
  <c r="AB42"/>
  <c r="AB41"/>
  <c r="AB40"/>
  <c r="I24"/>
  <c r="R23"/>
  <c r="Q23"/>
  <c r="P23"/>
  <c r="O23"/>
  <c r="N23"/>
  <c r="M23"/>
  <c r="L23"/>
  <c r="K23"/>
  <c r="J23"/>
  <c r="I23"/>
  <c r="H23"/>
  <c r="U13"/>
  <c r="E182" i="5"/>
  <c r="U23" i="4" l="1"/>
  <c r="V23"/>
  <c r="AB20"/>
  <c r="AB16"/>
  <c r="AB12"/>
  <c r="AB8"/>
  <c r="AB4"/>
  <c r="AB21"/>
  <c r="AB17"/>
  <c r="AB13"/>
  <c r="AB9"/>
  <c r="AB5"/>
  <c r="AC15"/>
  <c r="AB19"/>
  <c r="AB15"/>
  <c r="AB11"/>
  <c r="AB7"/>
  <c r="AB3"/>
  <c r="AB22"/>
  <c r="AB18"/>
  <c r="AB14"/>
  <c r="AB10"/>
  <c r="AB6"/>
  <c r="AC19"/>
  <c r="AC9"/>
  <c r="AC5"/>
  <c r="AD21"/>
  <c r="AD17"/>
  <c r="AD13"/>
  <c r="AD9"/>
  <c r="AD5"/>
  <c r="AD19"/>
  <c r="AD15"/>
  <c r="AD7"/>
  <c r="AC16"/>
  <c r="AC7"/>
  <c r="AD18"/>
  <c r="AD6"/>
  <c r="AC22"/>
  <c r="AC18"/>
  <c r="AC11"/>
  <c r="AC8"/>
  <c r="AC4"/>
  <c r="AD20"/>
  <c r="AD16"/>
  <c r="AD12"/>
  <c r="AD8"/>
  <c r="AD4"/>
  <c r="AC3"/>
  <c r="AD11"/>
  <c r="AD3"/>
  <c r="AC20"/>
  <c r="AC12"/>
  <c r="AC10"/>
  <c r="AD22"/>
  <c r="AD14"/>
  <c r="AC21"/>
  <c r="AC17"/>
  <c r="AC13"/>
  <c r="AC6"/>
  <c r="AD10"/>
  <c r="B11"/>
  <c r="R20"/>
  <c r="B48"/>
  <c r="B4"/>
  <c r="M19"/>
  <c r="B8"/>
  <c r="B33"/>
  <c r="B45"/>
  <c r="Q3"/>
  <c r="Q5"/>
  <c r="Q7"/>
  <c r="M9"/>
  <c r="M11"/>
  <c r="O12"/>
  <c r="O14"/>
  <c r="M15"/>
  <c r="M17"/>
  <c r="O18"/>
  <c r="O20"/>
  <c r="B5"/>
  <c r="B9"/>
  <c r="B13"/>
  <c r="B30"/>
  <c r="B34"/>
  <c r="B38"/>
  <c r="B42"/>
  <c r="B46"/>
  <c r="B50"/>
  <c r="N3"/>
  <c r="R3"/>
  <c r="P4"/>
  <c r="N5"/>
  <c r="R5"/>
  <c r="P6"/>
  <c r="N7"/>
  <c r="R7"/>
  <c r="P8"/>
  <c r="N9"/>
  <c r="R9"/>
  <c r="P10"/>
  <c r="N11"/>
  <c r="R11"/>
  <c r="P12"/>
  <c r="N13"/>
  <c r="R13"/>
  <c r="P14"/>
  <c r="N15"/>
  <c r="R15"/>
  <c r="P16"/>
  <c r="N17"/>
  <c r="R17"/>
  <c r="P18"/>
  <c r="N19"/>
  <c r="R19"/>
  <c r="P20"/>
  <c r="B12"/>
  <c r="B37"/>
  <c r="B49"/>
  <c r="O4"/>
  <c r="O6"/>
  <c r="Q9"/>
  <c r="M13"/>
  <c r="O16"/>
  <c r="Q19"/>
  <c r="B2"/>
  <c r="B6"/>
  <c r="B10"/>
  <c r="B27"/>
  <c r="B31"/>
  <c r="B35"/>
  <c r="B39"/>
  <c r="B43"/>
  <c r="B47"/>
  <c r="O3"/>
  <c r="M4"/>
  <c r="S4" s="1"/>
  <c r="Y4" s="1"/>
  <c r="Q4"/>
  <c r="O5"/>
  <c r="M6"/>
  <c r="Q6"/>
  <c r="O7"/>
  <c r="M8"/>
  <c r="Q8"/>
  <c r="O9"/>
  <c r="M10"/>
  <c r="Q10"/>
  <c r="O11"/>
  <c r="M12"/>
  <c r="S12" s="1"/>
  <c r="Y12" s="1"/>
  <c r="Q12"/>
  <c r="O13"/>
  <c r="M14"/>
  <c r="Q14"/>
  <c r="O15"/>
  <c r="M16"/>
  <c r="Q16"/>
  <c r="O17"/>
  <c r="M18"/>
  <c r="Q18"/>
  <c r="O19"/>
  <c r="M20"/>
  <c r="Q20"/>
  <c r="B29"/>
  <c r="B41"/>
  <c r="M3"/>
  <c r="M23" s="1"/>
  <c r="M5"/>
  <c r="M7"/>
  <c r="S7" s="1"/>
  <c r="Y7" s="1"/>
  <c r="O8"/>
  <c r="O10"/>
  <c r="Q11"/>
  <c r="Q13"/>
  <c r="Q15"/>
  <c r="Q17"/>
  <c r="B3"/>
  <c r="B7"/>
  <c r="B28"/>
  <c r="B32"/>
  <c r="B36"/>
  <c r="B40"/>
  <c r="B44"/>
  <c r="P3"/>
  <c r="S3" s="1"/>
  <c r="Y3" s="1"/>
  <c r="N4"/>
  <c r="R4"/>
  <c r="P5"/>
  <c r="N6"/>
  <c r="R6"/>
  <c r="P7"/>
  <c r="N8"/>
  <c r="R8"/>
  <c r="P9"/>
  <c r="N10"/>
  <c r="R10"/>
  <c r="P11"/>
  <c r="N12"/>
  <c r="R12"/>
  <c r="P13"/>
  <c r="N14"/>
  <c r="R14"/>
  <c r="P15"/>
  <c r="N16"/>
  <c r="R16"/>
  <c r="P17"/>
  <c r="N18"/>
  <c r="R18"/>
  <c r="P19"/>
  <c r="N20"/>
  <c r="X3"/>
  <c r="X7"/>
  <c r="X11"/>
  <c r="X15"/>
  <c r="X19"/>
  <c r="X4"/>
  <c r="X8"/>
  <c r="X12"/>
  <c r="X16"/>
  <c r="X20"/>
  <c r="X5"/>
  <c r="X9"/>
  <c r="X13"/>
  <c r="X17"/>
  <c r="X21"/>
  <c r="X6"/>
  <c r="X10"/>
  <c r="X14"/>
  <c r="X18"/>
  <c r="S9"/>
  <c r="Y9" s="1"/>
  <c r="C11"/>
  <c r="U12" i="6"/>
  <c r="J24"/>
  <c r="AN5" i="7"/>
  <c r="AM6"/>
  <c r="L24" i="6"/>
  <c r="S19" i="4" l="1"/>
  <c r="Y19" s="1"/>
  <c r="S11"/>
  <c r="Y11" s="1"/>
  <c r="C10"/>
  <c r="C3"/>
  <c r="S5"/>
  <c r="Y5" s="1"/>
  <c r="P23"/>
  <c r="O23"/>
  <c r="R23"/>
  <c r="N23"/>
  <c r="Q23"/>
  <c r="AC23"/>
  <c r="AD23"/>
  <c r="X23"/>
  <c r="S13"/>
  <c r="Y13" s="1"/>
  <c r="AB23"/>
  <c r="S20"/>
  <c r="Y20" s="1"/>
  <c r="S17"/>
  <c r="Y17" s="1"/>
  <c r="S8"/>
  <c r="Y8" s="1"/>
  <c r="S6"/>
  <c r="S10"/>
  <c r="Y10" s="1"/>
  <c r="S15"/>
  <c r="Y15" s="1"/>
  <c r="S14"/>
  <c r="Y14" s="1"/>
  <c r="C32"/>
  <c r="C44"/>
  <c r="C28"/>
  <c r="C41"/>
  <c r="C35"/>
  <c r="C49"/>
  <c r="C42"/>
  <c r="C40"/>
  <c r="C29"/>
  <c r="C47"/>
  <c r="C31"/>
  <c r="C37"/>
  <c r="C38"/>
  <c r="C36"/>
  <c r="C43"/>
  <c r="C27"/>
  <c r="C50"/>
  <c r="C34"/>
  <c r="C45"/>
  <c r="C39"/>
  <c r="C46"/>
  <c r="C30"/>
  <c r="C33"/>
  <c r="C48"/>
  <c r="C7"/>
  <c r="C13"/>
  <c r="C9"/>
  <c r="B51"/>
  <c r="C5"/>
  <c r="C12"/>
  <c r="C6"/>
  <c r="B14"/>
  <c r="C4"/>
  <c r="C8"/>
  <c r="C2"/>
  <c r="S16"/>
  <c r="Y16" s="1"/>
  <c r="S18"/>
  <c r="Y18" s="1"/>
  <c r="AN6" i="7"/>
  <c r="AM7"/>
  <c r="S23" i="4" l="1"/>
  <c r="Q24" s="1"/>
  <c r="Y6"/>
  <c r="AN7" i="7"/>
  <c r="AM8"/>
  <c r="X24" i="4" l="1"/>
  <c r="U24"/>
  <c r="N24"/>
  <c r="V24"/>
  <c r="M24"/>
  <c r="O24"/>
  <c r="AB24"/>
  <c r="P24"/>
  <c r="R24"/>
  <c r="AN8" i="7"/>
  <c r="AM9"/>
  <c r="AN9" l="1"/>
  <c r="AM10"/>
  <c r="AN10" l="1"/>
  <c r="AM11"/>
  <c r="AM12" l="1"/>
  <c r="AN11"/>
  <c r="AM13" l="1"/>
  <c r="AN12"/>
  <c r="AM18" l="1"/>
  <c r="AN13"/>
  <c r="AN18" l="1"/>
  <c r="AM19"/>
  <c r="AN19" l="1"/>
  <c r="AM20"/>
  <c r="AN20" l="1"/>
  <c r="AM21"/>
  <c r="AN21" l="1"/>
  <c r="AM22"/>
  <c r="AN22" l="1"/>
  <c r="AM23"/>
  <c r="AN23" l="1"/>
  <c r="AM24"/>
  <c r="AN24" l="1"/>
  <c r="AM25"/>
  <c r="AN25" l="1"/>
  <c r="AM26"/>
  <c r="AN26" l="1"/>
  <c r="AM27"/>
  <c r="AN27" l="1"/>
  <c r="AM28"/>
  <c r="AN28" l="1"/>
  <c r="AM29"/>
  <c r="AM30" l="1"/>
  <c r="AN30" s="1"/>
  <c r="AN29"/>
</calcChain>
</file>

<file path=xl/comments1.xml><?xml version="1.0" encoding="utf-8"?>
<comments xmlns="http://schemas.openxmlformats.org/spreadsheetml/2006/main">
  <authors>
    <author>Maynard-Leclerc,Kathleen [Montreal]</author>
    <author>moro</author>
  </authors>
  <commentList>
    <comment ref="H9" authorId="0">
      <text>
        <r>
          <rPr>
            <b/>
            <sz val="9"/>
            <color indexed="81"/>
            <rFont val="Tahoma"/>
            <family val="2"/>
          </rPr>
          <t>Maynard-Leclerc,Kathleen [Montreal]:</t>
        </r>
        <r>
          <rPr>
            <sz val="9"/>
            <color indexed="81"/>
            <rFont val="Tahoma"/>
            <family val="2"/>
          </rPr>
          <t xml:space="preserve">
Mpi auparavant mais manqué à Falardeau avant… dommages principalement rapportés à Chicoutimi vers 1945Z</t>
        </r>
      </text>
    </comment>
    <comment ref="L45" authorId="0">
      <text>
        <r>
          <rPr>
            <b/>
            <sz val="9"/>
            <color indexed="81"/>
            <rFont val="Tahoma"/>
            <family val="2"/>
          </rPr>
          <t>Maynard-Leclerc,Kathleen [Montreal]:</t>
        </r>
        <r>
          <rPr>
            <sz val="9"/>
            <color indexed="81"/>
            <rFont val="Tahoma"/>
            <family val="2"/>
          </rPr>
          <t xml:space="preserve">
St-ambroise-de-kildare
auparavant et ds verif mais epiphanie dans journaux rapport et medias….
</t>
        </r>
      </text>
    </comment>
    <comment ref="D132" authorId="1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modifié vers WU</t>
        </r>
      </text>
    </comment>
    <comment ref="D151" authorId="1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modifié vers WU</t>
        </r>
      </text>
    </comment>
  </commentList>
</comments>
</file>

<file path=xl/comments2.xml><?xml version="1.0" encoding="utf-8"?>
<comments xmlns="http://schemas.openxmlformats.org/spreadsheetml/2006/main">
  <authors>
    <author>Moreau,Michel [Montreal]</author>
    <author>moro</author>
  </authors>
  <commentList>
    <comment ref="X2" authorId="0">
      <text>
        <r>
          <rPr>
            <b/>
            <sz val="8"/>
            <color indexed="81"/>
            <rFont val="Tahoma"/>
            <family val="2"/>
          </rPr>
          <t>Moreau,Michel [Montreal]:</t>
        </r>
        <r>
          <rPr>
            <sz val="8"/>
            <color indexed="81"/>
            <rFont val="Tahoma"/>
            <family val="2"/>
          </rPr>
          <t xml:space="preserve">
WU avec une mentions de potentiel de tornade dans le texte d'alerte</t>
        </r>
      </text>
    </comment>
    <comment ref="Z2" authorId="0">
      <text>
        <r>
          <rPr>
            <b/>
            <sz val="8"/>
            <color indexed="81"/>
            <rFont val="Tahoma"/>
            <family val="2"/>
          </rPr>
          <t>Moreau,Michel [Montreal]:</t>
        </r>
        <r>
          <rPr>
            <sz val="8"/>
            <color indexed="81"/>
            <rFont val="Tahoma"/>
            <family val="2"/>
          </rPr>
          <t xml:space="preserve">
fausse alerte de mention de torrnade</t>
        </r>
      </text>
    </comment>
    <comment ref="S3" authorId="1">
      <text>
        <r>
          <rPr>
            <b/>
            <sz val="9"/>
            <color indexed="81"/>
            <rFont val="Tahoma"/>
            <family val="2"/>
          </rPr>
          <t xml:space="preserve">moreaum: </t>
        </r>
        <r>
          <rPr>
            <sz val="9"/>
            <color indexed="81"/>
            <rFont val="Tahoma"/>
            <family val="2"/>
          </rPr>
          <t xml:space="preserve">
Criac en compte 8, latornade F-1 du lac St-Jean a été compté comme une F1</t>
        </r>
      </text>
    </comment>
    <comment ref="M5" authorId="1">
      <text>
        <r>
          <rPr>
            <b/>
            <sz val="9"/>
            <color indexed="81"/>
            <rFont val="Tahoma"/>
            <family val="2"/>
          </rPr>
          <t>moreaum</t>
        </r>
        <r>
          <rPr>
            <sz val="9"/>
            <color indexed="81"/>
            <rFont val="Tahoma"/>
            <family val="2"/>
          </rPr>
          <t xml:space="preserve">
Criacc en compte 8 dont les 2 F-1</t>
        </r>
      </text>
    </comment>
    <comment ref="S5" authorId="1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M6" authorId="1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6 F0 selon le Criacc</t>
        </r>
      </text>
    </comment>
    <comment ref="S6" authorId="1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M7" authorId="1">
      <text>
        <r>
          <rPr>
            <b/>
            <sz val="9"/>
            <color indexed="81"/>
            <rFont val="Tahoma"/>
            <family val="2"/>
          </rPr>
          <t xml:space="preserve">moreaum: 
</t>
        </r>
        <r>
          <rPr>
            <sz val="9"/>
            <color indexed="81"/>
            <rFont val="Tahoma"/>
            <family val="2"/>
          </rPr>
          <t>dont 1 à Gatineau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" authorId="1">
      <text>
        <r>
          <rPr>
            <b/>
            <sz val="9"/>
            <color indexed="81"/>
            <rFont val="Tahoma"/>
            <family val="2"/>
          </rPr>
          <t>moream:</t>
        </r>
        <r>
          <rPr>
            <sz val="9"/>
            <color indexed="81"/>
            <rFont val="Tahoma"/>
            <family val="2"/>
          </rPr>
          <t xml:space="preserve">
tornade sur Ile-de la Madeleine</t>
        </r>
      </text>
    </comment>
  </commentList>
</comments>
</file>

<file path=xl/comments3.xml><?xml version="1.0" encoding="utf-8"?>
<comments xmlns="http://schemas.openxmlformats.org/spreadsheetml/2006/main">
  <authors>
    <author>moro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 xml:space="preserve">moreaum: </t>
        </r>
        <r>
          <rPr>
            <sz val="9"/>
            <color indexed="81"/>
            <rFont val="Tahoma"/>
            <family val="2"/>
          </rPr>
          <t xml:space="preserve">
Criac en compte 8, latornade F-1 du lac St-Jean a été compté comme une F1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moreaum</t>
        </r>
        <r>
          <rPr>
            <sz val="9"/>
            <color indexed="81"/>
            <rFont val="Tahoma"/>
            <family val="2"/>
          </rPr>
          <t xml:space="preserve">
Criacc en compte 8 dont les 2 F-1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6 F0 selon le Criacc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 xml:space="preserve">moreaum: 
</t>
        </r>
        <r>
          <rPr>
            <sz val="9"/>
            <color indexed="81"/>
            <rFont val="Tahoma"/>
            <family val="2"/>
          </rPr>
          <t>dont 1 à Gatineau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moream:</t>
        </r>
        <r>
          <rPr>
            <sz val="9"/>
            <color indexed="81"/>
            <rFont val="Tahoma"/>
            <family val="2"/>
          </rPr>
          <t xml:space="preserve">
tornade sur Ile-de la Madeleine</t>
        </r>
      </text>
    </comment>
    <comment ref="AA42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AA43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</commentList>
</comments>
</file>

<file path=xl/comments4.xml><?xml version="1.0" encoding="utf-8"?>
<comments xmlns="http://schemas.openxmlformats.org/spreadsheetml/2006/main">
  <authors>
    <author>moro</author>
  </authors>
  <commentList>
    <comment ref="I3" authorId="0">
      <text>
        <r>
          <rPr>
            <b/>
            <sz val="9"/>
            <color indexed="81"/>
            <rFont val="Tahoma"/>
            <family val="2"/>
          </rPr>
          <t xml:space="preserve">moreaum: </t>
        </r>
        <r>
          <rPr>
            <sz val="9"/>
            <color indexed="81"/>
            <rFont val="Tahoma"/>
            <family val="2"/>
          </rPr>
          <t xml:space="preserve">
Criac en compte 8, latornade F-1 du lac St-Jean a été compté comme une F1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moreaum</t>
        </r>
        <r>
          <rPr>
            <sz val="9"/>
            <color indexed="81"/>
            <rFont val="Tahoma"/>
            <family val="2"/>
          </rPr>
          <t xml:space="preserve">
Criacc en compte 8 dont les 2 F-1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6 F0 selon le Criacc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moreaum: 
</t>
        </r>
        <r>
          <rPr>
            <sz val="9"/>
            <color indexed="81"/>
            <rFont val="Tahoma"/>
            <family val="2"/>
          </rPr>
          <t>dont 1 à Gatineau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moream:</t>
        </r>
        <r>
          <rPr>
            <sz val="9"/>
            <color indexed="81"/>
            <rFont val="Tahoma"/>
            <family val="2"/>
          </rPr>
          <t xml:space="preserve">
tornade sur Ile-de la Madeleine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G67" author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</commentList>
</comments>
</file>

<file path=xl/sharedStrings.xml><?xml version="1.0" encoding="utf-8"?>
<sst xmlns="http://schemas.openxmlformats.org/spreadsheetml/2006/main" count="2197" uniqueCount="642">
  <si>
    <t>Date (heure TU)</t>
  </si>
  <si>
    <t>Localité</t>
  </si>
  <si>
    <t>Intensité</t>
  </si>
  <si>
    <t>Résumé</t>
  </si>
  <si>
    <t>WF</t>
  </si>
  <si>
    <t>WU</t>
  </si>
  <si>
    <t>Heure</t>
  </si>
  <si>
    <t>Laval</t>
  </si>
  <si>
    <t>T(F2)</t>
  </si>
  <si>
    <t>T(F0)</t>
  </si>
  <si>
    <t>T(F1)</t>
  </si>
  <si>
    <t>oui</t>
  </si>
  <si>
    <t>Huntingdon</t>
  </si>
  <si>
    <t>Landrienne</t>
  </si>
  <si>
    <t>Drummondville</t>
  </si>
  <si>
    <t>Pointe Taillon</t>
  </si>
  <si>
    <t>St-Gédéon</t>
  </si>
  <si>
    <t>Lac-des-Plages</t>
  </si>
  <si>
    <t>Brébeuf</t>
  </si>
  <si>
    <t>Matagami</t>
  </si>
  <si>
    <t xml:space="preserve">Alma  </t>
  </si>
  <si>
    <t>Packington</t>
  </si>
  <si>
    <t>Senneterre</t>
  </si>
  <si>
    <t>St-Frédéric</t>
  </si>
  <si>
    <t>Dolbeau</t>
  </si>
  <si>
    <t>Berry</t>
  </si>
  <si>
    <t>Labrieville</t>
  </si>
  <si>
    <t>Fort-William</t>
  </si>
  <si>
    <t>Ste-Jeanne-d'Arc</t>
  </si>
  <si>
    <t>Roxton Pond</t>
  </si>
  <si>
    <t>Issoudun</t>
  </si>
  <si>
    <t>L' Assomption</t>
  </si>
  <si>
    <t>Laurier-Station</t>
  </si>
  <si>
    <t>Durham-sud</t>
  </si>
  <si>
    <t>Chesterville</t>
  </si>
  <si>
    <t>Chateauguay</t>
  </si>
  <si>
    <t>St-Albert</t>
  </si>
  <si>
    <t>Thurso</t>
  </si>
  <si>
    <t>Malartic</t>
  </si>
  <si>
    <t>Verchères</t>
  </si>
  <si>
    <t>Épiphanie</t>
  </si>
  <si>
    <t>Anse-St-Jean</t>
  </si>
  <si>
    <t>Hébertville</t>
  </si>
  <si>
    <t>Lac Drolet</t>
  </si>
  <si>
    <t>Lac Boivin</t>
  </si>
  <si>
    <t>La Tuque</t>
  </si>
  <si>
    <t>Lac Bouchette</t>
  </si>
  <si>
    <t>St-Just-de-Bretonnière</t>
  </si>
  <si>
    <t>Beauceville</t>
  </si>
  <si>
    <t>Shipshaw</t>
  </si>
  <si>
    <t>Lanoraie</t>
  </si>
  <si>
    <t>McMasterville</t>
  </si>
  <si>
    <t>Zec Martin-Valin</t>
  </si>
  <si>
    <t>Normandin</t>
  </si>
  <si>
    <t>St-Augustin Mirabel</t>
  </si>
  <si>
    <t>Boisbriand</t>
  </si>
  <si>
    <t>Sherbrooke</t>
  </si>
  <si>
    <t>Ste-Christine</t>
  </si>
  <si>
    <t>Duberger</t>
  </si>
  <si>
    <t>Mont-Laurier</t>
  </si>
  <si>
    <t>Réservoir Baskatong</t>
  </si>
  <si>
    <t>Ste-Anne-de-Bellevue/Kirkland</t>
  </si>
  <si>
    <t>Mascouche/Repentigny</t>
  </si>
  <si>
    <t>Saint-Camille de Bellechasse</t>
  </si>
  <si>
    <t>Vaudreuil/St-Lazare</t>
  </si>
  <si>
    <t>Val Senneville/Barraute</t>
  </si>
  <si>
    <t>Parc des Laurentides (km 113)</t>
  </si>
  <si>
    <t>Ste-Élisabeth-de-Proulx</t>
  </si>
  <si>
    <t>Trois-Rivières</t>
  </si>
  <si>
    <t>Brownsburg-Chatham</t>
  </si>
  <si>
    <t>St-Benoit-de-Mirabel</t>
  </si>
  <si>
    <t>35 km NO du Lac Opemiska</t>
  </si>
  <si>
    <t>Mt-Laurier</t>
  </si>
  <si>
    <t>saint-Hugues</t>
  </si>
  <si>
    <t>T(EF0)</t>
  </si>
  <si>
    <t>Saint-Marc-des-carrières</t>
  </si>
  <si>
    <t>Cabano (Témiscouata-sur-le-Lac)</t>
  </si>
  <si>
    <t>Roxton Falls Rang 11</t>
  </si>
  <si>
    <t>Laforce</t>
  </si>
  <si>
    <t>Lambton (NE, secteur du 4-ème rang)</t>
  </si>
  <si>
    <t>T(EF1)</t>
  </si>
  <si>
    <t>Saint-Fabien de Panet (4km à l'ouest)</t>
  </si>
  <si>
    <t>T(EF2)</t>
  </si>
  <si>
    <t>Saint-Apolline-de Patton</t>
  </si>
  <si>
    <t>Pont-Rouge</t>
  </si>
  <si>
    <t>Maniwaki</t>
  </si>
  <si>
    <t>Lac Verne</t>
  </si>
  <si>
    <t>Ste-Anne-du-Lac</t>
  </si>
  <si>
    <t>T(EF3)</t>
  </si>
  <si>
    <t>Lac des cornes</t>
  </si>
  <si>
    <t>ZEC Kiskissink (Lac Bachon)</t>
  </si>
  <si>
    <t>15 km SSE de Comm. Atikamek de Manawan - Chemin de Manouane</t>
  </si>
  <si>
    <t>8 km SO du Lac de la Corneille</t>
  </si>
  <si>
    <t>Herbertville/Mont Lac-Vert</t>
  </si>
  <si>
    <t>Lac Grandmont/Tom</t>
  </si>
  <si>
    <t>Lac Noir</t>
  </si>
  <si>
    <t>ZEC Onatchiway (Rivière Beauséjour)</t>
  </si>
  <si>
    <t>ZEC Lac-de-la-Boiteuse</t>
  </si>
  <si>
    <t>St-Joseph-de-Beauce</t>
  </si>
  <si>
    <t xml:space="preserve">Lachute </t>
  </si>
  <si>
    <t>Chemin Lac Nadeau Mont-Laurier</t>
  </si>
  <si>
    <t>St-Julien, Vimy-Ridge</t>
  </si>
  <si>
    <t>Réservoir Baskatong 10km est Mt-Laurier</t>
  </si>
  <si>
    <t>8km Nord de Otter Lake</t>
  </si>
  <si>
    <t>Val-des-Bois</t>
  </si>
  <si>
    <t>F</t>
  </si>
  <si>
    <t>EF</t>
  </si>
  <si>
    <t>Janvier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</si>
  <si>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</si>
  <si>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</si>
  <si>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</si>
  <si>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</si>
  <si>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</si>
  <si>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</si>
  <si>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</si>
  <si>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</si>
  <si>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</si>
  <si>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</si>
  <si>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</si>
  <si>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</si>
  <si>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WF émise</t>
  </si>
  <si>
    <t>Diagnostics</t>
  </si>
  <si>
    <t xml:space="preserve">Événements tornadiques </t>
  </si>
  <si>
    <t xml:space="preserve">Autres WW/WU émis </t>
  </si>
  <si>
    <t>Heure émise</t>
  </si>
  <si>
    <t>Rgns</t>
  </si>
  <si>
    <t>Sctrs</t>
  </si>
  <si>
    <t>Terminée</t>
  </si>
  <si>
    <t>Date</t>
  </si>
  <si>
    <t>Régions</t>
  </si>
  <si>
    <t>Strs</t>
  </si>
  <si>
    <t>Cote</t>
  </si>
  <si>
    <t>début (UTC)</t>
  </si>
  <si>
    <t>Région</t>
  </si>
  <si>
    <t xml:space="preserve">Secteur </t>
  </si>
  <si>
    <t xml:space="preserve">Veille </t>
  </si>
  <si>
    <t xml:space="preserve">Alerte </t>
  </si>
  <si>
    <t>WU+mention</t>
  </si>
  <si>
    <t>YBG</t>
  </si>
  <si>
    <t>falar</t>
  </si>
  <si>
    <t>MA</t>
  </si>
  <si>
    <t>T(F0), R(120)</t>
  </si>
  <si>
    <t>Non</t>
  </si>
  <si>
    <t>LAN</t>
  </si>
  <si>
    <t>rawdo</t>
  </si>
  <si>
    <t>Oui</t>
  </si>
  <si>
    <t>HYA</t>
  </si>
  <si>
    <t>verch</t>
  </si>
  <si>
    <t>MP0</t>
  </si>
  <si>
    <t>yrj</t>
  </si>
  <si>
    <t>norma</t>
  </si>
  <si>
    <t>ymx</t>
  </si>
  <si>
    <t>eusta</t>
  </si>
  <si>
    <t>mp0</t>
  </si>
  <si>
    <t>hya</t>
  </si>
  <si>
    <t>hyaci</t>
  </si>
  <si>
    <t>lachu</t>
  </si>
  <si>
    <t>wul</t>
  </si>
  <si>
    <t>laval</t>
  </si>
  <si>
    <t>longu</t>
  </si>
  <si>
    <t>lan</t>
  </si>
  <si>
    <t>masco</t>
  </si>
  <si>
    <t>mtl</t>
  </si>
  <si>
    <t>sorel</t>
  </si>
  <si>
    <t>wbz</t>
  </si>
  <si>
    <t>soula</t>
  </si>
  <si>
    <t>vaudr</t>
  </si>
  <si>
    <t>ysc</t>
  </si>
  <si>
    <t>richm</t>
  </si>
  <si>
    <t>yqb</t>
  </si>
  <si>
    <t>quebc</t>
  </si>
  <si>
    <t xml:space="preserve">T(F0) </t>
  </si>
  <si>
    <t>lau</t>
  </si>
  <si>
    <t>lauri</t>
  </si>
  <si>
    <t>wdq</t>
  </si>
  <si>
    <t>tuque</t>
  </si>
  <si>
    <t>whv</t>
  </si>
  <si>
    <t>etche</t>
  </si>
  <si>
    <t>hunti</t>
  </si>
  <si>
    <t>Mp0</t>
  </si>
  <si>
    <t>thmin</t>
  </si>
  <si>
    <t>weedo</t>
  </si>
  <si>
    <t>brome</t>
  </si>
  <si>
    <t>granb</t>
  </si>
  <si>
    <t>oford</t>
  </si>
  <si>
    <t>yvo</t>
  </si>
  <si>
    <t>valdo</t>
  </si>
  <si>
    <t>wpd</t>
  </si>
  <si>
    <t>etape</t>
  </si>
  <si>
    <t>wty</t>
  </si>
  <si>
    <t>3riv</t>
  </si>
  <si>
    <t>YMX</t>
  </si>
  <si>
    <t>S</t>
  </si>
  <si>
    <t>non</t>
  </si>
  <si>
    <t>ymt</t>
  </si>
  <si>
    <t>T(F2 )</t>
  </si>
  <si>
    <t>wnq</t>
  </si>
  <si>
    <t>drumm</t>
  </si>
  <si>
    <t>perad</t>
  </si>
  <si>
    <t>sherb</t>
  </si>
  <si>
    <t>EF(0)</t>
  </si>
  <si>
    <t>deg</t>
  </si>
  <si>
    <t>YQB</t>
  </si>
  <si>
    <t>lotbi</t>
  </si>
  <si>
    <t>YWA</t>
  </si>
  <si>
    <t>shawv</t>
  </si>
  <si>
    <t>WMJ</t>
  </si>
  <si>
    <t>wakef</t>
  </si>
  <si>
    <t>maniw</t>
  </si>
  <si>
    <t>WNQ</t>
  </si>
  <si>
    <t>nicol</t>
  </si>
  <si>
    <t>becan</t>
  </si>
  <si>
    <t>victo</t>
  </si>
  <si>
    <t>WUL</t>
  </si>
  <si>
    <t>prairi</t>
  </si>
  <si>
    <t>stjen</t>
  </si>
  <si>
    <t>YSC</t>
  </si>
  <si>
    <t>lievr</t>
  </si>
  <si>
    <t>chene</t>
  </si>
  <si>
    <t>DOR</t>
  </si>
  <si>
    <t>dorva</t>
  </si>
  <si>
    <t>WHV</t>
  </si>
  <si>
    <t>WPD</t>
  </si>
  <si>
    <t>WST</t>
  </si>
  <si>
    <t>fabien</t>
  </si>
  <si>
    <t>wst</t>
  </si>
  <si>
    <t>T(EF2), R(D)</t>
  </si>
  <si>
    <t>WPK</t>
  </si>
  <si>
    <t>gouin</t>
  </si>
  <si>
    <t>marie</t>
  </si>
  <si>
    <t>LAU</t>
  </si>
  <si>
    <t>miner</t>
  </si>
  <si>
    <t>paren</t>
  </si>
  <si>
    <t>wba</t>
  </si>
  <si>
    <t>vmari</t>
  </si>
  <si>
    <t>label</t>
  </si>
  <si>
    <t>portn</t>
  </si>
  <si>
    <t>valca</t>
  </si>
  <si>
    <t>WZS</t>
  </si>
  <si>
    <t>amqui</t>
  </si>
  <si>
    <t>Lac Humqui</t>
  </si>
  <si>
    <t>YRJ</t>
  </si>
  <si>
    <t>alma</t>
  </si>
  <si>
    <t>Métabetchouan</t>
  </si>
  <si>
    <t>Ulverton</t>
  </si>
  <si>
    <t>bouch</t>
  </si>
  <si>
    <t>20km sud WPD</t>
  </si>
  <si>
    <t>wpk</t>
  </si>
  <si>
    <t>WDQ</t>
  </si>
  <si>
    <t>zmv</t>
  </si>
  <si>
    <t>wdt</t>
  </si>
  <si>
    <t>blcha</t>
  </si>
  <si>
    <t>levis</t>
  </si>
  <si>
    <t>berti</t>
  </si>
  <si>
    <t>WTY</t>
  </si>
  <si>
    <t>louis</t>
  </si>
  <si>
    <t>shawi</t>
  </si>
  <si>
    <t>lsabl</t>
  </si>
  <si>
    <t>WBZ</t>
  </si>
  <si>
    <t>sremi</t>
  </si>
  <si>
    <t>hemmi</t>
  </si>
  <si>
    <t>lacol</t>
  </si>
  <si>
    <t>Lac-Deligny</t>
  </si>
  <si>
    <t>shaw</t>
  </si>
  <si>
    <t>wmj</t>
  </si>
  <si>
    <t>Luskville</t>
  </si>
  <si>
    <t>année</t>
  </si>
  <si>
    <t>Tornades observées</t>
  </si>
  <si>
    <t>Veille</t>
  </si>
  <si>
    <t>Alerte</t>
  </si>
  <si>
    <t>Alertes + mention Tornade</t>
  </si>
  <si>
    <t xml:space="preserve"> WF (Alertes de tornade)</t>
  </si>
  <si>
    <t>F-1</t>
  </si>
  <si>
    <t>F0</t>
  </si>
  <si>
    <t>F1</t>
  </si>
  <si>
    <t>F2</t>
  </si>
  <si>
    <t>F3</t>
  </si>
  <si>
    <t>F4</t>
  </si>
  <si>
    <t>F5</t>
  </si>
  <si>
    <t>Total</t>
  </si>
  <si>
    <t>en vigueur</t>
  </si>
  <si>
    <t>Issued</t>
  </si>
  <si>
    <t>Hit</t>
  </si>
  <si>
    <t>Miss</t>
  </si>
  <si>
    <t>nd</t>
  </si>
  <si>
    <t>en %</t>
  </si>
  <si>
    <t>En vigueur</t>
  </si>
  <si>
    <t>WU seul</t>
  </si>
  <si>
    <t>veille seul</t>
  </si>
  <si>
    <t>rien</t>
  </si>
  <si>
    <t>total</t>
  </si>
  <si>
    <t>Événements</t>
  </si>
  <si>
    <t>Moyenne</t>
  </si>
  <si>
    <t>Violent</t>
  </si>
  <si>
    <t>Quasi</t>
  </si>
  <si>
    <t>V+Q</t>
  </si>
  <si>
    <t>Cumul</t>
  </si>
  <si>
    <t>%</t>
  </si>
  <si>
    <t>06Z</t>
  </si>
  <si>
    <t>07Z</t>
  </si>
  <si>
    <t>08Z</t>
  </si>
  <si>
    <t>09Z</t>
  </si>
  <si>
    <t>10Z</t>
  </si>
  <si>
    <t>11Z</t>
  </si>
  <si>
    <t>12Z</t>
  </si>
  <si>
    <t>13Z</t>
  </si>
  <si>
    <t>14Z</t>
  </si>
  <si>
    <t>15Z</t>
  </si>
  <si>
    <t>16Z</t>
  </si>
  <si>
    <t>17Z</t>
  </si>
  <si>
    <t>18Z</t>
  </si>
  <si>
    <t>19Z</t>
  </si>
  <si>
    <t>20Z</t>
  </si>
  <si>
    <t>21Z</t>
  </si>
  <si>
    <t>22Z</t>
  </si>
  <si>
    <t>23Z</t>
  </si>
  <si>
    <t>00Z</t>
  </si>
  <si>
    <t>01Z</t>
  </si>
  <si>
    <t>02Z</t>
  </si>
  <si>
    <t>03Z</t>
  </si>
  <si>
    <t>04Z</t>
  </si>
  <si>
    <t>05Z</t>
  </si>
  <si>
    <t>Heure (TU)</t>
  </si>
  <si>
    <t>Occurrence</t>
  </si>
  <si>
    <t>Pourcentage</t>
  </si>
  <si>
    <t>Fréquence horaire depuis 1988</t>
  </si>
  <si>
    <t>T(F/EF)</t>
  </si>
  <si>
    <t>Aucun</t>
  </si>
  <si>
    <t>St-Henri-de-Taillon</t>
  </si>
  <si>
    <t>pap/chene</t>
  </si>
  <si>
    <t>WJT</t>
  </si>
  <si>
    <t>ste-adele</t>
  </si>
  <si>
    <t>adele</t>
  </si>
  <si>
    <t>wjt</t>
  </si>
  <si>
    <t>mt-tremb</t>
  </si>
  <si>
    <t>agath</t>
  </si>
  <si>
    <t>ybg</t>
  </si>
  <si>
    <t>St-Honoré</t>
  </si>
  <si>
    <t>sague</t>
  </si>
  <si>
    <t>i</t>
  </si>
  <si>
    <t>Chicoutimi (même que St-Honoré)</t>
  </si>
  <si>
    <t>YNM</t>
  </si>
  <si>
    <t>matag</t>
  </si>
  <si>
    <t>ynm</t>
  </si>
  <si>
    <t>DEG</t>
  </si>
  <si>
    <t>jerom</t>
  </si>
  <si>
    <t>jardi</t>
  </si>
  <si>
    <t>Boileau</t>
  </si>
  <si>
    <t>YVO</t>
  </si>
  <si>
    <t>sentr</t>
  </si>
  <si>
    <t>amos</t>
  </si>
  <si>
    <t>T( F1)</t>
  </si>
  <si>
    <t>ZMV</t>
  </si>
  <si>
    <t>labri</t>
  </si>
  <si>
    <t>T( F0)</t>
  </si>
  <si>
    <t>YYY</t>
  </si>
  <si>
    <t>b-rik</t>
  </si>
  <si>
    <t>St-Narcisse</t>
  </si>
  <si>
    <t>malar</t>
  </si>
  <si>
    <t>T (F1)</t>
  </si>
  <si>
    <t>T (F0)</t>
  </si>
  <si>
    <t>etern</t>
  </si>
  <si>
    <t>georg</t>
  </si>
  <si>
    <t>megan</t>
  </si>
  <si>
    <t>Aucune</t>
  </si>
  <si>
    <t xml:space="preserve"> T(F0)</t>
  </si>
  <si>
    <t>Observé</t>
  </si>
  <si>
    <t>Alerte de tornade</t>
  </si>
  <si>
    <t>Émis</t>
  </si>
  <si>
    <t>FA</t>
  </si>
  <si>
    <t>Bulletin en vigueur</t>
  </si>
  <si>
    <t xml:space="preserve"> Mention </t>
  </si>
  <si>
    <t>ywa</t>
  </si>
  <si>
    <t xml:space="preserve">Nom des régions </t>
  </si>
  <si>
    <t>Secteur</t>
  </si>
  <si>
    <t>Nom des secteurs</t>
  </si>
  <si>
    <t>Gravité</t>
  </si>
  <si>
    <t>MONTREAL METROPOLITAIN - LAVAL</t>
  </si>
  <si>
    <t>L'ILE DE MONTREAL</t>
  </si>
  <si>
    <t>Mineur</t>
  </si>
  <si>
    <t>LAVAL</t>
  </si>
  <si>
    <t>CHATEAUGUAY - LA PRAIRIE</t>
  </si>
  <si>
    <t>LONGUEUIL - VARENNES</t>
  </si>
  <si>
    <t>VAUDREUIL - SOULANGES - HUNTINGDON</t>
  </si>
  <si>
    <t>SOULANGES</t>
  </si>
  <si>
    <t>Vérif</t>
  </si>
  <si>
    <t>VAUDREUIL</t>
  </si>
  <si>
    <t>beauh</t>
  </si>
  <si>
    <t>VALLEYFIELD - BEAUHARNOIS</t>
  </si>
  <si>
    <t>q</t>
  </si>
  <si>
    <t>SAINT-REMI</t>
  </si>
  <si>
    <t>v</t>
  </si>
  <si>
    <t>HUNTINGDON</t>
  </si>
  <si>
    <t>HEMMINGFORD</t>
  </si>
  <si>
    <t>REGION</t>
  </si>
  <si>
    <t>VALLEE DU RICHELIEU - SAINT-HYACINTHE</t>
  </si>
  <si>
    <t>LACOLLE</t>
  </si>
  <si>
    <t>SAINT-JEAN - MARIEVILLE</t>
  </si>
  <si>
    <t>VERCHERES - BELOEIL</t>
  </si>
  <si>
    <t>SAINT-HYACINTHE - ACTON VALE</t>
  </si>
  <si>
    <t>SOREL - YAMASKA</t>
  </si>
  <si>
    <t>LANAUDIERE</t>
  </si>
  <si>
    <t>MASCOUCHE</t>
  </si>
  <si>
    <t>RAWDON - JOLIETTE</t>
  </si>
  <si>
    <t>TRM</t>
  </si>
  <si>
    <t>BERTHIERVILLE - SAINT-GABRIEL</t>
  </si>
  <si>
    <t>LACHUTE - SAINT-JEROME</t>
  </si>
  <si>
    <t>LACHUTE</t>
  </si>
  <si>
    <t>SAINT-JEROME</t>
  </si>
  <si>
    <t>SAINT-EUSTACHE</t>
  </si>
  <si>
    <t>LAURENTIDES</t>
  </si>
  <si>
    <t>MONT-TREMBLANT - SAINTE-AGATHE</t>
  </si>
  <si>
    <t>WBA</t>
  </si>
  <si>
    <t>SAINTE-ADELE - SAINT-SAUVEUR</t>
  </si>
  <si>
    <t>PARC DU MONT-TREMBLANT-SAINT-MICHEL-DES-SAINTS</t>
  </si>
  <si>
    <t>donat</t>
  </si>
  <si>
    <t>SAINT-DONAT - PARC DU MONT-TREMBLANT</t>
  </si>
  <si>
    <t>smich</t>
  </si>
  <si>
    <t>SAINT-MICHEL-DES-SAINTS</t>
  </si>
  <si>
    <t>MONT-LAURIER</t>
  </si>
  <si>
    <t>YKQ</t>
  </si>
  <si>
    <t>LA MINERVE - RIVIERE ROUGE</t>
  </si>
  <si>
    <t>RESERVE FAUNIQUE LA VERENDRYE</t>
  </si>
  <si>
    <t>DORVAL LODGE</t>
  </si>
  <si>
    <t>domai</t>
  </si>
  <si>
    <t>LE DOMAINE</t>
  </si>
  <si>
    <t>HAUTE-GATINEAU - LIEVRE - PAPINEAU</t>
  </si>
  <si>
    <t>MANIWAKI - GRACEFIELD</t>
  </si>
  <si>
    <t>RESERVE PAPINEAU-LABELLE</t>
  </si>
  <si>
    <t>LOW - WAKEFIELD</t>
  </si>
  <si>
    <t>LA RIVIERE DU LIEVRE</t>
  </si>
  <si>
    <t>WIS</t>
  </si>
  <si>
    <t>PAPINEAUVILLE - CHENEVILLE</t>
  </si>
  <si>
    <t>PONTIAC</t>
  </si>
  <si>
    <t>joach</t>
  </si>
  <si>
    <t>RAPIDES-DES-JOACHIMS</t>
  </si>
  <si>
    <t>FORT WILLIAM - SHAWVILLE</t>
  </si>
  <si>
    <t>TEMISCAMINGUE</t>
  </si>
  <si>
    <t>VILLE-MARIE</t>
  </si>
  <si>
    <t>temis</t>
  </si>
  <si>
    <t>TEMISCAMING</t>
  </si>
  <si>
    <t>YMT</t>
  </si>
  <si>
    <t>ABITIBI</t>
  </si>
  <si>
    <t>lsarr</t>
  </si>
  <si>
    <t>LA SARRE</t>
  </si>
  <si>
    <t>WNH</t>
  </si>
  <si>
    <t>AMOS</t>
  </si>
  <si>
    <t>quevi</t>
  </si>
  <si>
    <t>LEBEL-SUR-QUEVILLON</t>
  </si>
  <si>
    <t>rouyn</t>
  </si>
  <si>
    <t>ROUYN</t>
  </si>
  <si>
    <t>MALARTIC</t>
  </si>
  <si>
    <t>MAT</t>
  </si>
  <si>
    <t>VAL D OR - LOUVICOURT</t>
  </si>
  <si>
    <t>WSG</t>
  </si>
  <si>
    <t>SENNETERRE</t>
  </si>
  <si>
    <t>MUR</t>
  </si>
  <si>
    <t>PARENT - RESERVOIR GOUIN</t>
  </si>
  <si>
    <t>RESERVOIR GOUIN</t>
  </si>
  <si>
    <t>YCL</t>
  </si>
  <si>
    <t>PARENT</t>
  </si>
  <si>
    <t>WOC</t>
  </si>
  <si>
    <t>MATAGAMI</t>
  </si>
  <si>
    <t>JOUTEL - MATAGAMI</t>
  </si>
  <si>
    <t>YGP</t>
  </si>
  <si>
    <t>mique</t>
  </si>
  <si>
    <t>MIQUELON - DESMARAISVILLE</t>
  </si>
  <si>
    <t>ESC</t>
  </si>
  <si>
    <t>WASKAGANISH</t>
  </si>
  <si>
    <t>ykq</t>
  </si>
  <si>
    <t>YBC</t>
  </si>
  <si>
    <t>ESTRIE</t>
  </si>
  <si>
    <t>BROME-MISSISQUOI</t>
  </si>
  <si>
    <t>YZV</t>
  </si>
  <si>
    <t>GRANBY - WATERLOO</t>
  </si>
  <si>
    <t>YGV</t>
  </si>
  <si>
    <t>MONT-ORFORD - LAC MEMPHREMAGOG</t>
  </si>
  <si>
    <t>RICHMOND</t>
  </si>
  <si>
    <t>YNA</t>
  </si>
  <si>
    <t>SHERBROOKE</t>
  </si>
  <si>
    <t>WBY</t>
  </si>
  <si>
    <t>coati</t>
  </si>
  <si>
    <t>COATICOOK</t>
  </si>
  <si>
    <t>WDM</t>
  </si>
  <si>
    <t>cooks</t>
  </si>
  <si>
    <t>COOKSHIRE</t>
  </si>
  <si>
    <t>YBX</t>
  </si>
  <si>
    <t>WEEDON</t>
  </si>
  <si>
    <t>YGL</t>
  </si>
  <si>
    <t>LAC-MEGANTIC</t>
  </si>
  <si>
    <t>YAH</t>
  </si>
  <si>
    <t>THETFORD MINES</t>
  </si>
  <si>
    <t>YKL</t>
  </si>
  <si>
    <t>BEAUCE</t>
  </si>
  <si>
    <t>SAINT-GEORGES-DE-BEAUCE</t>
  </si>
  <si>
    <t>YWK</t>
  </si>
  <si>
    <t>SAINTE-MARIE-DE-BEAUCE</t>
  </si>
  <si>
    <t>LAC-ETCHEMIN</t>
  </si>
  <si>
    <t>DRUMMONDVILLE - BOIS-FRANCS</t>
  </si>
  <si>
    <t>DRUMMONDVILLE</t>
  </si>
  <si>
    <t>NICOLET</t>
  </si>
  <si>
    <t>VICTORIAVILLE</t>
  </si>
  <si>
    <t>BECANCOUR - VILLEROY</t>
  </si>
  <si>
    <t>MAURICIE</t>
  </si>
  <si>
    <t>mataw</t>
  </si>
  <si>
    <t>MATAWIN - PARC NATIONAL DE LA MAURICIE</t>
  </si>
  <si>
    <t>SHAWINIGAN</t>
  </si>
  <si>
    <t>LOUISEVILLE</t>
  </si>
  <si>
    <t>TROIS-RIVIERES</t>
  </si>
  <si>
    <t>SAINTE-ANNE-DE-LA-PERADE</t>
  </si>
  <si>
    <t>LAC-AUX-SABLES</t>
  </si>
  <si>
    <t>QUEBEC</t>
  </si>
  <si>
    <t>PORTNEUF</t>
  </si>
  <si>
    <t>VALCARTIER - STONEHAM</t>
  </si>
  <si>
    <t>orlea</t>
  </si>
  <si>
    <t>COTE-DE-BEAUPRE - L ILE D ORLEANS</t>
  </si>
  <si>
    <t>LOTBINIERE</t>
  </si>
  <si>
    <t>LEVIS</t>
  </si>
  <si>
    <t>lamber</t>
  </si>
  <si>
    <t>SAINT-LAMBERT</t>
  </si>
  <si>
    <t>BELLECHASSE</t>
  </si>
  <si>
    <t>MONTMAGNY - L ISLET</t>
  </si>
  <si>
    <t>montm</t>
  </si>
  <si>
    <t>MONTMAGNY - SAINT-JEAN-PORT-JOLI</t>
  </si>
  <si>
    <t>SAINT-FABIEN - SAINT-PAMPHILE</t>
  </si>
  <si>
    <t>CHARLEVOIX</t>
  </si>
  <si>
    <t>spaul</t>
  </si>
  <si>
    <t>BAIE-SAINT-PAUL</t>
  </si>
  <si>
    <t>malbe</t>
  </si>
  <si>
    <t>LA MALBAIE</t>
  </si>
  <si>
    <t>RESERVE FAUNIQUE DES LAURENTIDES</t>
  </si>
  <si>
    <t>apica</t>
  </si>
  <si>
    <t>MONT APICA</t>
  </si>
  <si>
    <t>L'ETAPE</t>
  </si>
  <si>
    <t>PARC DES GRANDS-JARDINS</t>
  </si>
  <si>
    <t>LA TUQUE</t>
  </si>
  <si>
    <t>LAC BOUCHETTE</t>
  </si>
  <si>
    <t>touq</t>
  </si>
  <si>
    <t>SAGUENAY</t>
  </si>
  <si>
    <t>FALARDEAU - MONT-VALIN</t>
  </si>
  <si>
    <t>LA VILLE DE SAGUENAY</t>
  </si>
  <si>
    <t>srose</t>
  </si>
  <si>
    <t>SAINTE-ROSE-DU-NORD</t>
  </si>
  <si>
    <t>RIVIERE-ETERNITE - PETIT-SAGUENAY</t>
  </si>
  <si>
    <t>tadou</t>
  </si>
  <si>
    <t>TADOUSSAC - BAIE-SAINTE-CATHERINE</t>
  </si>
  <si>
    <t>LAC SAINT-JEAN</t>
  </si>
  <si>
    <t>resfa</t>
  </si>
  <si>
    <t>LA RESERVE FAUNIQUE ASHUAPMUSHUAN</t>
  </si>
  <si>
    <t>NORMANDIN - PERIBONKA</t>
  </si>
  <si>
    <t>rober</t>
  </si>
  <si>
    <t>SAINT-FELICIEN - ROBERVAL</t>
  </si>
  <si>
    <t>ALMA - DESBIENS</t>
  </si>
  <si>
    <t>CHIBOUGAMAU</t>
  </si>
  <si>
    <t>KAMOURASKA - RIVIERE-DU-LOUP - TROIS-PISTOLES</t>
  </si>
  <si>
    <t>kamou</t>
  </si>
  <si>
    <t>KAMOURASKA</t>
  </si>
  <si>
    <t>poheg</t>
  </si>
  <si>
    <t>POHENEGAMOOK</t>
  </si>
  <si>
    <t>rloup</t>
  </si>
  <si>
    <t>RIVIERE-DU-LOUP</t>
  </si>
  <si>
    <t>3pist</t>
  </si>
  <si>
    <t>TROIS-PISTOLES</t>
  </si>
  <si>
    <t>TEMISCOUATA</t>
  </si>
  <si>
    <t>RIMOUSKI - MONT-JOLI</t>
  </si>
  <si>
    <t>LE BIC - RIMOUSKI</t>
  </si>
  <si>
    <t>r-rim</t>
  </si>
  <si>
    <t>LA RESERVE FAUNIQUE DE RIMOUSKI</t>
  </si>
  <si>
    <t>mjoli</t>
  </si>
  <si>
    <t>MONT-JOLI</t>
  </si>
  <si>
    <t>MATANE</t>
  </si>
  <si>
    <t>mat</t>
  </si>
  <si>
    <t>AMQUI - VALLEE DE LA MATAPEDIA</t>
  </si>
  <si>
    <t>AMQUI</t>
  </si>
  <si>
    <t>matap</t>
  </si>
  <si>
    <t>MATAPEDIA</t>
  </si>
  <si>
    <t>SAINTE-ANNE-DES-MONTS - GRANDE-VALLEE</t>
  </si>
  <si>
    <t>stann</t>
  </si>
  <si>
    <t>SAINTE-ANNE-DES-MONTS</t>
  </si>
  <si>
    <t>grval</t>
  </si>
  <si>
    <t>GRANDE-VALLEE</t>
  </si>
  <si>
    <t>PARC NATIONAL DE LA GASPESIE - MURDOCHVILLE</t>
  </si>
  <si>
    <t>alber</t>
  </si>
  <si>
    <t>MONT-ALBERT</t>
  </si>
  <si>
    <t>grivr</t>
  </si>
  <si>
    <t>GRANDE-RIVIERE - CASCAPEDIA</t>
  </si>
  <si>
    <t>murdo</t>
  </si>
  <si>
    <t>MURDOCHVILLE</t>
  </si>
  <si>
    <t>RESTIGOUCHE - BONAVENTURE</t>
  </si>
  <si>
    <t>resti</t>
  </si>
  <si>
    <t>RESTIGOUCHE - CARLETON</t>
  </si>
  <si>
    <t>bonav</t>
  </si>
  <si>
    <t>NEW RICHMOND - BONAVENTURE</t>
  </si>
  <si>
    <t>NEW CARLISLE - CHANDLER</t>
  </si>
  <si>
    <t>carli</t>
  </si>
  <si>
    <t>NEW CARLISLE - PORT-DANIEL</t>
  </si>
  <si>
    <t>chandl</t>
  </si>
  <si>
    <t xml:space="preserve">CHANDLER </t>
  </si>
  <si>
    <t>PARC NATIONAL DE FORILLON - GASPE - PERCE</t>
  </si>
  <si>
    <t>gaspe</t>
  </si>
  <si>
    <t>PARC NATIONAL DE FORILLON - GASPE</t>
  </si>
  <si>
    <t>perce</t>
  </si>
  <si>
    <t>PERCE</t>
  </si>
  <si>
    <t>LES ESCOUMINS - FORESTVILLE</t>
  </si>
  <si>
    <t>escou</t>
  </si>
  <si>
    <t>LES ESCOUMINS</t>
  </si>
  <si>
    <t>fores</t>
  </si>
  <si>
    <t>FORESTVILLE</t>
  </si>
  <si>
    <t>BAIE-COMEAU</t>
  </si>
  <si>
    <t>ybc</t>
  </si>
  <si>
    <t>RIVIERE MANICOUAGAN</t>
  </si>
  <si>
    <t>mani5</t>
  </si>
  <si>
    <t>MANIC-</t>
  </si>
  <si>
    <t>CHUTES-DES-PASSES - RESERVOIR PIPMUACAN</t>
  </si>
  <si>
    <t>LABRIEVILLE</t>
  </si>
  <si>
    <t>mani3</t>
  </si>
  <si>
    <t>SEPT-ILES - PORT-CARTIER</t>
  </si>
  <si>
    <t>trini</t>
  </si>
  <si>
    <t>BAIE-TRINITE</t>
  </si>
  <si>
    <t>7i-pc</t>
  </si>
  <si>
    <t>MINGANIE</t>
  </si>
  <si>
    <t>ygv</t>
  </si>
  <si>
    <t>ANTICOSTI</t>
  </si>
  <si>
    <t>wby</t>
  </si>
  <si>
    <t>NATASHQUAN</t>
  </si>
  <si>
    <t>yna</t>
  </si>
  <si>
    <t>CHEVERY</t>
  </si>
  <si>
    <t>wdm</t>
  </si>
  <si>
    <t>BLANC-SABLON</t>
  </si>
  <si>
    <t>ybx</t>
  </si>
  <si>
    <t>BAIE JAMES ET RIVIERE LA GRANDE</t>
  </si>
  <si>
    <t>ygl</t>
  </si>
  <si>
    <t>LG QUATRE - LAFORGE ET FONTANGES</t>
  </si>
  <si>
    <t>yah</t>
  </si>
  <si>
    <t>SCHEFFERVILLE</t>
  </si>
  <si>
    <t>ykl</t>
  </si>
  <si>
    <t>FERMONT</t>
  </si>
  <si>
    <t>ywk</t>
  </si>
  <si>
    <t>tous</t>
  </si>
  <si>
    <t>Année</t>
  </si>
  <si>
    <t>date plus hâtive</t>
  </si>
  <si>
    <t>date plus tardive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</si>
</sst>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indexed="10"/>
      <name val="Arial"/>
      <family val="2"/>
    </font>
    <font>
      <sz val="8"/>
      <color rgb="FFFF0000"/>
      <name val="Calibri"/>
      <family val="2"/>
    </font>
    <font>
      <b/>
      <sz val="8"/>
      <name val="Calibri"/>
      <family val="2"/>
      <scheme val="minor"/>
    </font>
    <font>
      <sz val="8"/>
      <color theme="8" tint="-0.249977111117893"/>
      <name val="Calibri"/>
      <family val="2"/>
      <scheme val="minor"/>
    </font>
    <font>
      <sz val="8"/>
      <color indexed="48"/>
      <name val="Calibri"/>
      <family val="2"/>
      <scheme val="minor"/>
    </font>
    <font>
      <sz val="8"/>
      <color indexed="12"/>
      <name val="Calibri"/>
      <family val="2"/>
      <scheme val="minor"/>
    </font>
    <font>
      <b/>
      <sz val="8"/>
      <color indexed="12"/>
      <name val="Calibri"/>
      <family val="2"/>
      <scheme val="minor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70">
    <xf numFmtId="0" fontId="0" fillId="0" borderId="0" xfId="0"/>
    <xf numFmtId="0" fontId="2" fillId="0" borderId="0" xfId="2"/>
    <xf numFmtId="0" fontId="5" fillId="0" borderId="0" xfId="2" applyFont="1"/>
    <xf numFmtId="22" fontId="9" fillId="0" borderId="0" xfId="0" applyNumberFormat="1" applyFont="1" applyFill="1" applyBorder="1"/>
    <xf numFmtId="0" fontId="9" fillId="0" borderId="0" xfId="0" applyFont="1" applyFill="1" applyBorder="1"/>
    <xf numFmtId="22" fontId="9" fillId="0" borderId="0" xfId="0" applyNumberFormat="1" applyFont="1" applyFill="1" applyAlignment="1">
      <alignment vertical="center"/>
    </xf>
    <xf numFmtId="22" fontId="10" fillId="0" borderId="0" xfId="0" applyNumberFormat="1" applyFont="1" applyFill="1" applyBorder="1"/>
    <xf numFmtId="22" fontId="9" fillId="3" borderId="0" xfId="0" applyNumberFormat="1" applyFont="1" applyFill="1" applyBorder="1"/>
    <xf numFmtId="0" fontId="3" fillId="0" borderId="0" xfId="2" applyFont="1"/>
    <xf numFmtId="0" fontId="3" fillId="0" borderId="0" xfId="2" applyFont="1" applyFill="1"/>
    <xf numFmtId="22" fontId="3" fillId="0" borderId="0" xfId="2" applyNumberFormat="1" applyFont="1" applyFill="1"/>
    <xf numFmtId="22" fontId="3" fillId="0" borderId="0" xfId="0" applyNumberFormat="1" applyFont="1"/>
    <xf numFmtId="0" fontId="3" fillId="0" borderId="0" xfId="0" applyFont="1" applyFill="1"/>
    <xf numFmtId="0" fontId="3" fillId="0" borderId="0" xfId="0" applyFont="1"/>
    <xf numFmtId="0" fontId="3" fillId="0" borderId="0" xfId="0" applyFont="1" applyFill="1" applyBorder="1"/>
    <xf numFmtId="22" fontId="3" fillId="0" borderId="0" xfId="0" applyNumberFormat="1" applyFont="1" applyFill="1" applyBorder="1"/>
    <xf numFmtId="16" fontId="9" fillId="0" borderId="0" xfId="0" applyNumberFormat="1" applyFont="1" applyFill="1" applyBorder="1"/>
    <xf numFmtId="22" fontId="11" fillId="0" borderId="0" xfId="0" applyNumberFormat="1" applyFont="1" applyFill="1"/>
    <xf numFmtId="0" fontId="10" fillId="0" borderId="0" xfId="0" applyFont="1" applyFill="1"/>
    <xf numFmtId="0" fontId="9" fillId="0" borderId="0" xfId="0" applyFont="1" applyFill="1"/>
    <xf numFmtId="0" fontId="12" fillId="0" borderId="0" xfId="0" applyFont="1"/>
    <xf numFmtId="22" fontId="10" fillId="0" borderId="0" xfId="0" applyNumberFormat="1" applyFont="1" applyFill="1"/>
    <xf numFmtId="22" fontId="9" fillId="3" borderId="0" xfId="0" applyNumberFormat="1" applyFont="1" applyFill="1"/>
    <xf numFmtId="0" fontId="11" fillId="0" borderId="0" xfId="0" applyFont="1" applyFill="1"/>
    <xf numFmtId="22" fontId="9" fillId="0" borderId="0" xfId="0" applyNumberFormat="1" applyFont="1" applyFill="1"/>
    <xf numFmtId="0" fontId="10" fillId="4" borderId="0" xfId="0" applyFont="1" applyFill="1"/>
    <xf numFmtId="22" fontId="9" fillId="7" borderId="0" xfId="0" applyNumberFormat="1" applyFont="1" applyFill="1" applyBorder="1"/>
    <xf numFmtId="22" fontId="3" fillId="0" borderId="0" xfId="0" applyNumberFormat="1" applyFont="1" applyFill="1" applyAlignment="1">
      <alignment vertical="center"/>
    </xf>
    <xf numFmtId="0" fontId="3" fillId="0" borderId="0" xfId="6" applyFont="1" applyAlignment="1">
      <alignment horizontal="center"/>
    </xf>
    <xf numFmtId="0" fontId="3" fillId="0" borderId="8" xfId="6" applyFont="1" applyBorder="1" applyAlignment="1">
      <alignment horizontal="center"/>
    </xf>
    <xf numFmtId="0" fontId="3" fillId="8" borderId="8" xfId="6" applyFont="1" applyFill="1" applyBorder="1" applyAlignment="1">
      <alignment horizontal="center"/>
    </xf>
    <xf numFmtId="0" fontId="13" fillId="8" borderId="8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13" fillId="0" borderId="0" xfId="6" applyFont="1" applyAlignment="1">
      <alignment horizontal="center"/>
    </xf>
    <xf numFmtId="9" fontId="3" fillId="0" borderId="0" xfId="6" applyNumberFormat="1" applyFont="1" applyAlignment="1">
      <alignment horizontal="center"/>
    </xf>
    <xf numFmtId="0" fontId="3" fillId="0" borderId="0" xfId="6" applyFont="1" applyAlignment="1">
      <alignment horizontal="left"/>
    </xf>
    <xf numFmtId="0" fontId="4" fillId="8" borderId="11" xfId="6" applyFont="1" applyFill="1" applyBorder="1" applyAlignment="1">
      <alignment horizontal="center" vertical="center"/>
    </xf>
    <xf numFmtId="0" fontId="4" fillId="8" borderId="12" xfId="6" applyFont="1" applyFill="1" applyBorder="1" applyAlignment="1">
      <alignment horizontal="center" vertical="center"/>
    </xf>
    <xf numFmtId="0" fontId="4" fillId="8" borderId="5" xfId="6" applyFont="1" applyFill="1" applyBorder="1" applyAlignment="1">
      <alignment horizontal="center"/>
    </xf>
    <xf numFmtId="9" fontId="2" fillId="0" borderId="0" xfId="1" applyFont="1"/>
    <xf numFmtId="164" fontId="2" fillId="0" borderId="0" xfId="1" applyNumberFormat="1" applyFont="1"/>
    <xf numFmtId="0" fontId="2" fillId="0" borderId="0" xfId="2" applyFill="1"/>
    <xf numFmtId="165" fontId="2" fillId="0" borderId="0" xfId="2" applyNumberFormat="1"/>
    <xf numFmtId="0" fontId="2" fillId="0" borderId="0" xfId="2" applyNumberFormat="1"/>
    <xf numFmtId="0" fontId="3" fillId="0" borderId="0" xfId="6" applyFont="1" applyBorder="1" applyAlignment="1"/>
    <xf numFmtId="0" fontId="3" fillId="0" borderId="8" xfId="6" applyFont="1" applyBorder="1" applyAlignment="1"/>
    <xf numFmtId="22" fontId="3" fillId="0" borderId="13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12" fillId="0" borderId="8" xfId="0" applyFont="1" applyBorder="1"/>
    <xf numFmtId="0" fontId="12" fillId="0" borderId="0" xfId="0" applyFont="1" applyBorder="1"/>
    <xf numFmtId="0" fontId="12" fillId="0" borderId="0" xfId="0" applyFont="1" applyFill="1" applyBorder="1"/>
    <xf numFmtId="0" fontId="12" fillId="0" borderId="9" xfId="0" applyFont="1" applyBorder="1"/>
    <xf numFmtId="0" fontId="12" fillId="0" borderId="10" xfId="0" applyFont="1" applyBorder="1"/>
    <xf numFmtId="22" fontId="8" fillId="0" borderId="0" xfId="0" applyNumberFormat="1" applyFont="1" applyFill="1"/>
    <xf numFmtId="22" fontId="8" fillId="0" borderId="11" xfId="0" applyNumberFormat="1" applyFont="1" applyFill="1" applyBorder="1"/>
    <xf numFmtId="0" fontId="3" fillId="0" borderId="11" xfId="0" applyFont="1" applyFill="1" applyBorder="1"/>
    <xf numFmtId="22" fontId="3" fillId="0" borderId="11" xfId="0" applyNumberFormat="1" applyFont="1" applyFill="1" applyBorder="1"/>
    <xf numFmtId="16" fontId="9" fillId="0" borderId="11" xfId="0" applyNumberFormat="1" applyFont="1" applyFill="1" applyBorder="1"/>
    <xf numFmtId="0" fontId="9" fillId="0" borderId="11" xfId="0" applyFont="1" applyFill="1" applyBorder="1"/>
    <xf numFmtId="22" fontId="9" fillId="0" borderId="0" xfId="0" applyNumberFormat="1" applyFont="1" applyFill="1" applyBorder="1" applyAlignment="1">
      <alignment vertical="center"/>
    </xf>
    <xf numFmtId="0" fontId="3" fillId="0" borderId="15" xfId="0" applyFont="1" applyBorder="1" applyAlignment="1">
      <alignment horizontal="left"/>
    </xf>
    <xf numFmtId="22" fontId="3" fillId="0" borderId="15" xfId="0" applyNumberFormat="1" applyFont="1" applyBorder="1" applyAlignment="1">
      <alignment horizontal="left"/>
    </xf>
    <xf numFmtId="22" fontId="9" fillId="0" borderId="8" xfId="0" applyNumberFormat="1" applyFont="1" applyFill="1" applyBorder="1"/>
    <xf numFmtId="0" fontId="3" fillId="0" borderId="8" xfId="2" applyFont="1" applyFill="1" applyBorder="1"/>
    <xf numFmtId="22" fontId="3" fillId="0" borderId="8" xfId="2" applyNumberFormat="1" applyFont="1" applyFill="1" applyBorder="1"/>
    <xf numFmtId="22" fontId="3" fillId="0" borderId="8" xfId="0" applyNumberFormat="1" applyFont="1" applyBorder="1"/>
    <xf numFmtId="22" fontId="3" fillId="0" borderId="8" xfId="0" applyNumberFormat="1" applyFont="1" applyFill="1" applyBorder="1"/>
    <xf numFmtId="22" fontId="3" fillId="0" borderId="8" xfId="2" applyNumberFormat="1" applyFont="1" applyBorder="1"/>
    <xf numFmtId="22" fontId="3" fillId="5" borderId="8" xfId="0" applyNumberFormat="1" applyFont="1" applyFill="1" applyBorder="1"/>
    <xf numFmtId="22" fontId="3" fillId="6" borderId="8" xfId="0" applyNumberFormat="1" applyFont="1" applyFill="1" applyBorder="1"/>
    <xf numFmtId="22" fontId="11" fillId="0" borderId="8" xfId="0" applyNumberFormat="1" applyFont="1" applyFill="1" applyBorder="1"/>
    <xf numFmtId="22" fontId="3" fillId="4" borderId="8" xfId="0" applyNumberFormat="1" applyFont="1" applyFill="1" applyBorder="1"/>
    <xf numFmtId="22" fontId="14" fillId="0" borderId="8" xfId="0" applyNumberFormat="1" applyFont="1" applyFill="1" applyBorder="1"/>
    <xf numFmtId="22" fontId="3" fillId="0" borderId="8" xfId="0" applyNumberFormat="1" applyFont="1" applyFill="1" applyBorder="1" applyAlignment="1">
      <alignment vertical="center"/>
    </xf>
    <xf numFmtId="0" fontId="9" fillId="0" borderId="8" xfId="0" applyFont="1" applyFill="1" applyBorder="1"/>
    <xf numFmtId="0" fontId="9" fillId="0" borderId="9" xfId="0" applyFont="1" applyFill="1" applyBorder="1"/>
    <xf numFmtId="16" fontId="9" fillId="0" borderId="8" xfId="0" applyNumberFormat="1" applyFont="1" applyFill="1" applyBorder="1"/>
    <xf numFmtId="0" fontId="10" fillId="0" borderId="8" xfId="0" applyFont="1" applyFill="1" applyBorder="1"/>
    <xf numFmtId="22" fontId="15" fillId="0" borderId="11" xfId="0" applyNumberFormat="1" applyFont="1" applyFill="1" applyBorder="1" applyAlignment="1">
      <alignment vertical="top"/>
    </xf>
    <xf numFmtId="0" fontId="15" fillId="0" borderId="11" xfId="0" applyFont="1" applyFill="1" applyBorder="1" applyAlignment="1">
      <alignment vertical="top"/>
    </xf>
    <xf numFmtId="0" fontId="15" fillId="0" borderId="6" xfId="0" applyFont="1" applyFill="1" applyBorder="1" applyAlignment="1">
      <alignment vertical="top"/>
    </xf>
    <xf numFmtId="22" fontId="9" fillId="0" borderId="14" xfId="0" applyNumberFormat="1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22" fontId="9" fillId="0" borderId="13" xfId="0" applyNumberFormat="1" applyFont="1" applyBorder="1" applyAlignment="1">
      <alignment horizontal="left"/>
    </xf>
    <xf numFmtId="22" fontId="9" fillId="0" borderId="13" xfId="0" applyNumberFormat="1" applyFont="1" applyFill="1" applyBorder="1" applyAlignment="1">
      <alignment horizontal="left"/>
    </xf>
    <xf numFmtId="0" fontId="16" fillId="0" borderId="15" xfId="0" applyFont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22" fontId="9" fillId="0" borderId="14" xfId="0" applyNumberFormat="1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22" fontId="16" fillId="0" borderId="15" xfId="0" applyNumberFormat="1" applyFont="1" applyBorder="1" applyAlignment="1">
      <alignment horizontal="left"/>
    </xf>
    <xf numFmtId="0" fontId="17" fillId="0" borderId="0" xfId="2" applyFont="1" applyFill="1"/>
    <xf numFmtId="0" fontId="17" fillId="0" borderId="5" xfId="2" applyFont="1" applyFill="1" applyBorder="1"/>
    <xf numFmtId="0" fontId="9" fillId="0" borderId="0" xfId="2" applyFont="1"/>
    <xf numFmtId="16" fontId="9" fillId="0" borderId="0" xfId="2" applyNumberFormat="1" applyFont="1"/>
    <xf numFmtId="0" fontId="9" fillId="0" borderId="8" xfId="2" applyFont="1" applyBorder="1"/>
    <xf numFmtId="0" fontId="18" fillId="0" borderId="0" xfId="2" applyFont="1" applyFill="1"/>
    <xf numFmtId="0" fontId="19" fillId="0" borderId="8" xfId="2" applyFont="1" applyFill="1" applyBorder="1"/>
    <xf numFmtId="22" fontId="9" fillId="0" borderId="0" xfId="2" applyNumberFormat="1" applyFont="1" applyFill="1" applyBorder="1"/>
    <xf numFmtId="0" fontId="18" fillId="0" borderId="0" xfId="2" applyFont="1" applyFill="1" applyBorder="1"/>
    <xf numFmtId="16" fontId="9" fillId="0" borderId="0" xfId="0" applyNumberFormat="1" applyFont="1" applyFill="1"/>
    <xf numFmtId="0" fontId="15" fillId="0" borderId="8" xfId="0" applyFont="1" applyFill="1" applyBorder="1"/>
    <xf numFmtId="16" fontId="9" fillId="0" borderId="0" xfId="2" applyNumberFormat="1" applyFont="1" applyFill="1"/>
    <xf numFmtId="0" fontId="9" fillId="0" borderId="8" xfId="2" applyFont="1" applyFill="1" applyBorder="1"/>
    <xf numFmtId="0" fontId="9" fillId="0" borderId="0" xfId="2" applyFont="1" applyFill="1"/>
    <xf numFmtId="22" fontId="9" fillId="0" borderId="0" xfId="2" applyNumberFormat="1" applyFont="1" applyBorder="1"/>
    <xf numFmtId="22" fontId="9" fillId="0" borderId="0" xfId="2" applyNumberFormat="1" applyFont="1" applyFill="1"/>
    <xf numFmtId="0" fontId="9" fillId="0" borderId="0" xfId="0" applyFont="1"/>
    <xf numFmtId="0" fontId="15" fillId="0" borderId="8" xfId="0" applyFont="1" applyBorder="1"/>
    <xf numFmtId="0" fontId="9" fillId="0" borderId="8" xfId="0" applyFont="1" applyBorder="1"/>
    <xf numFmtId="0" fontId="15" fillId="0" borderId="0" xfId="0" applyFont="1" applyFill="1"/>
    <xf numFmtId="22" fontId="9" fillId="0" borderId="0" xfId="0" applyNumberFormat="1" applyFont="1"/>
    <xf numFmtId="0" fontId="15" fillId="0" borderId="8" xfId="0" applyFont="1" applyBorder="1" applyAlignment="1">
      <alignment horizontal="left"/>
    </xf>
    <xf numFmtId="22" fontId="9" fillId="4" borderId="0" xfId="0" applyNumberFormat="1" applyFont="1" applyFill="1"/>
    <xf numFmtId="0" fontId="15" fillId="0" borderId="8" xfId="0" applyFont="1" applyFill="1" applyBorder="1" applyAlignment="1">
      <alignment horizontal="left"/>
    </xf>
    <xf numFmtId="22" fontId="8" fillId="2" borderId="1" xfId="2" applyNumberFormat="1" applyFont="1" applyFill="1" applyBorder="1" applyAlignment="1">
      <alignment horizontal="left"/>
    </xf>
    <xf numFmtId="0" fontId="8" fillId="2" borderId="1" xfId="2" applyFont="1" applyFill="1" applyBorder="1"/>
    <xf numFmtId="22" fontId="8" fillId="2" borderId="1" xfId="3" applyNumberFormat="1" applyFont="1" applyFill="1" applyBorder="1" applyAlignment="1">
      <alignment horizontal="left"/>
    </xf>
    <xf numFmtId="22" fontId="8" fillId="2" borderId="1" xfId="5" applyNumberFormat="1" applyFont="1" applyFill="1" applyBorder="1" applyAlignment="1">
      <alignment horizontal="left"/>
    </xf>
    <xf numFmtId="0" fontId="20" fillId="0" borderId="1" xfId="2" applyFont="1" applyBorder="1"/>
    <xf numFmtId="0" fontId="2" fillId="0" borderId="0" xfId="2" applyAlignment="1">
      <alignment horizontal="center"/>
    </xf>
    <xf numFmtId="0" fontId="3" fillId="0" borderId="8" xfId="6" applyFont="1" applyBorder="1" applyAlignment="1">
      <alignment horizontal="center"/>
    </xf>
    <xf numFmtId="0" fontId="3" fillId="0" borderId="0" xfId="6" applyFont="1" applyAlignment="1">
      <alignment horizontal="center"/>
    </xf>
    <xf numFmtId="0" fontId="3" fillId="4" borderId="0" xfId="6" applyFont="1" applyFill="1" applyAlignment="1">
      <alignment horizontal="center"/>
    </xf>
    <xf numFmtId="0" fontId="4" fillId="8" borderId="0" xfId="7" applyFont="1" applyFill="1" applyAlignment="1">
      <alignment horizontal="left" vertical="center"/>
    </xf>
    <xf numFmtId="0" fontId="4" fillId="8" borderId="0" xfId="7" applyFont="1" applyFill="1" applyAlignment="1">
      <alignment vertical="center" wrapText="1"/>
    </xf>
    <xf numFmtId="0" fontId="4" fillId="8" borderId="0" xfId="7" applyFont="1" applyFill="1" applyAlignment="1">
      <alignment vertical="center"/>
    </xf>
    <xf numFmtId="0" fontId="21" fillId="9" borderId="0" xfId="0" applyFont="1" applyFill="1"/>
    <xf numFmtId="0" fontId="25" fillId="0" borderId="0" xfId="7" applyFont="1"/>
    <xf numFmtId="0" fontId="3" fillId="0" borderId="0" xfId="7" applyFont="1"/>
    <xf numFmtId="0" fontId="3" fillId="0" borderId="5" xfId="7" applyFont="1" applyFill="1" applyBorder="1" applyAlignment="1">
      <alignment vertical="center"/>
    </xf>
    <xf numFmtId="0" fontId="4" fillId="0" borderId="0" xfId="7" applyFont="1" applyAlignment="1">
      <alignment horizontal="left"/>
    </xf>
    <xf numFmtId="0" fontId="24" fillId="0" borderId="0" xfId="7" applyFont="1" applyAlignment="1">
      <alignment horizontal="center" vertical="center"/>
    </xf>
    <xf numFmtId="0" fontId="24" fillId="0" borderId="0" xfId="7" applyFont="1" applyAlignment="1">
      <alignment horizontal="left"/>
    </xf>
    <xf numFmtId="0" fontId="24" fillId="0" borderId="0" xfId="7" applyFont="1" applyAlignment="1">
      <alignment horizontal="left" vertical="center" wrapText="1"/>
    </xf>
    <xf numFmtId="0" fontId="25" fillId="0" borderId="0" xfId="7" applyFont="1" applyAlignment="1">
      <alignment vertical="center"/>
    </xf>
    <xf numFmtId="0" fontId="24" fillId="0" borderId="0" xfId="7" applyFont="1" applyAlignment="1">
      <alignment horizontal="center" vertical="center" wrapText="1"/>
    </xf>
    <xf numFmtId="0" fontId="25" fillId="0" borderId="0" xfId="7" applyFont="1" applyAlignment="1">
      <alignment horizontal="left" vertical="center" wrapText="1"/>
    </xf>
    <xf numFmtId="0" fontId="5" fillId="0" borderId="0" xfId="7"/>
    <xf numFmtId="0" fontId="3" fillId="10" borderId="0" xfId="6" applyFont="1" applyFill="1" applyBorder="1" applyAlignment="1">
      <alignment horizontal="center"/>
    </xf>
    <xf numFmtId="0" fontId="3" fillId="10" borderId="8" xfId="6" applyFont="1" applyFill="1" applyBorder="1" applyAlignment="1">
      <alignment horizontal="center"/>
    </xf>
    <xf numFmtId="0" fontId="13" fillId="10" borderId="8" xfId="6" applyFont="1" applyFill="1" applyBorder="1" applyAlignment="1">
      <alignment horizontal="center"/>
    </xf>
    <xf numFmtId="0" fontId="2" fillId="0" borderId="0" xfId="2" applyAlignment="1"/>
    <xf numFmtId="0" fontId="13" fillId="10" borderId="0" xfId="6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0" xfId="2" applyAlignment="1">
      <alignment horizontal="center"/>
    </xf>
    <xf numFmtId="0" fontId="3" fillId="0" borderId="0" xfId="6" applyFont="1" applyBorder="1" applyAlignment="1">
      <alignment horizontal="center"/>
    </xf>
    <xf numFmtId="0" fontId="3" fillId="0" borderId="8" xfId="6" applyFont="1" applyBorder="1" applyAlignment="1">
      <alignment horizontal="center"/>
    </xf>
    <xf numFmtId="0" fontId="3" fillId="0" borderId="7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7" xfId="6" applyFont="1" applyBorder="1" applyAlignment="1">
      <alignment horizontal="center"/>
    </xf>
    <xf numFmtId="0" fontId="3" fillId="0" borderId="0" xfId="6" applyFont="1" applyAlignment="1">
      <alignment horizontal="center"/>
    </xf>
    <xf numFmtId="0" fontId="3" fillId="8" borderId="2" xfId="6" applyFont="1" applyFill="1" applyBorder="1" applyAlignment="1">
      <alignment horizontal="center"/>
    </xf>
    <xf numFmtId="0" fontId="3" fillId="8" borderId="3" xfId="6" applyFont="1" applyFill="1" applyBorder="1" applyAlignment="1">
      <alignment horizontal="center"/>
    </xf>
    <xf numFmtId="0" fontId="3" fillId="8" borderId="4" xfId="6" applyFont="1" applyFill="1" applyBorder="1" applyAlignment="1">
      <alignment horizontal="center"/>
    </xf>
    <xf numFmtId="0" fontId="24" fillId="0" borderId="0" xfId="7" applyFont="1" applyAlignment="1">
      <alignment horizontal="left" vertical="center" wrapText="1"/>
    </xf>
    <xf numFmtId="0" fontId="4" fillId="0" borderId="0" xfId="7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3" fillId="0" borderId="0" xfId="7" applyFont="1" applyAlignment="1">
      <alignment horizontal="left" vertical="center" wrapText="1"/>
    </xf>
    <xf numFmtId="22" fontId="27" fillId="2" borderId="1" xfId="2" applyNumberFormat="1" applyFont="1" applyFill="1" applyBorder="1" applyAlignment="1">
      <alignment horizontal="left"/>
    </xf>
    <xf numFmtId="0" fontId="27" fillId="2" borderId="1" xfId="2" applyFont="1" applyFill="1" applyBorder="1"/>
    <xf numFmtId="0" fontId="27" fillId="2" borderId="1" xfId="2" applyFont="1" applyFill="1" applyBorder="1" applyAlignment="1">
      <alignment horizontal="center"/>
    </xf>
    <xf numFmtId="0" fontId="8" fillId="2" borderId="1" xfId="2" applyFont="1" applyFill="1" applyBorder="1" applyAlignment="1">
      <alignment horizontal="center"/>
    </xf>
    <xf numFmtId="22" fontId="26" fillId="2" borderId="1" xfId="2" applyNumberFormat="1" applyFont="1" applyFill="1" applyBorder="1" applyAlignment="1">
      <alignment horizontal="center"/>
    </xf>
    <xf numFmtId="0" fontId="26" fillId="2" borderId="1" xfId="2" applyFont="1" applyFill="1" applyBorder="1" applyAlignment="1">
      <alignment horizontal="center"/>
    </xf>
  </cellXfs>
  <cellStyles count="8">
    <cellStyle name="Normal" xfId="0" builtinId="0"/>
    <cellStyle name="Normal 2" xfId="2"/>
    <cellStyle name="Normal 2 2" xfId="3"/>
    <cellStyle name="Normal 2 2 2" xfId="5"/>
    <cellStyle name="Normal 4" xfId="6"/>
    <cellStyle name="Normal 5" xfId="4"/>
    <cellStyle name="Normal_Feuil1 2" xfId="7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Moyenne</a:t>
            </a:r>
            <a:r>
              <a:rPr lang="en-CA" baseline="0"/>
              <a:t> mensuelle des tornades </a:t>
            </a:r>
            <a:r>
              <a:rPr lang="en-CA"/>
              <a:t>depuis 1982</a:t>
            </a:r>
          </a:p>
        </c:rich>
      </c:tx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cat>
            <c:strRef>
              <c:f>Statistique!$A$2:$A$13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Statistique!$B$2:$B$13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 formatCode="0.0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75D-44C0-B114-161773E14492}"/>
            </c:ext>
          </c:extLst>
        </c:ser>
        <c:dLbls/>
        <c:gapWidth val="100"/>
        <c:overlap val="-24"/>
        <c:axId val="163448320"/>
        <c:axId val="163449856"/>
      </c:barChart>
      <c:catAx>
        <c:axId val="1634483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449856"/>
        <c:crosses val="autoZero"/>
        <c:auto val="1"/>
        <c:lblAlgn val="ctr"/>
        <c:lblOffset val="100"/>
      </c:catAx>
      <c:valAx>
        <c:axId val="1634498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44832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>
          <a:solidFill>
            <a:schemeClr val="accent3"/>
          </a:solidFill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4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FRÉQUENCE HORAIRE TORNADES depuis 1988</a:t>
            </a:r>
          </a:p>
        </c:rich>
      </c:tx>
      <c:layout>
        <c:manualLayout>
          <c:xMode val="edge"/>
          <c:yMode val="edge"/>
          <c:x val="0.13077575362251317"/>
          <c:y val="4.2343081197979839E-2"/>
        </c:manualLayout>
      </c:layout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1"/>
          <c:order val="0"/>
          <c:tx>
            <c:v>Occurence</c:v>
          </c:tx>
          <c:spPr>
            <a:gradFill rotWithShape="1">
              <a:gsLst>
                <a:gs pos="0">
                  <a:schemeClr val="accent2">
                    <a:tint val="77000"/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tint val="77000"/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tint val="77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tint val="77000"/>
                  <a:shade val="95000"/>
                </a:schemeClr>
              </a:solidFill>
              <a:round/>
            </a:ln>
            <a:effectLst/>
          </c:spPr>
          <c:cat>
            <c:numRef>
              <c:f>Statistique!$A$27:$A$49</c:f>
              <c:numCache>
                <c:formatCode>General</c:formatCode>
                <c:ptCount val="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Statistique!$B$27:$B$50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7C-44D9-BB39-CFFD1DCDC5DD}"/>
            </c:ext>
          </c:extLst>
        </c:ser>
        <c:dLbls/>
        <c:gapWidth val="100"/>
        <c:overlap val="-24"/>
        <c:axId val="163504128"/>
        <c:axId val="163506048"/>
      </c:barChart>
      <c:catAx>
        <c:axId val="163504128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HEURE (TU)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06048"/>
        <c:crosses val="autoZero"/>
        <c:auto val="1"/>
        <c:lblAlgn val="ctr"/>
        <c:lblOffset val="100"/>
      </c:catAx>
      <c:valAx>
        <c:axId val="1635060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0412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DISTRIBUTION INTENSITÉ TORNADE</a:t>
            </a:r>
          </a:p>
        </c:rich>
      </c:tx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1863862696175326"/>
          <c:y val="0.19140712506478089"/>
          <c:w val="0.84525042394392069"/>
          <c:h val="0.6508457461925542"/>
        </c:manualLayout>
      </c:layout>
      <c:barChart>
        <c:barDir val="col"/>
        <c:grouping val="clustered"/>
        <c:ser>
          <c:idx val="0"/>
          <c:order val="0"/>
          <c:tx>
            <c:strRef>
              <c:f>Statistique!$B$16</c:f>
              <c:strCache>
                <c:ptCount val="1"/>
                <c:pt idx="0">
                  <c:v>F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cat>
            <c:numRef>
              <c:f>Statistique!$A$17:$A$22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Statistique!$B$17:$B$22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A1F-4F89-ADA2-CAD101D37377}"/>
            </c:ext>
          </c:extLst>
        </c:ser>
        <c:ser>
          <c:idx val="1"/>
          <c:order val="1"/>
          <c:tx>
            <c:strRef>
              <c:f>Statistique!$C$16</c:f>
              <c:strCache>
                <c:ptCount val="1"/>
                <c:pt idx="0">
                  <c:v>EF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cat>
            <c:numRef>
              <c:f>Statistique!$A$17:$A$22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Statistique!$C$17:$C$22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A1F-4F89-ADA2-CAD101D37377}"/>
            </c:ext>
          </c:extLst>
        </c:ser>
        <c:dLbls/>
        <c:gapWidth val="100"/>
        <c:overlap val="-24"/>
        <c:axId val="164027008"/>
        <c:axId val="164049664"/>
      </c:barChart>
      <c:catAx>
        <c:axId val="164027008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intensité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49664"/>
        <c:crosses val="autoZero"/>
        <c:auto val="1"/>
        <c:lblAlgn val="ctr"/>
        <c:lblOffset val="100"/>
      </c:catAx>
      <c:valAx>
        <c:axId val="1640496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nbr</a:t>
                </a:r>
                <a:r>
                  <a:rPr lang="en-CA" baseline="0"/>
                  <a:t> tornadeS</a:t>
                </a:r>
                <a:endParaRPr lang="en-CA"/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2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0"/>
          <c:order val="0"/>
          <c:tx>
            <c:v>WF en vigueur</c:v>
          </c:tx>
          <c:spPr>
            <a:solidFill>
              <a:srgbClr val="7030A0"/>
            </a:solidFill>
          </c:spP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Statistique!$AB$3:$AB$22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26D-435C-B2AB-46D4D46FE470}"/>
            </c:ext>
          </c:extLst>
        </c:ser>
        <c:ser>
          <c:idx val="1"/>
          <c:order val="1"/>
          <c:tx>
            <c:v>WU+mention</c:v>
          </c:tx>
          <c:spPr>
            <a:solidFill>
              <a:srgbClr val="C00000"/>
            </a:solidFill>
            <a:ln>
              <a:noFill/>
            </a:ln>
          </c:spP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Statistique!$X$3:$X$22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26D-435C-B2AB-46D4D46FE470}"/>
            </c:ext>
          </c:extLst>
        </c:ser>
        <c:ser>
          <c:idx val="3"/>
          <c:order val="2"/>
          <c:tx>
            <c:v>Alerte</c:v>
          </c:tx>
          <c:spPr>
            <a:solidFill>
              <a:srgbClr val="FF0000"/>
            </a:solidFill>
          </c:spP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Statistique!$V$3:$V$22</c:f>
              <c:numCache>
                <c:formatCode>General</c:formatCode>
                <c:ptCount val="20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3</c:v>
                </c:pt>
                <c:pt idx="11">
                  <c:v>4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26D-435C-B2AB-46D4D46FE470}"/>
            </c:ext>
          </c:extLst>
        </c:ser>
        <c:ser>
          <c:idx val="4"/>
          <c:order val="3"/>
          <c:tx>
            <c:v>Veille seulement</c:v>
          </c:tx>
          <c:spPr>
            <a:solidFill>
              <a:srgbClr val="FFFF00"/>
            </a:solidFill>
          </c:spP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Statistique!$U$3:$U$22</c:f>
              <c:numCache>
                <c:formatCode>General</c:formatCode>
                <c:ptCount val="20"/>
                <c:pt idx="0">
                  <c:v>6</c:v>
                </c:pt>
                <c:pt idx="1">
                  <c:v>5</c:v>
                </c:pt>
                <c:pt idx="2">
                  <c:v>3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5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2</c:v>
                </c:pt>
                <c:pt idx="13">
                  <c:v>6</c:v>
                </c:pt>
                <c:pt idx="14">
                  <c:v>1</c:v>
                </c:pt>
                <c:pt idx="15">
                  <c:v>4</c:v>
                </c:pt>
                <c:pt idx="16">
                  <c:v>7</c:v>
                </c:pt>
                <c:pt idx="17">
                  <c:v>5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26D-435C-B2AB-46D4D46FE470}"/>
            </c:ext>
          </c:extLst>
        </c:ser>
        <c:ser>
          <c:idx val="5"/>
          <c:order val="4"/>
          <c:tx>
            <c:v>Aucun</c:v>
          </c:tx>
          <c:spPr>
            <a:solidFill>
              <a:sysClr val="window" lastClr="FFFFFF"/>
            </a:solidFill>
          </c:spP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Statistique!$Y$3:$Y$22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26D-435C-B2AB-46D4D46FE470}"/>
            </c:ext>
          </c:extLst>
        </c:ser>
        <c:dLbls/>
        <c:shape val="box"/>
        <c:axId val="164114816"/>
        <c:axId val="164116736"/>
        <c:axId val="0"/>
      </c:bar3DChart>
      <c:dateAx>
        <c:axId val="164114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116736"/>
        <c:crosses val="autoZero"/>
        <c:lblOffset val="100"/>
        <c:baseTimeUnit val="days"/>
        <c:majorUnit val="2"/>
        <c:majorTimeUnit val="days"/>
        <c:minorUnit val="2"/>
        <c:minorTimeUnit val="days"/>
      </c:dateAx>
      <c:valAx>
        <c:axId val="164116736"/>
        <c:scaling>
          <c:orientation val="minMax"/>
          <c:max val="1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114816"/>
        <c:crosses val="autoZero"/>
        <c:crossBetween val="between"/>
        <c:majorUnit val="3"/>
        <c:minorUnit val="1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211637181715921"/>
          <c:h val="0.32802532921207211"/>
        </c:manualLayout>
      </c:layout>
      <c:spPr>
        <a:solidFill>
          <a:sysClr val="window" lastClr="FFFFFF">
            <a:lumMod val="85000"/>
          </a:sys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Alertes et mentions de tornade 
</a:t>
            </a:r>
          </a:p>
        </c:rich>
      </c:tx>
      <c:layout>
        <c:manualLayout>
          <c:xMode val="edge"/>
          <c:yMode val="edge"/>
          <c:x val="0.33875381430979667"/>
          <c:y val="3.3132530120481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141043335349115E-2"/>
          <c:y val="0.20180722891566266"/>
          <c:w val="0.7899739450663017"/>
          <c:h val="0.59036144578313243"/>
        </c:manualLayout>
      </c:layout>
      <c:barChart>
        <c:barDir val="col"/>
        <c:grouping val="stacked"/>
        <c:ser>
          <c:idx val="0"/>
          <c:order val="0"/>
          <c:tx>
            <c:v>Observés</c:v>
          </c:tx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Statistique!$S$3:$S$22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85F-42C7-A7E1-104CE66AD6AD}"/>
            </c:ext>
          </c:extLst>
        </c:ser>
        <c:dLbls/>
        <c:overlap val="100"/>
        <c:axId val="164167040"/>
        <c:axId val="164197888"/>
      </c:barChart>
      <c:lineChart>
        <c:grouping val="standard"/>
        <c:ser>
          <c:idx val="2"/>
          <c:order val="1"/>
          <c:tx>
            <c:v>WF émis</c:v>
          </c:tx>
          <c:marker>
            <c:symbol val="triangle"/>
            <c:size val="5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Stat_Tornade_V2017!$A$3:$A$13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Statistique!$AA$3:$AA$22</c:f>
              <c:numCache>
                <c:formatCode>General</c:formatCode>
                <c:ptCount val="20"/>
                <c:pt idx="0">
                  <c:v>5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12</c:v>
                </c:pt>
                <c:pt idx="9">
                  <c:v>3</c:v>
                </c:pt>
                <c:pt idx="10">
                  <c:v>5</c:v>
                </c:pt>
                <c:pt idx="11">
                  <c:v>29</c:v>
                </c:pt>
                <c:pt idx="12">
                  <c:v>20</c:v>
                </c:pt>
                <c:pt idx="13">
                  <c:v>16</c:v>
                </c:pt>
                <c:pt idx="14">
                  <c:v>6</c:v>
                </c:pt>
                <c:pt idx="15">
                  <c:v>1</c:v>
                </c:pt>
                <c:pt idx="16">
                  <c:v>24</c:v>
                </c:pt>
                <c:pt idx="17">
                  <c:v>4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85F-42C7-A7E1-104CE66AD6AD}"/>
            </c:ext>
          </c:extLst>
        </c:ser>
        <c:dLbls/>
        <c:marker val="1"/>
        <c:axId val="164167040"/>
        <c:axId val="164197888"/>
      </c:lineChart>
      <c:lineChart>
        <c:grouping val="standard"/>
        <c:ser>
          <c:idx val="3"/>
          <c:order val="2"/>
          <c:tx>
            <c:v>Mention</c:v>
          </c:tx>
          <c:marker>
            <c:symbol val="diamond"/>
            <c:size val="8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Statistique!$X$3:$X$22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85F-42C7-A7E1-104CE66AD6AD}"/>
            </c:ext>
          </c:extLst>
        </c:ser>
        <c:dLbls/>
        <c:marker val="1"/>
        <c:axId val="164199808"/>
        <c:axId val="164320384"/>
      </c:lineChart>
      <c:catAx>
        <c:axId val="1641670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40493210706383"/>
              <c:y val="0.8463855421686747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197888"/>
        <c:crosses val="autoZero"/>
        <c:lblAlgn val="ctr"/>
        <c:lblOffset val="100"/>
        <c:tickLblSkip val="2"/>
        <c:tickMarkSkip val="2"/>
      </c:catAx>
      <c:valAx>
        <c:axId val="164197888"/>
        <c:scaling>
          <c:orientation val="minMax"/>
          <c:max val="30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WF/Tornades</a:t>
                </a:r>
              </a:p>
            </c:rich>
          </c:tx>
          <c:layout>
            <c:manualLayout>
              <c:xMode val="edge"/>
              <c:yMode val="edge"/>
              <c:x val="2.3035230352303534E-2"/>
              <c:y val="0.3765060240963855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167040"/>
        <c:crosses val="autoZero"/>
        <c:crossBetween val="between"/>
        <c:majorUnit val="5"/>
      </c:valAx>
      <c:catAx>
        <c:axId val="164199808"/>
        <c:scaling>
          <c:orientation val="minMax"/>
        </c:scaling>
        <c:delete val="1"/>
        <c:axPos val="b"/>
        <c:numFmt formatCode="General" sourceLinked="1"/>
        <c:tickLblPos val="none"/>
        <c:crossAx val="164320384"/>
        <c:crosses val="autoZero"/>
        <c:lblAlgn val="ctr"/>
        <c:lblOffset val="100"/>
      </c:catAx>
      <c:valAx>
        <c:axId val="164320384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Mentions</a:t>
                </a:r>
              </a:p>
            </c:rich>
          </c:tx>
          <c:layout>
            <c:manualLayout>
              <c:xMode val="edge"/>
              <c:yMode val="edge"/>
              <c:x val="0.92683054862044678"/>
              <c:y val="0.4126506024096385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199808"/>
        <c:crosses val="max"/>
        <c:crossBetween val="between"/>
        <c:majorUnit val="1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203280484248408"/>
          <c:y val="0.89156626506024061"/>
          <c:w val="0.4173447424762961"/>
          <c:h val="7.228915662650603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Mentions de tornade 
Fausses - Réussis - Manqués</a:t>
            </a:r>
          </a:p>
        </c:rich>
      </c:tx>
      <c:layout>
        <c:manualLayout>
          <c:xMode val="edge"/>
          <c:yMode val="edge"/>
          <c:x val="0.34599728629579379"/>
          <c:y val="3.32326283987915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265943012211665E-2"/>
          <c:y val="0.20241721702879686"/>
          <c:w val="0.78968792401628218"/>
          <c:h val="0.58912473612858796"/>
        </c:manualLayout>
      </c:layout>
      <c:barChart>
        <c:barDir val="col"/>
        <c:grouping val="stacked"/>
        <c:ser>
          <c:idx val="0"/>
          <c:order val="0"/>
          <c:tx>
            <c:v>Manqués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Stat_Tornade!$N$3:$N$17</c:f>
              <c:numCache>
                <c:formatCode>General</c:formatCode>
                <c:ptCount val="15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EC8-4AC8-9EDE-8C6253A6DFC9}"/>
            </c:ext>
          </c:extLst>
        </c:ser>
        <c:ser>
          <c:idx val="2"/>
          <c:order val="1"/>
          <c:tx>
            <c:v>Réussis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Stat_Tornade!$L$3:$L$17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EC8-4AC8-9EDE-8C6253A6DFC9}"/>
            </c:ext>
          </c:extLst>
        </c:ser>
        <c:dLbls/>
        <c:overlap val="100"/>
        <c:axId val="164432512"/>
        <c:axId val="164492032"/>
      </c:barChart>
      <c:lineChart>
        <c:grouping val="standard"/>
        <c:ser>
          <c:idx val="3"/>
          <c:order val="2"/>
          <c:tx>
            <c:v>Fausses alertes</c:v>
          </c:tx>
          <c:spPr>
            <a:ln w="12700">
              <a:solidFill>
                <a:srgbClr val="008000"/>
              </a:solidFill>
              <a:prstDash val="sysDash"/>
            </a:ln>
          </c:spPr>
          <c:marker>
            <c:symbol val="diamond"/>
            <c:size val="8"/>
            <c:spPr>
              <a:noFill/>
              <a:ln>
                <a:solidFill>
                  <a:srgbClr val="008000"/>
                </a:solidFill>
                <a:prstDash val="solid"/>
              </a:ln>
            </c:spPr>
          </c:marker>
          <c:dLbls>
            <c:dLbl>
              <c:idx val="14"/>
              <c:layout>
                <c:manualLayout>
                  <c:x val="-3.2564450474898234E-2"/>
                  <c:y val="-8.1911262798634865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C8-4AC8-9EDE-8C6253A6DFC9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Stat_Tornade!$M$3:$M$17</c:f>
              <c:numCache>
                <c:formatCode>General</c:formatCode>
                <c:ptCount val="15"/>
                <c:pt idx="0">
                  <c:v>14</c:v>
                </c:pt>
                <c:pt idx="1">
                  <c:v>120</c:v>
                </c:pt>
                <c:pt idx="2">
                  <c:v>45</c:v>
                </c:pt>
                <c:pt idx="3">
                  <c:v>79</c:v>
                </c:pt>
                <c:pt idx="4">
                  <c:v>95</c:v>
                </c:pt>
                <c:pt idx="5">
                  <c:v>235</c:v>
                </c:pt>
                <c:pt idx="6">
                  <c:v>122</c:v>
                </c:pt>
                <c:pt idx="7">
                  <c:v>218</c:v>
                </c:pt>
                <c:pt idx="8">
                  <c:v>19</c:v>
                </c:pt>
                <c:pt idx="9">
                  <c:v>254</c:v>
                </c:pt>
                <c:pt idx="10">
                  <c:v>505</c:v>
                </c:pt>
                <c:pt idx="11">
                  <c:v>323</c:v>
                </c:pt>
                <c:pt idx="12">
                  <c:v>426</c:v>
                </c:pt>
                <c:pt idx="13">
                  <c:v>263</c:v>
                </c:pt>
                <c:pt idx="14">
                  <c:v>403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EC8-4AC8-9EDE-8C6253A6DFC9}"/>
            </c:ext>
          </c:extLst>
        </c:ser>
        <c:dLbls/>
        <c:marker val="1"/>
        <c:axId val="164493952"/>
        <c:axId val="164241792"/>
      </c:lineChart>
      <c:catAx>
        <c:axId val="1644325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24016282225237"/>
              <c:y val="0.845922718874642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492032"/>
        <c:crosses val="autoZero"/>
        <c:lblAlgn val="ctr"/>
        <c:lblOffset val="100"/>
        <c:tickLblSkip val="1"/>
        <c:tickMarkSkip val="1"/>
      </c:catAx>
      <c:valAx>
        <c:axId val="164492032"/>
        <c:scaling>
          <c:orientation val="minMax"/>
          <c:max val="10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Hit/Miss</a:t>
                </a:r>
              </a:p>
            </c:rich>
          </c:tx>
          <c:layout>
            <c:manualLayout>
              <c:xMode val="edge"/>
              <c:yMode val="edge"/>
              <c:x val="2.3066485753052909E-2"/>
              <c:y val="0.4229613594373210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432512"/>
        <c:crosses val="autoZero"/>
        <c:crossBetween val="between"/>
        <c:majorUnit val="2"/>
      </c:valAx>
      <c:catAx>
        <c:axId val="164493952"/>
        <c:scaling>
          <c:orientation val="minMax"/>
        </c:scaling>
        <c:delete val="1"/>
        <c:axPos val="b"/>
        <c:numFmt formatCode="General" sourceLinked="1"/>
        <c:tickLblPos val="none"/>
        <c:crossAx val="164241792"/>
        <c:crosses val="autoZero"/>
        <c:lblAlgn val="ctr"/>
        <c:lblOffset val="100"/>
      </c:catAx>
      <c:valAx>
        <c:axId val="164241792"/>
        <c:scaling>
          <c:orientation val="minMax"/>
          <c:max val="550"/>
          <c:min val="0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Fausses alertes</a:t>
                </a:r>
              </a:p>
            </c:rich>
          </c:tx>
          <c:layout>
            <c:manualLayout>
              <c:xMode val="edge"/>
              <c:yMode val="edge"/>
              <c:x val="0.93577566711895077"/>
              <c:y val="0.301888509670079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493952"/>
        <c:crosses val="max"/>
        <c:crossBetween val="between"/>
        <c:majorUnit val="1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388059701492538"/>
          <c:y val="0.88821879138219484"/>
          <c:w val="0.47218453188602455"/>
          <c:h val="7.2507552870090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Mentions de tornade 
Fausses - Réussis - Manqués</a:t>
            </a:r>
          </a:p>
        </c:rich>
      </c:tx>
      <c:layout>
        <c:manualLayout>
          <c:xMode val="edge"/>
          <c:yMode val="edge"/>
          <c:x val="0.34599728629579379"/>
          <c:y val="3.32326283987915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265943012211665E-2"/>
          <c:y val="0.20241721702879686"/>
          <c:w val="0.78968792401628218"/>
          <c:h val="0.58912473612858796"/>
        </c:manualLayout>
      </c:layout>
      <c:barChart>
        <c:barDir val="col"/>
        <c:grouping val="stacked"/>
        <c:ser>
          <c:idx val="0"/>
          <c:order val="0"/>
          <c:tx>
            <c:v>Manqués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Stat_Tornade!$N$3:$N$17</c:f>
              <c:numCache>
                <c:formatCode>General</c:formatCode>
                <c:ptCount val="15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0D-43F3-AFDF-3C236F89278B}"/>
            </c:ext>
          </c:extLst>
        </c:ser>
        <c:ser>
          <c:idx val="2"/>
          <c:order val="1"/>
          <c:tx>
            <c:v>Réussis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Stat_Tornade!$L$3:$L$17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80D-43F3-AFDF-3C236F89278B}"/>
            </c:ext>
          </c:extLst>
        </c:ser>
        <c:dLbls/>
        <c:overlap val="100"/>
        <c:axId val="164910976"/>
        <c:axId val="164929536"/>
      </c:barChart>
      <c:lineChart>
        <c:grouping val="standard"/>
        <c:ser>
          <c:idx val="3"/>
          <c:order val="2"/>
          <c:tx>
            <c:v>Fausses alertes</c:v>
          </c:tx>
          <c:spPr>
            <a:ln w="12700">
              <a:solidFill>
                <a:srgbClr val="008000"/>
              </a:solidFill>
              <a:prstDash val="sysDash"/>
            </a:ln>
          </c:spPr>
          <c:marker>
            <c:symbol val="diamond"/>
            <c:size val="8"/>
            <c:spPr>
              <a:noFill/>
              <a:ln>
                <a:solidFill>
                  <a:srgbClr val="008000"/>
                </a:solidFill>
                <a:prstDash val="solid"/>
              </a:ln>
            </c:spPr>
          </c:marker>
          <c:dLbls>
            <c:dLbl>
              <c:idx val="14"/>
              <c:layout>
                <c:manualLayout>
                  <c:x val="-3.2564450474898234E-2"/>
                  <c:y val="-8.1911262798634865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80D-43F3-AFDF-3C236F89278B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Stat_Tornade!$M$3:$M$17</c:f>
              <c:numCache>
                <c:formatCode>General</c:formatCode>
                <c:ptCount val="15"/>
                <c:pt idx="0">
                  <c:v>14</c:v>
                </c:pt>
                <c:pt idx="1">
                  <c:v>120</c:v>
                </c:pt>
                <c:pt idx="2">
                  <c:v>45</c:v>
                </c:pt>
                <c:pt idx="3">
                  <c:v>79</c:v>
                </c:pt>
                <c:pt idx="4">
                  <c:v>95</c:v>
                </c:pt>
                <c:pt idx="5">
                  <c:v>235</c:v>
                </c:pt>
                <c:pt idx="6">
                  <c:v>122</c:v>
                </c:pt>
                <c:pt idx="7">
                  <c:v>218</c:v>
                </c:pt>
                <c:pt idx="8">
                  <c:v>19</c:v>
                </c:pt>
                <c:pt idx="9">
                  <c:v>254</c:v>
                </c:pt>
                <c:pt idx="10">
                  <c:v>505</c:v>
                </c:pt>
                <c:pt idx="11">
                  <c:v>323</c:v>
                </c:pt>
                <c:pt idx="12">
                  <c:v>426</c:v>
                </c:pt>
                <c:pt idx="13">
                  <c:v>263</c:v>
                </c:pt>
                <c:pt idx="14">
                  <c:v>403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80D-43F3-AFDF-3C236F89278B}"/>
            </c:ext>
          </c:extLst>
        </c:ser>
        <c:dLbls/>
        <c:marker val="1"/>
        <c:axId val="164931456"/>
        <c:axId val="164932992"/>
      </c:lineChart>
      <c:catAx>
        <c:axId val="1649109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24016282225237"/>
              <c:y val="0.845922718874642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929536"/>
        <c:crosses val="autoZero"/>
        <c:lblAlgn val="ctr"/>
        <c:lblOffset val="100"/>
        <c:tickLblSkip val="1"/>
        <c:tickMarkSkip val="1"/>
      </c:catAx>
      <c:valAx>
        <c:axId val="164929536"/>
        <c:scaling>
          <c:orientation val="minMax"/>
          <c:max val="10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Hit/Miss</a:t>
                </a:r>
              </a:p>
            </c:rich>
          </c:tx>
          <c:layout>
            <c:manualLayout>
              <c:xMode val="edge"/>
              <c:yMode val="edge"/>
              <c:x val="2.3066485753052909E-2"/>
              <c:y val="0.4229613594373210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910976"/>
        <c:crosses val="autoZero"/>
        <c:crossBetween val="between"/>
        <c:majorUnit val="2"/>
      </c:valAx>
      <c:catAx>
        <c:axId val="164931456"/>
        <c:scaling>
          <c:orientation val="minMax"/>
        </c:scaling>
        <c:delete val="1"/>
        <c:axPos val="b"/>
        <c:numFmt formatCode="General" sourceLinked="1"/>
        <c:tickLblPos val="none"/>
        <c:crossAx val="164932992"/>
        <c:crosses val="autoZero"/>
        <c:lblAlgn val="ctr"/>
        <c:lblOffset val="100"/>
      </c:catAx>
      <c:valAx>
        <c:axId val="164932992"/>
        <c:scaling>
          <c:orientation val="minMax"/>
          <c:max val="550"/>
          <c:min val="0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Fausses alertes</a:t>
                </a:r>
              </a:p>
            </c:rich>
          </c:tx>
          <c:layout>
            <c:manualLayout>
              <c:xMode val="edge"/>
              <c:yMode val="edge"/>
              <c:x val="0.93577566711895077"/>
              <c:y val="0.301888509670079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931456"/>
        <c:crosses val="max"/>
        <c:crossBetween val="between"/>
        <c:majorUnit val="1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388059701492538"/>
          <c:y val="0.88821879138219484"/>
          <c:w val="0.47218453188602455"/>
          <c:h val="7.2507552870090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Alertes et mentions de tornade 
</a:t>
            </a:r>
          </a:p>
        </c:rich>
      </c:tx>
      <c:layout>
        <c:manualLayout>
          <c:xMode val="edge"/>
          <c:yMode val="edge"/>
          <c:x val="0.33875381430979667"/>
          <c:y val="3.3132530120481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141043335349115E-2"/>
          <c:y val="0.20180722891566266"/>
          <c:w val="0.7899739450663017"/>
          <c:h val="0.59036144578313243"/>
        </c:manualLayout>
      </c:layout>
      <c:barChart>
        <c:barDir val="col"/>
        <c:grouping val="stacked"/>
        <c:ser>
          <c:idx val="0"/>
          <c:order val="0"/>
          <c:tx>
            <c:v>Observés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Stat_Tornade!$H$3:$H$17</c:f>
              <c:numCache>
                <c:formatCode>General</c:formatCode>
                <c:ptCount val="15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8</c:v>
                </c:pt>
                <c:pt idx="9">
                  <c:v>5</c:v>
                </c:pt>
                <c:pt idx="10">
                  <c:v>4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E73-475F-9871-4F807385FFC9}"/>
            </c:ext>
          </c:extLst>
        </c:ser>
        <c:dLbls/>
        <c:overlap val="100"/>
        <c:axId val="164611584"/>
        <c:axId val="164613504"/>
      </c:barChart>
      <c:lineChart>
        <c:grouping val="standard"/>
        <c:ser>
          <c:idx val="2"/>
          <c:order val="1"/>
          <c:tx>
            <c:v>WF émis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Stat_Tornade!$A$3:$A$13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Stat_Tornade!$O$3:$O$17</c:f>
              <c:numCache>
                <c:formatCode>General</c:formatCode>
                <c:ptCount val="15"/>
                <c:pt idx="0">
                  <c:v>5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12</c:v>
                </c:pt>
                <c:pt idx="9">
                  <c:v>3</c:v>
                </c:pt>
                <c:pt idx="10">
                  <c:v>5</c:v>
                </c:pt>
                <c:pt idx="11">
                  <c:v>28</c:v>
                </c:pt>
                <c:pt idx="12">
                  <c:v>20</c:v>
                </c:pt>
                <c:pt idx="13">
                  <c:v>13</c:v>
                </c:pt>
                <c:pt idx="14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E73-475F-9871-4F807385FFC9}"/>
            </c:ext>
          </c:extLst>
        </c:ser>
        <c:dLbls/>
        <c:marker val="1"/>
        <c:axId val="164611584"/>
        <c:axId val="164613504"/>
      </c:lineChart>
      <c:lineChart>
        <c:grouping val="standard"/>
        <c:ser>
          <c:idx val="3"/>
          <c:order val="2"/>
          <c:tx>
            <c:v>Mention</c:v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diamond"/>
            <c:size val="8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14"/>
              <c:layout>
                <c:manualLayout>
                  <c:x val="-2.7100271002710036E-2"/>
                  <c:y val="-5.4421768707482977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73-475F-9871-4F807385FFC9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Stat_Tornade!$K$3:$K$17</c:f>
              <c:numCache>
                <c:formatCode>General</c:formatCode>
                <c:ptCount val="15"/>
                <c:pt idx="0">
                  <c:v>14</c:v>
                </c:pt>
                <c:pt idx="1">
                  <c:v>120</c:v>
                </c:pt>
                <c:pt idx="2">
                  <c:v>47</c:v>
                </c:pt>
                <c:pt idx="3">
                  <c:v>81</c:v>
                </c:pt>
                <c:pt idx="4">
                  <c:v>96</c:v>
                </c:pt>
                <c:pt idx="5">
                  <c:v>236</c:v>
                </c:pt>
                <c:pt idx="6">
                  <c:v>122</c:v>
                </c:pt>
                <c:pt idx="7">
                  <c:v>219</c:v>
                </c:pt>
                <c:pt idx="8">
                  <c:v>21</c:v>
                </c:pt>
                <c:pt idx="9">
                  <c:v>254</c:v>
                </c:pt>
                <c:pt idx="10">
                  <c:v>507</c:v>
                </c:pt>
                <c:pt idx="11">
                  <c:v>327</c:v>
                </c:pt>
                <c:pt idx="12">
                  <c:v>427</c:v>
                </c:pt>
                <c:pt idx="13">
                  <c:v>265</c:v>
                </c:pt>
                <c:pt idx="14">
                  <c:v>404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E73-475F-9871-4F807385FFC9}"/>
            </c:ext>
          </c:extLst>
        </c:ser>
        <c:dLbls/>
        <c:marker val="1"/>
        <c:axId val="164619776"/>
        <c:axId val="164621312"/>
      </c:lineChart>
      <c:catAx>
        <c:axId val="1646115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40493210706383"/>
              <c:y val="0.84638554216867479"/>
            </c:manualLayout>
          </c:layout>
          <c:spPr>
            <a:noFill/>
            <a:ln w="25400">
              <a:noFill/>
            </a:ln>
          </c:spPr>
        </c:title>
        <c:numFmt formatCode="General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613504"/>
        <c:crosses val="autoZero"/>
        <c:lblAlgn val="ctr"/>
        <c:lblOffset val="80"/>
        <c:tickLblSkip val="1"/>
        <c:tickMarkSkip val="1"/>
      </c:catAx>
      <c:valAx>
        <c:axId val="164613504"/>
        <c:scaling>
          <c:orientation val="minMax"/>
          <c:max val="30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WF/Tornades</a:t>
                </a:r>
              </a:p>
            </c:rich>
          </c:tx>
          <c:layout>
            <c:manualLayout>
              <c:xMode val="edge"/>
              <c:yMode val="edge"/>
              <c:x val="2.3035230352303534E-2"/>
              <c:y val="0.3765060240963855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611584"/>
        <c:crosses val="autoZero"/>
        <c:crossBetween val="between"/>
        <c:majorUnit val="5"/>
      </c:valAx>
      <c:catAx>
        <c:axId val="164619776"/>
        <c:scaling>
          <c:orientation val="minMax"/>
        </c:scaling>
        <c:delete val="1"/>
        <c:axPos val="b"/>
        <c:numFmt formatCode="General" sourceLinked="1"/>
        <c:tickLblPos val="none"/>
        <c:crossAx val="164621312"/>
        <c:crosses val="autoZero"/>
        <c:lblAlgn val="ctr"/>
        <c:lblOffset val="100"/>
      </c:catAx>
      <c:valAx>
        <c:axId val="164621312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Mentions</a:t>
                </a:r>
              </a:p>
            </c:rich>
          </c:tx>
          <c:layout>
            <c:manualLayout>
              <c:xMode val="edge"/>
              <c:yMode val="edge"/>
              <c:x val="0.92683054862044678"/>
              <c:y val="0.4126506024096385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619776"/>
        <c:crosses val="max"/>
        <c:crossBetween val="between"/>
        <c:majorUnit val="1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203280484248408"/>
          <c:y val="0.89156626506024061"/>
          <c:w val="0.4173447424762961"/>
          <c:h val="7.228915662650603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400"/>
              <a:t>Bulletins en vigueur lors des tornades </a:t>
            </a:r>
            <a:r>
              <a:rPr lang="fr-CA" sz="1400" baseline="0"/>
              <a:t> au Québec </a:t>
            </a:r>
            <a:endParaRPr lang="fr-CA" sz="1400"/>
          </a:p>
        </c:rich>
      </c:tx>
      <c:layout>
        <c:manualLayout>
          <c:xMode val="edge"/>
          <c:yMode val="edge"/>
          <c:x val="0.1214330435258093"/>
          <c:y val="2.5187524911821548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3"/>
          <c:order val="0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Stat_Tornade!$X$40:$X$54</c:f>
              <c:numCache>
                <c:formatCode>General</c:formatCode>
                <c:ptCount val="1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568-4B0B-B2DD-7D4FF7AEA622}"/>
            </c:ext>
          </c:extLst>
        </c:ser>
        <c:ser>
          <c:idx val="4"/>
          <c:order val="1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Stat_Tornade!$Y$40:$Y$54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568-4B0B-B2DD-7D4FF7AEA622}"/>
            </c:ext>
          </c:extLst>
        </c:ser>
        <c:ser>
          <c:idx val="5"/>
          <c:order val="2"/>
          <c:tx>
            <c:v>Aucun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Stat_Tornade!$Z$40:$Z$54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568-4B0B-B2DD-7D4FF7AEA622}"/>
            </c:ext>
          </c:extLst>
        </c:ser>
        <c:dLbls/>
        <c:shape val="box"/>
        <c:axId val="165002624"/>
        <c:axId val="165008896"/>
        <c:axId val="0"/>
      </c:bar3DChart>
      <c:catAx>
        <c:axId val="1650026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984976487314098"/>
              <c:y val="0.2750580962479977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008896"/>
        <c:crosses val="autoZero"/>
        <c:auto val="1"/>
        <c:lblAlgn val="ctr"/>
        <c:lblOffset val="100"/>
        <c:tickLblSkip val="1"/>
        <c:tickMarkSkip val="1"/>
      </c:catAx>
      <c:valAx>
        <c:axId val="1650088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0026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5205479452"/>
          <c:y val="0.41414141414141414"/>
          <c:w val="0.17009132420091322"/>
          <c:h val="0.227272727272727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0"/>
          <c:order val="0"/>
          <c:tx>
            <c:v>Alerte de tornade</c:v>
          </c:tx>
          <c:spPr>
            <a:ln>
              <a:solidFill>
                <a:srgbClr val="000000"/>
              </a:solidFill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Stat_Tornade!$V$40:$V$54</c:f>
              <c:numCache>
                <c:formatCode>General</c:formatCode>
                <c:ptCount val="1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36A-4494-B920-BF751FD77A9B}"/>
            </c:ext>
          </c:extLst>
        </c:ser>
        <c:ser>
          <c:idx val="3"/>
          <c:order val="1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Stat_Tornade!$X$40:$X$54</c:f>
              <c:numCache>
                <c:formatCode>General</c:formatCode>
                <c:ptCount val="1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36A-4494-B920-BF751FD77A9B}"/>
            </c:ext>
          </c:extLst>
        </c:ser>
        <c:ser>
          <c:idx val="4"/>
          <c:order val="2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Stat_Tornade!$Y$40:$Y$54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36A-4494-B920-BF751FD77A9B}"/>
            </c:ext>
          </c:extLst>
        </c:ser>
        <c:ser>
          <c:idx val="5"/>
          <c:order val="3"/>
          <c:tx>
            <c:v>Aucun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Stat_Tornade!$Z$40:$Z$54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36A-4494-B920-BF751FD77A9B}"/>
            </c:ext>
          </c:extLst>
        </c:ser>
        <c:dLbls/>
        <c:shape val="box"/>
        <c:axId val="165059584"/>
        <c:axId val="165078144"/>
        <c:axId val="0"/>
      </c:bar3DChart>
      <c:catAx>
        <c:axId val="1650595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078144"/>
        <c:crosses val="autoZero"/>
        <c:auto val="1"/>
        <c:lblAlgn val="ctr"/>
        <c:lblOffset val="100"/>
        <c:tickLblSkip val="1"/>
        <c:tickMarkSkip val="1"/>
      </c:catAx>
      <c:valAx>
        <c:axId val="1650781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0595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15471247912193"/>
          <c:h val="0.3502903684317396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0"/>
          <c:order val="0"/>
          <c:tx>
            <c:v>Alerte de tornade</c:v>
          </c:tx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228-4C9E-BCC1-E0FFF6F151A4}"/>
            </c:ext>
          </c:extLst>
        </c:ser>
        <c:ser>
          <c:idx val="1"/>
          <c:order val="1"/>
          <c:tx>
            <c:strRef>
              <c:f>Stat_Tornade!$W$39</c:f>
              <c:strCache>
                <c:ptCount val="1"/>
                <c:pt idx="0">
                  <c:v>WU+mention</c:v>
                </c:pt>
              </c:strCache>
            </c:strRef>
          </c:tx>
          <c:spPr>
            <a:pattFill prst="wdDnDiag">
              <a:fgClr>
                <a:srgbClr val="FF0000"/>
              </a:fgClr>
              <a:bgClr>
                <a:srgbClr val="C0504D"/>
              </a:bgClr>
            </a:pattFill>
            <a:ln>
              <a:solidFill>
                <a:srgbClr val="000000"/>
              </a:solidFill>
            </a:ln>
          </c:spPr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Stat_Tornade!$B$69:$B$83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228-4C9E-BCC1-E0FFF6F151A4}"/>
            </c:ext>
          </c:extLst>
        </c:ser>
        <c:ser>
          <c:idx val="3"/>
          <c:order val="2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Stat_Tornade!$C$69:$C$83</c:f>
              <c:numCache>
                <c:formatCode>General</c:formatCode>
                <c:ptCount val="15"/>
                <c:pt idx="0">
                  <c:v>5</c:v>
                </c:pt>
                <c:pt idx="1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228-4C9E-BCC1-E0FFF6F151A4}"/>
            </c:ext>
          </c:extLst>
        </c:ser>
        <c:ser>
          <c:idx val="4"/>
          <c:order val="3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Stat_Tornade!$D$69:$D$83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228-4C9E-BCC1-E0FFF6F151A4}"/>
            </c:ext>
          </c:extLst>
        </c:ser>
        <c:ser>
          <c:idx val="5"/>
          <c:order val="4"/>
          <c:tx>
            <c:v>Aucun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Stat_Tornade!$E$69:$E$83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228-4C9E-BCC1-E0FFF6F151A4}"/>
            </c:ext>
          </c:extLst>
        </c:ser>
        <c:dLbls/>
        <c:shape val="box"/>
        <c:axId val="165233024"/>
        <c:axId val="165234944"/>
        <c:axId val="0"/>
      </c:bar3DChart>
      <c:catAx>
        <c:axId val="165233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234944"/>
        <c:crosses val="autoZero"/>
        <c:auto val="1"/>
        <c:lblAlgn val="ctr"/>
        <c:lblOffset val="100"/>
        <c:tickLblSkip val="1"/>
        <c:tickMarkSkip val="1"/>
      </c:catAx>
      <c:valAx>
        <c:axId val="1652349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233024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211637181715921"/>
          <c:h val="0.3280253292120721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Mentions de tornade 
Fausses - Réussis - Manqués</a:t>
            </a:r>
          </a:p>
        </c:rich>
      </c:tx>
      <c:layout>
        <c:manualLayout>
          <c:xMode val="edge"/>
          <c:yMode val="edge"/>
          <c:x val="0.34599728629579379"/>
          <c:y val="3.32326283987915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265943012211665E-2"/>
          <c:y val="0.20241721702879686"/>
          <c:w val="0.78968792401628218"/>
          <c:h val="0.58912473612858796"/>
        </c:manualLayout>
      </c:layout>
      <c:barChart>
        <c:barDir val="col"/>
        <c:grouping val="stacked"/>
        <c:ser>
          <c:idx val="0"/>
          <c:order val="0"/>
          <c:tx>
            <c:v>Manqués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Stat_Tornade_V2017!$O$3:$O$16</c:f>
              <c:numCache>
                <c:formatCode>General</c:formatCode>
                <c:ptCount val="14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65A-4C9D-A19D-802F8017C81D}"/>
            </c:ext>
          </c:extLst>
        </c:ser>
        <c:ser>
          <c:idx val="2"/>
          <c:order val="1"/>
          <c:tx>
            <c:v>Réussis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Stat_Tornade_V2017!$M$3:$M$16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65A-4C9D-A19D-802F8017C81D}"/>
            </c:ext>
          </c:extLst>
        </c:ser>
        <c:dLbls/>
        <c:overlap val="100"/>
        <c:axId val="165383552"/>
        <c:axId val="165393920"/>
      </c:barChart>
      <c:lineChart>
        <c:grouping val="standard"/>
        <c:ser>
          <c:idx val="3"/>
          <c:order val="2"/>
          <c:tx>
            <c:v>Fausses alertes</c:v>
          </c:tx>
          <c:spPr>
            <a:ln w="12700">
              <a:solidFill>
                <a:srgbClr val="008000"/>
              </a:solidFill>
              <a:prstDash val="sysDash"/>
            </a:ln>
          </c:spPr>
          <c:marker>
            <c:symbol val="diamond"/>
            <c:size val="8"/>
            <c:spPr>
              <a:noFill/>
              <a:ln>
                <a:solidFill>
                  <a:srgbClr val="008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Stat_Tornade_V2017!$N$3:$N$16</c:f>
              <c:numCache>
                <c:formatCode>General</c:formatCode>
                <c:ptCount val="14"/>
                <c:pt idx="0">
                  <c:v>14</c:v>
                </c:pt>
                <c:pt idx="1">
                  <c:v>120</c:v>
                </c:pt>
                <c:pt idx="2">
                  <c:v>45</c:v>
                </c:pt>
                <c:pt idx="3">
                  <c:v>79</c:v>
                </c:pt>
                <c:pt idx="4">
                  <c:v>95</c:v>
                </c:pt>
                <c:pt idx="5">
                  <c:v>235</c:v>
                </c:pt>
                <c:pt idx="6">
                  <c:v>122</c:v>
                </c:pt>
                <c:pt idx="7">
                  <c:v>218</c:v>
                </c:pt>
                <c:pt idx="8">
                  <c:v>19</c:v>
                </c:pt>
                <c:pt idx="9">
                  <c:v>254</c:v>
                </c:pt>
                <c:pt idx="10">
                  <c:v>505</c:v>
                </c:pt>
                <c:pt idx="11">
                  <c:v>323</c:v>
                </c:pt>
                <c:pt idx="12">
                  <c:v>426</c:v>
                </c:pt>
                <c:pt idx="13">
                  <c:v>258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65A-4C9D-A19D-802F8017C81D}"/>
            </c:ext>
          </c:extLst>
        </c:ser>
        <c:dLbls/>
        <c:marker val="1"/>
        <c:axId val="165395840"/>
        <c:axId val="165401728"/>
      </c:lineChart>
      <c:catAx>
        <c:axId val="165383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24016282225237"/>
              <c:y val="0.845922718874642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93920"/>
        <c:crosses val="autoZero"/>
        <c:lblAlgn val="ctr"/>
        <c:lblOffset val="100"/>
        <c:tickLblSkip val="1"/>
        <c:tickMarkSkip val="1"/>
      </c:catAx>
      <c:valAx>
        <c:axId val="165393920"/>
        <c:scaling>
          <c:orientation val="minMax"/>
          <c:max val="10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Hit/Miss</a:t>
                </a:r>
              </a:p>
            </c:rich>
          </c:tx>
          <c:layout>
            <c:manualLayout>
              <c:xMode val="edge"/>
              <c:yMode val="edge"/>
              <c:x val="2.3066485753052909E-2"/>
              <c:y val="0.4229613594373210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83552"/>
        <c:crosses val="autoZero"/>
        <c:crossBetween val="between"/>
        <c:majorUnit val="2"/>
      </c:valAx>
      <c:catAx>
        <c:axId val="165395840"/>
        <c:scaling>
          <c:orientation val="minMax"/>
        </c:scaling>
        <c:delete val="1"/>
        <c:axPos val="b"/>
        <c:numFmt formatCode="General" sourceLinked="1"/>
        <c:tickLblPos val="none"/>
        <c:crossAx val="165401728"/>
        <c:crosses val="autoZero"/>
        <c:lblAlgn val="ctr"/>
        <c:lblOffset val="100"/>
      </c:catAx>
      <c:valAx>
        <c:axId val="165401728"/>
        <c:scaling>
          <c:orientation val="minMax"/>
          <c:max val="550"/>
          <c:min val="0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Fausses alertes</a:t>
                </a:r>
              </a:p>
            </c:rich>
          </c:tx>
          <c:layout>
            <c:manualLayout>
              <c:xMode val="edge"/>
              <c:yMode val="edge"/>
              <c:x val="0.93577566711895077"/>
              <c:y val="0.301888509670079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95840"/>
        <c:crosses val="max"/>
        <c:crossBetween val="between"/>
        <c:majorUnit val="1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388059701492538"/>
          <c:y val="0.88821879138219484"/>
          <c:w val="0.47218453188602455"/>
          <c:h val="7.2507552870090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Moyenne des événements horaires de 2001 à 2010</a:t>
            </a:r>
          </a:p>
        </c:rich>
      </c:tx>
      <c:layout>
        <c:manualLayout>
          <c:xMode val="edge"/>
          <c:yMode val="edge"/>
          <c:x val="0.16083916083916086"/>
          <c:y val="3.77355840553375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167832167832168E-2"/>
          <c:y val="0.17730557854602499"/>
          <c:w val="0.79020979020979032"/>
          <c:h val="0.66312286376213359"/>
        </c:manualLayout>
      </c:layout>
      <c:barChart>
        <c:barDir val="col"/>
        <c:grouping val="stacked"/>
        <c:ser>
          <c:idx val="0"/>
          <c:order val="0"/>
          <c:tx>
            <c:strRef>
              <c:f>Stat_Tornade_V2017!$Y$2</c:f>
              <c:strCache>
                <c:ptCount val="1"/>
                <c:pt idx="0">
                  <c:v>Violent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Stat_Tornade_V2017!$X$3:$X$30</c:f>
              <c:strCache>
                <c:ptCount val="27"/>
                <c:pt idx="0">
                  <c:v>06Z</c:v>
                </c:pt>
                <c:pt idx="1">
                  <c:v>07Z</c:v>
                </c:pt>
                <c:pt idx="2">
                  <c:v>08Z</c:v>
                </c:pt>
                <c:pt idx="3">
                  <c:v>09Z</c:v>
                </c:pt>
                <c:pt idx="4">
                  <c:v>10Z</c:v>
                </c:pt>
                <c:pt idx="5">
                  <c:v>11Z</c:v>
                </c:pt>
                <c:pt idx="6">
                  <c:v>12Z</c:v>
                </c:pt>
                <c:pt idx="7">
                  <c:v>13Z</c:v>
                </c:pt>
                <c:pt idx="8">
                  <c:v>14Z</c:v>
                </c:pt>
                <c:pt idx="9">
                  <c:v>15Z</c:v>
                </c:pt>
                <c:pt idx="10">
                  <c:v>16Z</c:v>
                </c:pt>
                <c:pt idx="11">
                  <c:v>17Z</c:v>
                </c:pt>
                <c:pt idx="12">
                  <c:v>18Z</c:v>
                </c:pt>
                <c:pt idx="15">
                  <c:v>19Z</c:v>
                </c:pt>
                <c:pt idx="16">
                  <c:v>20Z</c:v>
                </c:pt>
                <c:pt idx="17">
                  <c:v>21Z</c:v>
                </c:pt>
                <c:pt idx="18">
                  <c:v>22Z</c:v>
                </c:pt>
                <c:pt idx="19">
                  <c:v>23Z</c:v>
                </c:pt>
                <c:pt idx="20">
                  <c:v>00Z</c:v>
                </c:pt>
                <c:pt idx="21">
                  <c:v>01Z</c:v>
                </c:pt>
                <c:pt idx="22">
                  <c:v>02Z</c:v>
                </c:pt>
                <c:pt idx="23">
                  <c:v>03Z</c:v>
                </c:pt>
                <c:pt idx="24">
                  <c:v>04Z</c:v>
                </c:pt>
                <c:pt idx="25">
                  <c:v>05Z</c:v>
                </c:pt>
                <c:pt idx="26">
                  <c:v>total</c:v>
                </c:pt>
              </c:strCache>
            </c:strRef>
          </c:cat>
          <c:val>
            <c:numRef>
              <c:f>Stat_Tornade_V2017!$AB$3:$AB$30</c:f>
              <c:numCache>
                <c:formatCode>General</c:formatCode>
                <c:ptCount val="28"/>
                <c:pt idx="0">
                  <c:v>0.8</c:v>
                </c:pt>
                <c:pt idx="1">
                  <c:v>0.4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0.9</c:v>
                </c:pt>
                <c:pt idx="6">
                  <c:v>0.4</c:v>
                </c:pt>
                <c:pt idx="7">
                  <c:v>0.7</c:v>
                </c:pt>
                <c:pt idx="8">
                  <c:v>0.9</c:v>
                </c:pt>
                <c:pt idx="9">
                  <c:v>1.1000000000000001</c:v>
                </c:pt>
                <c:pt idx="10">
                  <c:v>3</c:v>
                </c:pt>
                <c:pt idx="11">
                  <c:v>5.7</c:v>
                </c:pt>
                <c:pt idx="12">
                  <c:v>7.8</c:v>
                </c:pt>
                <c:pt idx="15">
                  <c:v>7.5</c:v>
                </c:pt>
                <c:pt idx="16">
                  <c:v>11.2</c:v>
                </c:pt>
                <c:pt idx="17">
                  <c:v>11.3</c:v>
                </c:pt>
                <c:pt idx="18">
                  <c:v>9.1</c:v>
                </c:pt>
                <c:pt idx="19">
                  <c:v>7.9</c:v>
                </c:pt>
                <c:pt idx="20">
                  <c:v>5.8</c:v>
                </c:pt>
                <c:pt idx="21">
                  <c:v>3.1</c:v>
                </c:pt>
                <c:pt idx="22">
                  <c:v>2.2999999999999998</c:v>
                </c:pt>
                <c:pt idx="23">
                  <c:v>1</c:v>
                </c:pt>
                <c:pt idx="24">
                  <c:v>1.1000000000000001</c:v>
                </c:pt>
                <c:pt idx="25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5AF-46C7-BABB-8398E00AE90D}"/>
            </c:ext>
          </c:extLst>
        </c:ser>
        <c:ser>
          <c:idx val="1"/>
          <c:order val="1"/>
          <c:tx>
            <c:strRef>
              <c:f>Stat_Tornade_V2017!$Z$2</c:f>
              <c:strCache>
                <c:ptCount val="1"/>
                <c:pt idx="0">
                  <c:v>Quasi</c:v>
                </c:pt>
              </c:strCache>
            </c:strRef>
          </c:tx>
          <c:spPr>
            <a:pattFill prst="sphere">
              <a:fgClr>
                <a:srgbClr val="80808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Stat_Tornade_V2017!$X$3:$X$30</c:f>
              <c:strCache>
                <c:ptCount val="27"/>
                <c:pt idx="0">
                  <c:v>06Z</c:v>
                </c:pt>
                <c:pt idx="1">
                  <c:v>07Z</c:v>
                </c:pt>
                <c:pt idx="2">
                  <c:v>08Z</c:v>
                </c:pt>
                <c:pt idx="3">
                  <c:v>09Z</c:v>
                </c:pt>
                <c:pt idx="4">
                  <c:v>10Z</c:v>
                </c:pt>
                <c:pt idx="5">
                  <c:v>11Z</c:v>
                </c:pt>
                <c:pt idx="6">
                  <c:v>12Z</c:v>
                </c:pt>
                <c:pt idx="7">
                  <c:v>13Z</c:v>
                </c:pt>
                <c:pt idx="8">
                  <c:v>14Z</c:v>
                </c:pt>
                <c:pt idx="9">
                  <c:v>15Z</c:v>
                </c:pt>
                <c:pt idx="10">
                  <c:v>16Z</c:v>
                </c:pt>
                <c:pt idx="11">
                  <c:v>17Z</c:v>
                </c:pt>
                <c:pt idx="12">
                  <c:v>18Z</c:v>
                </c:pt>
                <c:pt idx="15">
                  <c:v>19Z</c:v>
                </c:pt>
                <c:pt idx="16">
                  <c:v>20Z</c:v>
                </c:pt>
                <c:pt idx="17">
                  <c:v>21Z</c:v>
                </c:pt>
                <c:pt idx="18">
                  <c:v>22Z</c:v>
                </c:pt>
                <c:pt idx="19">
                  <c:v>23Z</c:v>
                </c:pt>
                <c:pt idx="20">
                  <c:v>00Z</c:v>
                </c:pt>
                <c:pt idx="21">
                  <c:v>01Z</c:v>
                </c:pt>
                <c:pt idx="22">
                  <c:v>02Z</c:v>
                </c:pt>
                <c:pt idx="23">
                  <c:v>03Z</c:v>
                </c:pt>
                <c:pt idx="24">
                  <c:v>04Z</c:v>
                </c:pt>
                <c:pt idx="25">
                  <c:v>05Z</c:v>
                </c:pt>
                <c:pt idx="26">
                  <c:v>total</c:v>
                </c:pt>
              </c:strCache>
            </c:strRef>
          </c:cat>
          <c:val>
            <c:numRef>
              <c:f>Stat_Tornade_V2017!$AC$3:$AC$30</c:f>
              <c:numCache>
                <c:formatCode>General</c:formatCode>
                <c:ptCount val="28"/>
                <c:pt idx="0">
                  <c:v>0.3</c:v>
                </c:pt>
                <c:pt idx="1">
                  <c:v>0.2</c:v>
                </c:pt>
                <c:pt idx="2">
                  <c:v>0.4</c:v>
                </c:pt>
                <c:pt idx="3">
                  <c:v>0.3</c:v>
                </c:pt>
                <c:pt idx="4">
                  <c:v>0.4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0.4</c:v>
                </c:pt>
                <c:pt idx="9">
                  <c:v>0.5</c:v>
                </c:pt>
                <c:pt idx="10">
                  <c:v>1.7</c:v>
                </c:pt>
                <c:pt idx="11">
                  <c:v>3.9</c:v>
                </c:pt>
                <c:pt idx="12">
                  <c:v>4</c:v>
                </c:pt>
                <c:pt idx="15">
                  <c:v>7.1</c:v>
                </c:pt>
                <c:pt idx="16">
                  <c:v>5.9</c:v>
                </c:pt>
                <c:pt idx="17">
                  <c:v>7.3</c:v>
                </c:pt>
                <c:pt idx="18">
                  <c:v>6</c:v>
                </c:pt>
                <c:pt idx="19">
                  <c:v>4.9000000000000004</c:v>
                </c:pt>
                <c:pt idx="20">
                  <c:v>3.4</c:v>
                </c:pt>
                <c:pt idx="21">
                  <c:v>2</c:v>
                </c:pt>
                <c:pt idx="22">
                  <c:v>1.3</c:v>
                </c:pt>
                <c:pt idx="23">
                  <c:v>0.5</c:v>
                </c:pt>
                <c:pt idx="24">
                  <c:v>1.1000000000000001</c:v>
                </c:pt>
                <c:pt idx="25">
                  <c:v>0.2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5AF-46C7-BABB-8398E00AE90D}"/>
            </c:ext>
          </c:extLst>
        </c:ser>
        <c:dLbls/>
        <c:overlap val="100"/>
        <c:axId val="165331328"/>
        <c:axId val="165332864"/>
      </c:barChart>
      <c:catAx>
        <c:axId val="165331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32864"/>
        <c:crosses val="autoZero"/>
        <c:auto val="1"/>
        <c:lblAlgn val="ctr"/>
        <c:lblOffset val="100"/>
        <c:tickLblSkip val="4"/>
        <c:tickMarkSkip val="1"/>
      </c:catAx>
      <c:valAx>
        <c:axId val="165332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31328"/>
        <c:crosses val="autoZero"/>
        <c:crossBetween val="between"/>
        <c:majorUnit val="5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111888111888115"/>
          <c:y val="0.39361862375898676"/>
          <c:w val="0.10489510489510491"/>
          <c:h val="0.15602875727490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Alertes et mentions de tornade 
</a:t>
            </a:r>
          </a:p>
        </c:rich>
      </c:tx>
      <c:layout>
        <c:manualLayout>
          <c:xMode val="edge"/>
          <c:yMode val="edge"/>
          <c:x val="0.33875381430979667"/>
          <c:y val="3.3132530120481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141043335349115E-2"/>
          <c:y val="0.20180722891566266"/>
          <c:w val="0.7899739450663017"/>
          <c:h val="0.59036144578313243"/>
        </c:manualLayout>
      </c:layout>
      <c:barChart>
        <c:barDir val="col"/>
        <c:grouping val="stacked"/>
        <c:ser>
          <c:idx val="0"/>
          <c:order val="0"/>
          <c:tx>
            <c:v>Observés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Stat_Tornade_V2017!$A$3:$A$14</c:f>
              <c:numCache>
                <c:formatCode>General</c:formatCode>
                <c:ptCount val="12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</c:numCache>
            </c:numRef>
          </c:cat>
          <c:val>
            <c:numRef>
              <c:f>Stat_Tornade_V2017!$I$3:$I$16</c:f>
              <c:numCache>
                <c:formatCode>General</c:formatCode>
                <c:ptCount val="14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8</c:v>
                </c:pt>
                <c:pt idx="9">
                  <c:v>5</c:v>
                </c:pt>
                <c:pt idx="10">
                  <c:v>4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661-487E-9FCB-C9DD44C4CE79}"/>
            </c:ext>
          </c:extLst>
        </c:ser>
        <c:dLbls/>
        <c:overlap val="100"/>
        <c:axId val="165595392"/>
        <c:axId val="165601664"/>
      </c:barChart>
      <c:lineChart>
        <c:grouping val="standard"/>
        <c:ser>
          <c:idx val="2"/>
          <c:order val="1"/>
          <c:tx>
            <c:v>WF émis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Stat_Tornade_V2017!$A$3:$A$13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Stat_Tornade_V2017!$P$3:$P$16</c:f>
              <c:numCache>
                <c:formatCode>General</c:formatCode>
                <c:ptCount val="14"/>
                <c:pt idx="0">
                  <c:v>5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12</c:v>
                </c:pt>
                <c:pt idx="9">
                  <c:v>3</c:v>
                </c:pt>
                <c:pt idx="10">
                  <c:v>5</c:v>
                </c:pt>
                <c:pt idx="11">
                  <c:v>28</c:v>
                </c:pt>
                <c:pt idx="12">
                  <c:v>20</c:v>
                </c:pt>
                <c:pt idx="13">
                  <c:v>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661-487E-9FCB-C9DD44C4CE79}"/>
            </c:ext>
          </c:extLst>
        </c:ser>
        <c:dLbls/>
        <c:marker val="1"/>
        <c:axId val="165595392"/>
        <c:axId val="165601664"/>
      </c:lineChart>
      <c:lineChart>
        <c:grouping val="standard"/>
        <c:ser>
          <c:idx val="3"/>
          <c:order val="2"/>
          <c:tx>
            <c:v>Mention</c:v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diamond"/>
            <c:size val="8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Stat_Tornade_V2017!$L$3:$L$16</c:f>
              <c:numCache>
                <c:formatCode>General</c:formatCode>
                <c:ptCount val="14"/>
                <c:pt idx="0">
                  <c:v>14</c:v>
                </c:pt>
                <c:pt idx="1">
                  <c:v>120</c:v>
                </c:pt>
                <c:pt idx="2">
                  <c:v>47</c:v>
                </c:pt>
                <c:pt idx="3">
                  <c:v>81</c:v>
                </c:pt>
                <c:pt idx="4">
                  <c:v>96</c:v>
                </c:pt>
                <c:pt idx="5">
                  <c:v>236</c:v>
                </c:pt>
                <c:pt idx="6">
                  <c:v>122</c:v>
                </c:pt>
                <c:pt idx="7">
                  <c:v>219</c:v>
                </c:pt>
                <c:pt idx="8">
                  <c:v>21</c:v>
                </c:pt>
                <c:pt idx="9">
                  <c:v>254</c:v>
                </c:pt>
                <c:pt idx="10">
                  <c:v>507</c:v>
                </c:pt>
                <c:pt idx="11">
                  <c:v>327</c:v>
                </c:pt>
                <c:pt idx="12">
                  <c:v>427</c:v>
                </c:pt>
                <c:pt idx="13">
                  <c:v>265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661-487E-9FCB-C9DD44C4CE79}"/>
            </c:ext>
          </c:extLst>
        </c:ser>
        <c:dLbls/>
        <c:marker val="1"/>
        <c:axId val="165603584"/>
        <c:axId val="165613568"/>
      </c:lineChart>
      <c:catAx>
        <c:axId val="1655953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40493210706383"/>
              <c:y val="0.8463855421686747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601664"/>
        <c:crosses val="autoZero"/>
        <c:lblAlgn val="ctr"/>
        <c:lblOffset val="100"/>
        <c:tickLblSkip val="1"/>
        <c:tickMarkSkip val="1"/>
      </c:catAx>
      <c:valAx>
        <c:axId val="165601664"/>
        <c:scaling>
          <c:orientation val="minMax"/>
          <c:max val="30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WF/Tornades</a:t>
                </a:r>
              </a:p>
            </c:rich>
          </c:tx>
          <c:layout>
            <c:manualLayout>
              <c:xMode val="edge"/>
              <c:yMode val="edge"/>
              <c:x val="2.3035230352303534E-2"/>
              <c:y val="0.3765060240963855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595392"/>
        <c:crosses val="autoZero"/>
        <c:crossBetween val="between"/>
        <c:majorUnit val="5"/>
      </c:valAx>
      <c:catAx>
        <c:axId val="165603584"/>
        <c:scaling>
          <c:orientation val="minMax"/>
        </c:scaling>
        <c:delete val="1"/>
        <c:axPos val="b"/>
        <c:numFmt formatCode="General" sourceLinked="1"/>
        <c:tickLblPos val="none"/>
        <c:crossAx val="165613568"/>
        <c:crosses val="autoZero"/>
        <c:lblAlgn val="ctr"/>
        <c:lblOffset val="100"/>
      </c:catAx>
      <c:valAx>
        <c:axId val="165613568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Mentions</a:t>
                </a:r>
              </a:p>
            </c:rich>
          </c:tx>
          <c:layout>
            <c:manualLayout>
              <c:xMode val="edge"/>
              <c:yMode val="edge"/>
              <c:x val="0.92683054862044678"/>
              <c:y val="0.4126506024096385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603584"/>
        <c:crosses val="max"/>
        <c:crossBetween val="between"/>
        <c:majorUnit val="1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203280484248408"/>
          <c:y val="0.89156626506024061"/>
          <c:w val="0.4173447424762961"/>
          <c:h val="7.228915662650603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400"/>
              <a:t>Bulletins en vigueur lors des tornades </a:t>
            </a:r>
            <a:r>
              <a:rPr lang="fr-CA" sz="1400" baseline="0"/>
              <a:t> au Québec </a:t>
            </a:r>
            <a:endParaRPr lang="fr-CA" sz="1400"/>
          </a:p>
        </c:rich>
      </c:tx>
      <c:layout>
        <c:manualLayout>
          <c:xMode val="edge"/>
          <c:yMode val="edge"/>
          <c:x val="0.1214330435258093"/>
          <c:y val="2.5187524911821548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3"/>
          <c:order val="0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Stat_Tornade_V2017!$Y$35:$Y$48</c:f>
              <c:numCache>
                <c:formatCode>General</c:formatCode>
                <c:ptCount val="14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BEE-4E0E-8DD4-E68869C6EA39}"/>
            </c:ext>
          </c:extLst>
        </c:ser>
        <c:ser>
          <c:idx val="4"/>
          <c:order val="1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Stat_Tornade_V2017!$Z$35:$Z$48</c:f>
              <c:numCache>
                <c:formatCode>General</c:formatCode>
                <c:ptCount val="1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BEE-4E0E-8DD4-E68869C6EA39}"/>
            </c:ext>
          </c:extLst>
        </c:ser>
        <c:ser>
          <c:idx val="5"/>
          <c:order val="2"/>
          <c:tx>
            <c:v>Aucune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Stat_Tornade_V2017!$AA$35:$AA$48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BEE-4E0E-8DD4-E68869C6EA39}"/>
            </c:ext>
          </c:extLst>
        </c:ser>
        <c:dLbls/>
        <c:shape val="box"/>
        <c:axId val="165654912"/>
        <c:axId val="165656832"/>
        <c:axId val="0"/>
      </c:bar3DChart>
      <c:catAx>
        <c:axId val="165654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984976487314098"/>
              <c:y val="0.2750580962479977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656832"/>
        <c:crosses val="autoZero"/>
        <c:auto val="1"/>
        <c:lblAlgn val="ctr"/>
        <c:lblOffset val="100"/>
        <c:tickLblSkip val="1"/>
        <c:tickMarkSkip val="1"/>
      </c:catAx>
      <c:valAx>
        <c:axId val="1656568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654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5205479452"/>
          <c:y val="0.41414141414141414"/>
          <c:w val="0.17009132420091322"/>
          <c:h val="0.227272727272727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0"/>
          <c:order val="0"/>
          <c:tx>
            <c:v>Alerte de tornade</c:v>
          </c:tx>
          <c:spPr>
            <a:ln>
              <a:solidFill>
                <a:srgbClr val="000000"/>
              </a:solidFill>
            </a:ln>
          </c:spPr>
          <c:val>
            <c:numRef>
              <c:f>Stat_Tornade_V2017!$W$35:$W$48</c:f>
              <c:numCache>
                <c:formatCode>General</c:formatCode>
                <c:ptCount val="1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49F-4E84-819A-06DC972A0F8C}"/>
            </c:ext>
          </c:extLst>
        </c:ser>
        <c:ser>
          <c:idx val="3"/>
          <c:order val="1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Stat_Tornade_V2017!$Y$35:$Y$48</c:f>
              <c:numCache>
                <c:formatCode>General</c:formatCode>
                <c:ptCount val="14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49F-4E84-819A-06DC972A0F8C}"/>
            </c:ext>
          </c:extLst>
        </c:ser>
        <c:ser>
          <c:idx val="4"/>
          <c:order val="2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Stat_Tornade_V2017!$Z$35:$Z$48</c:f>
              <c:numCache>
                <c:formatCode>General</c:formatCode>
                <c:ptCount val="1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49F-4E84-819A-06DC972A0F8C}"/>
            </c:ext>
          </c:extLst>
        </c:ser>
        <c:ser>
          <c:idx val="5"/>
          <c:order val="3"/>
          <c:tx>
            <c:v>Aucune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Stat_Tornade_V2017!$AA$35:$AA$48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49F-4E84-819A-06DC972A0F8C}"/>
            </c:ext>
          </c:extLst>
        </c:ser>
        <c:dLbls/>
        <c:shape val="box"/>
        <c:axId val="165720064"/>
        <c:axId val="165721984"/>
        <c:axId val="0"/>
      </c:bar3DChart>
      <c:catAx>
        <c:axId val="165720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721984"/>
        <c:crosses val="autoZero"/>
        <c:auto val="1"/>
        <c:lblAlgn val="ctr"/>
        <c:lblOffset val="100"/>
        <c:tickLblSkip val="1"/>
        <c:tickMarkSkip val="1"/>
      </c:catAx>
      <c:valAx>
        <c:axId val="1657219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720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15471247912193"/>
          <c:h val="0.3502903684317396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spPr>
        <a:noFill/>
        <a:ln w="25400">
          <a:noFill/>
        </a:ln>
      </c:spPr>
    </c:title>
    <c:view3D>
      <c:rotX val="4"/>
      <c:hPercent val="43"/>
      <c:rotY val="1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ser>
          <c:idx val="0"/>
          <c:order val="0"/>
          <c:tx>
            <c:v>Alerte de tornade</c:v>
          </c:tx>
          <c:spPr>
            <a:solidFill>
              <a:srgbClr val="C0504D">
                <a:lumMod val="50000"/>
              </a:srgbClr>
            </a:solidFill>
            <a:ln>
              <a:solidFill>
                <a:srgbClr val="000000"/>
              </a:solidFill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Stat_Tornade_V2017!$B$64:$B$77</c:f>
              <c:numCache>
                <c:formatCode>General</c:formatCode>
                <c:ptCount val="1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F9A-4BA2-BB97-837821A957F6}"/>
            </c:ext>
          </c:extLst>
        </c:ser>
        <c:ser>
          <c:idx val="1"/>
          <c:order val="1"/>
          <c:tx>
            <c:strRef>
              <c:f>Stat_Tornade_V2017!$X$34</c:f>
              <c:strCache>
                <c:ptCount val="1"/>
                <c:pt idx="0">
                  <c:v>WU+mention</c:v>
                </c:pt>
              </c:strCache>
            </c:strRef>
          </c:tx>
          <c:spPr>
            <a:pattFill prst="wdDnDiag">
              <a:fgClr>
                <a:srgbClr val="FF0000"/>
              </a:fgClr>
              <a:bgClr>
                <a:srgbClr val="C0504D"/>
              </a:bgClr>
            </a:pattFill>
            <a:ln>
              <a:solidFill>
                <a:srgbClr val="000000"/>
              </a:solidFill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Stat_Tornade_V2017!$C$64:$C$77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F9A-4BA2-BB97-837821A957F6}"/>
            </c:ext>
          </c:extLst>
        </c:ser>
        <c:ser>
          <c:idx val="3"/>
          <c:order val="2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Stat_Tornade_V2017!$D$64:$D$77</c:f>
              <c:numCache>
                <c:formatCode>General</c:formatCode>
                <c:ptCount val="14"/>
                <c:pt idx="0">
                  <c:v>5</c:v>
                </c:pt>
                <c:pt idx="1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F9A-4BA2-BB97-837821A957F6}"/>
            </c:ext>
          </c:extLst>
        </c:ser>
        <c:ser>
          <c:idx val="4"/>
          <c:order val="3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Stat_Tornade_V2017!$Z$35:$Z$48</c:f>
              <c:numCache>
                <c:formatCode>General</c:formatCode>
                <c:ptCount val="1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F9A-4BA2-BB97-837821A957F6}"/>
            </c:ext>
          </c:extLst>
        </c:ser>
        <c:ser>
          <c:idx val="5"/>
          <c:order val="4"/>
          <c:tx>
            <c:v>Aucune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Stat_Tornade_V2017!$AA$35:$AA$48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F9A-4BA2-BB97-837821A957F6}"/>
            </c:ext>
          </c:extLst>
        </c:ser>
        <c:dLbls/>
        <c:shape val="box"/>
        <c:axId val="166065280"/>
        <c:axId val="166067200"/>
        <c:axId val="0"/>
      </c:bar3DChart>
      <c:catAx>
        <c:axId val="1660652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067200"/>
        <c:crosses val="autoZero"/>
        <c:auto val="1"/>
        <c:lblAlgn val="ctr"/>
        <c:lblOffset val="100"/>
        <c:tickLblSkip val="1"/>
        <c:tickMarkSkip val="1"/>
      </c:catAx>
      <c:valAx>
        <c:axId val="1660672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065280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211637181715921"/>
          <c:h val="0.3280253292120721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19051</xdr:rowOff>
    </xdr:from>
    <xdr:to>
      <xdr:col>10</xdr:col>
      <xdr:colOff>609600</xdr:colOff>
      <xdr:row>13</xdr:row>
      <xdr:rowOff>9526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361950</xdr:colOff>
      <xdr:row>24</xdr:row>
      <xdr:rowOff>0</xdr:rowOff>
    </xdr:from>
    <xdr:to>
      <xdr:col>11</xdr:col>
      <xdr:colOff>476250</xdr:colOff>
      <xdr:row>47</xdr:row>
      <xdr:rowOff>142874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14</xdr:row>
      <xdr:rowOff>66674</xdr:rowOff>
    </xdr:from>
    <xdr:to>
      <xdr:col>10</xdr:col>
      <xdr:colOff>590550</xdr:colOff>
      <xdr:row>24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609600</xdr:colOff>
      <xdr:row>0</xdr:row>
      <xdr:rowOff>161924</xdr:rowOff>
    </xdr:from>
    <xdr:to>
      <xdr:col>40</xdr:col>
      <xdr:colOff>476250</xdr:colOff>
      <xdr:row>17</xdr:row>
      <xdr:rowOff>19049</xdr:rowOff>
    </xdr:to>
    <xdr:graphicFrame macro="">
      <xdr:nvGraphicFramePr>
        <xdr:cNvPr id="5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0</xdr:colOff>
      <xdr:row>19</xdr:row>
      <xdr:rowOff>0</xdr:rowOff>
    </xdr:from>
    <xdr:to>
      <xdr:col>40</xdr:col>
      <xdr:colOff>171450</xdr:colOff>
      <xdr:row>33</xdr:row>
      <xdr:rowOff>47625</xdr:rowOff>
    </xdr:to>
    <xdr:graphicFrame macro="">
      <xdr:nvGraphicFramePr>
        <xdr:cNvPr id="8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31</xdr:col>
      <xdr:colOff>0</xdr:colOff>
      <xdr:row>35</xdr:row>
      <xdr:rowOff>0</xdr:rowOff>
    </xdr:from>
    <xdr:to>
      <xdr:col>39</xdr:col>
      <xdr:colOff>695325</xdr:colOff>
      <xdr:row>52</xdr:row>
      <xdr:rowOff>9525</xdr:rowOff>
    </xdr:to>
    <xdr:graphicFrame macro="">
      <xdr:nvGraphicFramePr>
        <xdr:cNvPr id="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9525</xdr:rowOff>
    </xdr:from>
    <xdr:to>
      <xdr:col>19</xdr:col>
      <xdr:colOff>657225</xdr:colOff>
      <xdr:row>43</xdr:row>
      <xdr:rowOff>85725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45</xdr:row>
      <xdr:rowOff>0</xdr:rowOff>
    </xdr:from>
    <xdr:to>
      <xdr:col>19</xdr:col>
      <xdr:colOff>657225</xdr:colOff>
      <xdr:row>64</xdr:row>
      <xdr:rowOff>85725</xdr:rowOff>
    </xdr:to>
    <xdr:graphicFrame macro="">
      <xdr:nvGraphicFramePr>
        <xdr:cNvPr id="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333375</xdr:colOff>
      <xdr:row>38</xdr:row>
      <xdr:rowOff>104775</xdr:rowOff>
    </xdr:from>
    <xdr:to>
      <xdr:col>38</xdr:col>
      <xdr:colOff>504825</xdr:colOff>
      <xdr:row>62</xdr:row>
      <xdr:rowOff>0</xdr:rowOff>
    </xdr:to>
    <xdr:graphicFrame macro="">
      <xdr:nvGraphicFramePr>
        <xdr:cNvPr id="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371475</xdr:colOff>
      <xdr:row>63</xdr:row>
      <xdr:rowOff>104775</xdr:rowOff>
    </xdr:from>
    <xdr:to>
      <xdr:col>38</xdr:col>
      <xdr:colOff>161925</xdr:colOff>
      <xdr:row>87</xdr:row>
      <xdr:rowOff>0</xdr:rowOff>
    </xdr:to>
    <xdr:graphicFrame macro="">
      <xdr:nvGraphicFramePr>
        <xdr:cNvPr id="5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123825</xdr:colOff>
      <xdr:row>65</xdr:row>
      <xdr:rowOff>123825</xdr:rowOff>
    </xdr:from>
    <xdr:to>
      <xdr:col>26</xdr:col>
      <xdr:colOff>390525</xdr:colOff>
      <xdr:row>89</xdr:row>
      <xdr:rowOff>19050</xdr:rowOff>
    </xdr:to>
    <xdr:graphicFrame macro="">
      <xdr:nvGraphicFramePr>
        <xdr:cNvPr id="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19</xdr:row>
      <xdr:rowOff>9525</xdr:rowOff>
    </xdr:from>
    <xdr:to>
      <xdr:col>20</xdr:col>
      <xdr:colOff>657225</xdr:colOff>
      <xdr:row>38</xdr:row>
      <xdr:rowOff>85725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19050</xdr:colOff>
      <xdr:row>2</xdr:row>
      <xdr:rowOff>47625</xdr:rowOff>
    </xdr:from>
    <xdr:to>
      <xdr:col>36</xdr:col>
      <xdr:colOff>133350</xdr:colOff>
      <xdr:row>21</xdr:row>
      <xdr:rowOff>142875</xdr:rowOff>
    </xdr:to>
    <xdr:graphicFrame macro="">
      <xdr:nvGraphicFramePr>
        <xdr:cNvPr id="3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40</xdr:row>
      <xdr:rowOff>0</xdr:rowOff>
    </xdr:from>
    <xdr:to>
      <xdr:col>20</xdr:col>
      <xdr:colOff>657225</xdr:colOff>
      <xdr:row>59</xdr:row>
      <xdr:rowOff>85725</xdr:rowOff>
    </xdr:to>
    <xdr:graphicFrame macro="">
      <xdr:nvGraphicFramePr>
        <xdr:cNvPr id="4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333375</xdr:colOff>
      <xdr:row>33</xdr:row>
      <xdr:rowOff>104775</xdr:rowOff>
    </xdr:from>
    <xdr:to>
      <xdr:col>39</xdr:col>
      <xdr:colOff>504825</xdr:colOff>
      <xdr:row>57</xdr:row>
      <xdr:rowOff>0</xdr:rowOff>
    </xdr:to>
    <xdr:graphicFrame macro="">
      <xdr:nvGraphicFramePr>
        <xdr:cNvPr id="5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371475</xdr:colOff>
      <xdr:row>58</xdr:row>
      <xdr:rowOff>104775</xdr:rowOff>
    </xdr:from>
    <xdr:to>
      <xdr:col>39</xdr:col>
      <xdr:colOff>161925</xdr:colOff>
      <xdr:row>82</xdr:row>
      <xdr:rowOff>0</xdr:rowOff>
    </xdr:to>
    <xdr:graphicFrame macro="">
      <xdr:nvGraphicFramePr>
        <xdr:cNvPr id="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123825</xdr:colOff>
      <xdr:row>60</xdr:row>
      <xdr:rowOff>123825</xdr:rowOff>
    </xdr:from>
    <xdr:to>
      <xdr:col>27</xdr:col>
      <xdr:colOff>390525</xdr:colOff>
      <xdr:row>84</xdr:row>
      <xdr:rowOff>19050</xdr:rowOff>
    </xdr:to>
    <xdr:graphicFrame macro="">
      <xdr:nvGraphicFramePr>
        <xdr:cNvPr id="7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47625</xdr:rowOff>
    </xdr:from>
    <xdr:to>
      <xdr:col>18</xdr:col>
      <xdr:colOff>9525</xdr:colOff>
      <xdr:row>39</xdr:row>
      <xdr:rowOff>85725</xdr:rowOff>
    </xdr:to>
    <xdr:pic>
      <xdr:nvPicPr>
        <xdr:cNvPr id="2" name="Picture 28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048375" y="47625"/>
          <a:ext cx="9791700" cy="7096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PI_SPC\CONTR&#212;LE_DE_QUALIT&#201;_ET_SUIVI\WW_convectifs\TVE_2018\Verif%202018\TVE_Valid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TVE\TVE_2018\TVE_Collect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te"/>
      <sheetName val="Event"/>
      <sheetName val="Controle"/>
      <sheetName val="Event (old)"/>
    </sheetNames>
    <sheetDataSet>
      <sheetData sheetId="0"/>
      <sheetData sheetId="1"/>
      <sheetData sheetId="2">
        <row r="2">
          <cell r="A2" t="str">
            <v>Mineur</v>
          </cell>
          <cell r="C2" t="str">
            <v>WUL</v>
          </cell>
          <cell r="E2" t="str">
            <v>mtl</v>
          </cell>
          <cell r="G2" t="str">
            <v>i</v>
          </cell>
        </row>
        <row r="3">
          <cell r="A3" t="str">
            <v>Quasi</v>
          </cell>
          <cell r="C3" t="str">
            <v>WBZ</v>
          </cell>
          <cell r="E3" t="str">
            <v>laval</v>
          </cell>
          <cell r="G3" t="str">
            <v>v</v>
          </cell>
        </row>
        <row r="4">
          <cell r="A4" t="str">
            <v>Violent</v>
          </cell>
          <cell r="C4" t="str">
            <v>HYA</v>
          </cell>
          <cell r="E4" t="str">
            <v>prairi</v>
          </cell>
          <cell r="G4" t="str">
            <v>q</v>
          </cell>
        </row>
        <row r="5">
          <cell r="C5" t="str">
            <v>LAN</v>
          </cell>
          <cell r="E5" t="str">
            <v>longu</v>
          </cell>
        </row>
        <row r="6">
          <cell r="C6" t="str">
            <v>YMX</v>
          </cell>
          <cell r="E6" t="str">
            <v>soula</v>
          </cell>
        </row>
        <row r="7">
          <cell r="C7" t="str">
            <v>WJT</v>
          </cell>
          <cell r="E7" t="str">
            <v>vaudr</v>
          </cell>
        </row>
        <row r="8">
          <cell r="C8" t="str">
            <v>TRM</v>
          </cell>
          <cell r="E8" t="str">
            <v>beauh</v>
          </cell>
        </row>
        <row r="9">
          <cell r="C9" t="str">
            <v>LAU</v>
          </cell>
          <cell r="E9" t="str">
            <v>sremi</v>
          </cell>
        </row>
        <row r="10">
          <cell r="C10" t="str">
            <v>DOR</v>
          </cell>
          <cell r="E10" t="str">
            <v>hunti</v>
          </cell>
        </row>
        <row r="11">
          <cell r="C11" t="str">
            <v>WMJ</v>
          </cell>
          <cell r="E11" t="str">
            <v>hemmi</v>
          </cell>
        </row>
        <row r="12">
          <cell r="C12" t="str">
            <v>YWA</v>
          </cell>
          <cell r="E12" t="str">
            <v>lacol</v>
          </cell>
        </row>
        <row r="13">
          <cell r="C13" t="str">
            <v>WBA</v>
          </cell>
          <cell r="E13" t="str">
            <v>stjen</v>
          </cell>
        </row>
        <row r="14">
          <cell r="C14" t="str">
            <v>YVO</v>
          </cell>
          <cell r="E14" t="str">
            <v>verch</v>
          </cell>
        </row>
        <row r="15">
          <cell r="C15" t="str">
            <v>WPK</v>
          </cell>
          <cell r="E15" t="str">
            <v>hyaci</v>
          </cell>
        </row>
        <row r="16">
          <cell r="C16" t="str">
            <v>YNM</v>
          </cell>
          <cell r="E16" t="str">
            <v>sorel</v>
          </cell>
        </row>
        <row r="17">
          <cell r="C17" t="str">
            <v>YKQ</v>
          </cell>
          <cell r="E17" t="str">
            <v>masco</v>
          </cell>
        </row>
        <row r="18">
          <cell r="C18" t="str">
            <v>YSC</v>
          </cell>
          <cell r="E18" t="str">
            <v>rawdo</v>
          </cell>
        </row>
        <row r="19">
          <cell r="C19" t="str">
            <v>WHV</v>
          </cell>
          <cell r="E19" t="str">
            <v>berti</v>
          </cell>
        </row>
        <row r="20">
          <cell r="C20" t="str">
            <v>WNQ</v>
          </cell>
          <cell r="E20" t="str">
            <v>lachu</v>
          </cell>
        </row>
        <row r="21">
          <cell r="C21" t="str">
            <v>WTY</v>
          </cell>
          <cell r="E21" t="str">
            <v>jerom</v>
          </cell>
        </row>
        <row r="22">
          <cell r="C22" t="str">
            <v>YQB</v>
          </cell>
          <cell r="E22" t="str">
            <v>eusta</v>
          </cell>
        </row>
        <row r="23">
          <cell r="C23" t="str">
            <v>WST</v>
          </cell>
          <cell r="E23" t="str">
            <v>agath</v>
          </cell>
        </row>
        <row r="24">
          <cell r="C24" t="str">
            <v>WIS</v>
          </cell>
          <cell r="E24" t="str">
            <v>adele</v>
          </cell>
        </row>
        <row r="25">
          <cell r="C25" t="str">
            <v>WPD</v>
          </cell>
          <cell r="E25" t="str">
            <v>donat</v>
          </cell>
        </row>
        <row r="26">
          <cell r="C26" t="str">
            <v>WDQ</v>
          </cell>
          <cell r="E26" t="str">
            <v>smich</v>
          </cell>
        </row>
        <row r="27">
          <cell r="C27" t="str">
            <v>YBG</v>
          </cell>
          <cell r="E27" t="str">
            <v>lauri</v>
          </cell>
        </row>
        <row r="28">
          <cell r="C28" t="str">
            <v>YRJ</v>
          </cell>
          <cell r="E28" t="str">
            <v>miner</v>
          </cell>
        </row>
        <row r="29">
          <cell r="C29" t="str">
            <v>YMT</v>
          </cell>
          <cell r="E29" t="str">
            <v>dorva</v>
          </cell>
        </row>
        <row r="30">
          <cell r="C30" t="str">
            <v>WNH</v>
          </cell>
          <cell r="E30" t="str">
            <v>domai</v>
          </cell>
        </row>
        <row r="31">
          <cell r="C31" t="str">
            <v>DEG</v>
          </cell>
          <cell r="E31" t="str">
            <v>maniw</v>
          </cell>
        </row>
        <row r="32">
          <cell r="C32" t="str">
            <v>YYY</v>
          </cell>
          <cell r="E32" t="str">
            <v>label</v>
          </cell>
        </row>
        <row r="33">
          <cell r="C33" t="str">
            <v>MAT</v>
          </cell>
          <cell r="E33" t="str">
            <v>wakef</v>
          </cell>
        </row>
        <row r="34">
          <cell r="C34" t="str">
            <v>WZS</v>
          </cell>
          <cell r="E34" t="str">
            <v>lievr</v>
          </cell>
        </row>
        <row r="35">
          <cell r="C35" t="str">
            <v>WSG</v>
          </cell>
          <cell r="E35" t="str">
            <v>chene</v>
          </cell>
        </row>
        <row r="36">
          <cell r="C36" t="str">
            <v>MUR</v>
          </cell>
          <cell r="E36" t="str">
            <v>joach</v>
          </cell>
        </row>
        <row r="37">
          <cell r="C37" t="str">
            <v>YCL</v>
          </cell>
          <cell r="E37" t="str">
            <v>shawv</v>
          </cell>
        </row>
        <row r="38">
          <cell r="C38" t="str">
            <v>WOC</v>
          </cell>
          <cell r="E38" t="str">
            <v>vmari</v>
          </cell>
        </row>
        <row r="39">
          <cell r="C39" t="str">
            <v>YGP</v>
          </cell>
          <cell r="E39" t="str">
            <v>temis</v>
          </cell>
        </row>
        <row r="40">
          <cell r="C40" t="str">
            <v>ESC</v>
          </cell>
          <cell r="E40" t="str">
            <v>lsarr</v>
          </cell>
        </row>
        <row r="41">
          <cell r="C41" t="str">
            <v>YBC</v>
          </cell>
          <cell r="E41" t="str">
            <v>amos</v>
          </cell>
        </row>
        <row r="42">
          <cell r="C42" t="str">
            <v>ZMV</v>
          </cell>
          <cell r="E42" t="str">
            <v>quevi</v>
          </cell>
        </row>
        <row r="43">
          <cell r="C43" t="str">
            <v>YZV</v>
          </cell>
          <cell r="E43" t="str">
            <v>rouyn</v>
          </cell>
        </row>
        <row r="44">
          <cell r="C44" t="str">
            <v>YGV</v>
          </cell>
          <cell r="E44" t="str">
            <v>malar</v>
          </cell>
        </row>
        <row r="45">
          <cell r="C45" t="str">
            <v>WBY</v>
          </cell>
          <cell r="E45" t="str">
            <v>valdo</v>
          </cell>
        </row>
        <row r="46">
          <cell r="C46" t="str">
            <v>YNA</v>
          </cell>
          <cell r="E46" t="str">
            <v>sentr</v>
          </cell>
        </row>
        <row r="47">
          <cell r="C47" t="str">
            <v>WDM</v>
          </cell>
          <cell r="E47" t="str">
            <v>gouin</v>
          </cell>
        </row>
        <row r="48">
          <cell r="C48" t="str">
            <v>YBX</v>
          </cell>
          <cell r="E48" t="str">
            <v>paren</v>
          </cell>
        </row>
        <row r="49">
          <cell r="C49" t="str">
            <v>YGL</v>
          </cell>
          <cell r="E49" t="str">
            <v>matag</v>
          </cell>
        </row>
        <row r="50">
          <cell r="C50" t="str">
            <v>YAH</v>
          </cell>
          <cell r="E50" t="str">
            <v>mique</v>
          </cell>
        </row>
        <row r="51">
          <cell r="C51" t="str">
            <v>YKL</v>
          </cell>
          <cell r="E51" t="str">
            <v>ykq</v>
          </cell>
        </row>
        <row r="52">
          <cell r="C52" t="str">
            <v>YWK</v>
          </cell>
          <cell r="E52" t="str">
            <v>brome</v>
          </cell>
        </row>
        <row r="53">
          <cell r="E53" t="str">
            <v>granb</v>
          </cell>
        </row>
        <row r="54">
          <cell r="E54" t="str">
            <v>oford</v>
          </cell>
        </row>
        <row r="55">
          <cell r="E55" t="str">
            <v>richm</v>
          </cell>
        </row>
        <row r="56">
          <cell r="E56" t="str">
            <v>sherb</v>
          </cell>
        </row>
        <row r="57">
          <cell r="E57" t="str">
            <v>coati</v>
          </cell>
        </row>
        <row r="58">
          <cell r="E58" t="str">
            <v>cooks</v>
          </cell>
        </row>
        <row r="59">
          <cell r="E59" t="str">
            <v>weedo</v>
          </cell>
        </row>
        <row r="60">
          <cell r="E60" t="str">
            <v>megan</v>
          </cell>
        </row>
        <row r="61">
          <cell r="E61" t="str">
            <v>thmin</v>
          </cell>
        </row>
        <row r="62">
          <cell r="E62" t="str">
            <v>georg</v>
          </cell>
        </row>
        <row r="63">
          <cell r="E63" t="str">
            <v>marie</v>
          </cell>
        </row>
        <row r="64">
          <cell r="E64" t="str">
            <v>etche</v>
          </cell>
        </row>
        <row r="65">
          <cell r="E65" t="str">
            <v>drumm</v>
          </cell>
        </row>
        <row r="66">
          <cell r="E66" t="str">
            <v>nicol</v>
          </cell>
        </row>
        <row r="67">
          <cell r="E67" t="str">
            <v>victo</v>
          </cell>
        </row>
        <row r="68">
          <cell r="E68" t="str">
            <v>becan</v>
          </cell>
        </row>
        <row r="69">
          <cell r="E69" t="str">
            <v>mataw</v>
          </cell>
        </row>
        <row r="70">
          <cell r="E70" t="str">
            <v>shawi</v>
          </cell>
        </row>
        <row r="71">
          <cell r="E71" t="str">
            <v>louis</v>
          </cell>
        </row>
        <row r="72">
          <cell r="E72" t="str">
            <v>3riv</v>
          </cell>
        </row>
        <row r="73">
          <cell r="E73" t="str">
            <v>perad</v>
          </cell>
        </row>
        <row r="74">
          <cell r="E74" t="str">
            <v>lsabl</v>
          </cell>
        </row>
        <row r="75">
          <cell r="E75" t="str">
            <v>portn</v>
          </cell>
        </row>
        <row r="76">
          <cell r="E76" t="str">
            <v>valca</v>
          </cell>
        </row>
        <row r="77">
          <cell r="E77" t="str">
            <v>quebc</v>
          </cell>
        </row>
        <row r="78">
          <cell r="E78" t="str">
            <v>orlea</v>
          </cell>
        </row>
        <row r="79">
          <cell r="E79" t="str">
            <v>lotbi</v>
          </cell>
        </row>
        <row r="80">
          <cell r="E80" t="str">
            <v>levis</v>
          </cell>
        </row>
        <row r="81">
          <cell r="E81" t="str">
            <v>lamber</v>
          </cell>
        </row>
        <row r="82">
          <cell r="E82" t="str">
            <v>blcha</v>
          </cell>
        </row>
        <row r="83">
          <cell r="E83" t="str">
            <v>montm</v>
          </cell>
        </row>
        <row r="84">
          <cell r="E84" t="str">
            <v>fabien</v>
          </cell>
        </row>
        <row r="85">
          <cell r="E85" t="str">
            <v>spaul</v>
          </cell>
        </row>
        <row r="86">
          <cell r="E86" t="str">
            <v>malbe</v>
          </cell>
        </row>
        <row r="87">
          <cell r="E87" t="str">
            <v>apica</v>
          </cell>
        </row>
        <row r="88">
          <cell r="E88" t="str">
            <v>etape</v>
          </cell>
        </row>
        <row r="89">
          <cell r="E89" t="str">
            <v>jardi</v>
          </cell>
        </row>
        <row r="90">
          <cell r="E90" t="str">
            <v>bouch</v>
          </cell>
        </row>
        <row r="91">
          <cell r="E91" t="str">
            <v>tuque</v>
          </cell>
        </row>
        <row r="92">
          <cell r="E92" t="str">
            <v>falar</v>
          </cell>
        </row>
        <row r="93">
          <cell r="E93" t="str">
            <v>sague</v>
          </cell>
        </row>
        <row r="94">
          <cell r="E94" t="str">
            <v>srose</v>
          </cell>
        </row>
        <row r="95">
          <cell r="E95" t="str">
            <v>etern</v>
          </cell>
        </row>
        <row r="96">
          <cell r="E96" t="str">
            <v>tadou</v>
          </cell>
        </row>
        <row r="97">
          <cell r="E97" t="str">
            <v>resfa</v>
          </cell>
        </row>
        <row r="98">
          <cell r="E98" t="str">
            <v>norma</v>
          </cell>
        </row>
        <row r="99">
          <cell r="E99" t="str">
            <v>rober</v>
          </cell>
        </row>
        <row r="100">
          <cell r="E100" t="str">
            <v>alma</v>
          </cell>
        </row>
        <row r="101">
          <cell r="E101" t="str">
            <v>ymt</v>
          </cell>
        </row>
        <row r="102">
          <cell r="E102" t="str">
            <v>kamou</v>
          </cell>
        </row>
        <row r="103">
          <cell r="E103" t="str">
            <v>poheg</v>
          </cell>
        </row>
        <row r="104">
          <cell r="E104" t="str">
            <v>rloup</v>
          </cell>
        </row>
        <row r="105">
          <cell r="E105" t="str">
            <v>3pist</v>
          </cell>
        </row>
        <row r="106">
          <cell r="E106" t="str">
            <v>deg</v>
          </cell>
        </row>
        <row r="107">
          <cell r="E107" t="str">
            <v>b-rik</v>
          </cell>
        </row>
        <row r="108">
          <cell r="E108" t="str">
            <v>r-rim</v>
          </cell>
        </row>
        <row r="109">
          <cell r="E109" t="str">
            <v>mjoli</v>
          </cell>
        </row>
        <row r="110">
          <cell r="E110" t="str">
            <v>mat</v>
          </cell>
        </row>
        <row r="111">
          <cell r="E111" t="str">
            <v>amqui</v>
          </cell>
        </row>
        <row r="112">
          <cell r="E112" t="str">
            <v>matap</v>
          </cell>
        </row>
        <row r="113">
          <cell r="E113" t="str">
            <v>stann</v>
          </cell>
        </row>
        <row r="114">
          <cell r="E114" t="str">
            <v>grval</v>
          </cell>
        </row>
        <row r="115">
          <cell r="E115" t="str">
            <v>alber</v>
          </cell>
        </row>
        <row r="116">
          <cell r="E116" t="str">
            <v>grivr</v>
          </cell>
        </row>
        <row r="117">
          <cell r="E117" t="str">
            <v>murdo</v>
          </cell>
        </row>
        <row r="118">
          <cell r="E118" t="str">
            <v>resti</v>
          </cell>
        </row>
        <row r="119">
          <cell r="E119" t="str">
            <v>bonav</v>
          </cell>
        </row>
        <row r="120">
          <cell r="E120" t="str">
            <v>carli</v>
          </cell>
        </row>
        <row r="121">
          <cell r="E121" t="str">
            <v>chandl</v>
          </cell>
        </row>
        <row r="122">
          <cell r="E122" t="str">
            <v>gaspe</v>
          </cell>
        </row>
        <row r="123">
          <cell r="E123" t="str">
            <v>perce</v>
          </cell>
        </row>
        <row r="124">
          <cell r="E124" t="str">
            <v>escou</v>
          </cell>
        </row>
        <row r="125">
          <cell r="E125" t="str">
            <v>fores</v>
          </cell>
        </row>
        <row r="126">
          <cell r="E126" t="str">
            <v>ybc</v>
          </cell>
        </row>
        <row r="127">
          <cell r="E127" t="str">
            <v>mani5</v>
          </cell>
        </row>
        <row r="128">
          <cell r="E128" t="str">
            <v>wdt</v>
          </cell>
        </row>
        <row r="129">
          <cell r="E129" t="str">
            <v>labri</v>
          </cell>
        </row>
        <row r="130">
          <cell r="E130" t="str">
            <v>mani3</v>
          </cell>
        </row>
        <row r="131">
          <cell r="E131" t="str">
            <v>trini</v>
          </cell>
        </row>
        <row r="132">
          <cell r="E132" t="str">
            <v>7i-pc</v>
          </cell>
        </row>
        <row r="133">
          <cell r="E133" t="str">
            <v>ygv</v>
          </cell>
        </row>
        <row r="134">
          <cell r="E134" t="str">
            <v>wby</v>
          </cell>
        </row>
        <row r="135">
          <cell r="E135" t="str">
            <v>yna</v>
          </cell>
        </row>
        <row r="136">
          <cell r="E136" t="str">
            <v>wdm</v>
          </cell>
        </row>
        <row r="137">
          <cell r="E137" t="str">
            <v>ybx</v>
          </cell>
        </row>
        <row r="138">
          <cell r="E138" t="str">
            <v>ygl</v>
          </cell>
        </row>
        <row r="139">
          <cell r="E139" t="str">
            <v>yah</v>
          </cell>
        </row>
        <row r="140">
          <cell r="E140" t="str">
            <v>ykl</v>
          </cell>
        </row>
        <row r="141">
          <cell r="E141" t="str">
            <v>ywk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te"/>
      <sheetName val="Event"/>
      <sheetName val="Controle"/>
    </sheetNames>
    <sheetDataSet>
      <sheetData sheetId="0"/>
      <sheetData sheetId="1"/>
      <sheetData sheetId="2">
        <row r="2">
          <cell r="C2" t="str">
            <v>WUL</v>
          </cell>
          <cell r="E2" t="str">
            <v>mtl</v>
          </cell>
        </row>
        <row r="3">
          <cell r="C3" t="str">
            <v>WBZ</v>
          </cell>
          <cell r="E3" t="str">
            <v>laval</v>
          </cell>
        </row>
        <row r="4">
          <cell r="C4" t="str">
            <v>HYA</v>
          </cell>
          <cell r="E4" t="str">
            <v>prairi</v>
          </cell>
        </row>
        <row r="5">
          <cell r="C5" t="str">
            <v>LAN</v>
          </cell>
          <cell r="E5" t="str">
            <v>longu</v>
          </cell>
        </row>
        <row r="6">
          <cell r="C6" t="str">
            <v>YMX</v>
          </cell>
          <cell r="E6" t="str">
            <v>soula</v>
          </cell>
        </row>
        <row r="7">
          <cell r="C7" t="str">
            <v>WJT</v>
          </cell>
          <cell r="E7" t="str">
            <v>vaudr</v>
          </cell>
        </row>
        <row r="8">
          <cell r="C8" t="str">
            <v>TRM</v>
          </cell>
          <cell r="E8" t="str">
            <v>beauh</v>
          </cell>
        </row>
        <row r="9">
          <cell r="C9" t="str">
            <v>LAU</v>
          </cell>
          <cell r="E9" t="str">
            <v>sremi</v>
          </cell>
        </row>
        <row r="10">
          <cell r="C10" t="str">
            <v>DOR</v>
          </cell>
          <cell r="E10" t="str">
            <v>hunti</v>
          </cell>
        </row>
        <row r="11">
          <cell r="C11" t="str">
            <v>WMJ</v>
          </cell>
          <cell r="E11" t="str">
            <v>hemmi</v>
          </cell>
        </row>
        <row r="12">
          <cell r="C12" t="str">
            <v>YWA</v>
          </cell>
          <cell r="E12" t="str">
            <v>lacol</v>
          </cell>
        </row>
        <row r="13">
          <cell r="C13" t="str">
            <v>WBA</v>
          </cell>
          <cell r="E13" t="str">
            <v>stjen</v>
          </cell>
        </row>
        <row r="14">
          <cell r="C14" t="str">
            <v>YVO</v>
          </cell>
          <cell r="E14" t="str">
            <v>verch</v>
          </cell>
        </row>
        <row r="15">
          <cell r="C15" t="str">
            <v>WPK</v>
          </cell>
          <cell r="E15" t="str">
            <v>hyaci</v>
          </cell>
        </row>
        <row r="16">
          <cell r="C16" t="str">
            <v>YNM</v>
          </cell>
          <cell r="E16" t="str">
            <v>sorel</v>
          </cell>
        </row>
        <row r="17">
          <cell r="C17" t="str">
            <v>YKQ</v>
          </cell>
          <cell r="E17" t="str">
            <v>masco</v>
          </cell>
        </row>
        <row r="18">
          <cell r="C18" t="str">
            <v>YSC</v>
          </cell>
          <cell r="E18" t="str">
            <v>rawdo</v>
          </cell>
        </row>
        <row r="19">
          <cell r="C19" t="str">
            <v>WHV</v>
          </cell>
          <cell r="E19" t="str">
            <v>berti</v>
          </cell>
        </row>
        <row r="20">
          <cell r="C20" t="str">
            <v>WNQ</v>
          </cell>
          <cell r="E20" t="str">
            <v>lachu</v>
          </cell>
        </row>
        <row r="21">
          <cell r="C21" t="str">
            <v>WTY</v>
          </cell>
          <cell r="E21" t="str">
            <v>jerom</v>
          </cell>
        </row>
        <row r="22">
          <cell r="C22" t="str">
            <v>YQB</v>
          </cell>
          <cell r="E22" t="str">
            <v>eusta</v>
          </cell>
        </row>
        <row r="23">
          <cell r="C23" t="str">
            <v>WST</v>
          </cell>
          <cell r="E23" t="str">
            <v>agath</v>
          </cell>
        </row>
        <row r="24">
          <cell r="C24" t="str">
            <v>WIS</v>
          </cell>
          <cell r="E24" t="str">
            <v>adele</v>
          </cell>
        </row>
        <row r="25">
          <cell r="C25" t="str">
            <v>WPD</v>
          </cell>
          <cell r="E25" t="str">
            <v>donat</v>
          </cell>
        </row>
        <row r="26">
          <cell r="C26" t="str">
            <v>WDQ</v>
          </cell>
          <cell r="E26" t="str">
            <v>smich</v>
          </cell>
        </row>
        <row r="27">
          <cell r="C27" t="str">
            <v>YBG</v>
          </cell>
          <cell r="E27" t="str">
            <v>lauri</v>
          </cell>
        </row>
        <row r="28">
          <cell r="C28" t="str">
            <v>YRJ</v>
          </cell>
          <cell r="E28" t="str">
            <v>miner</v>
          </cell>
        </row>
        <row r="29">
          <cell r="C29" t="str">
            <v>YMT</v>
          </cell>
          <cell r="E29" t="str">
            <v>dorva</v>
          </cell>
        </row>
        <row r="30">
          <cell r="C30" t="str">
            <v>WNH</v>
          </cell>
          <cell r="E30" t="str">
            <v>domai</v>
          </cell>
        </row>
        <row r="31">
          <cell r="C31" t="str">
            <v>DEG</v>
          </cell>
          <cell r="E31" t="str">
            <v>maniw</v>
          </cell>
        </row>
        <row r="32">
          <cell r="C32" t="str">
            <v>YYY</v>
          </cell>
          <cell r="E32" t="str">
            <v>label</v>
          </cell>
        </row>
        <row r="33">
          <cell r="C33" t="str">
            <v>MAT</v>
          </cell>
          <cell r="E33" t="str">
            <v>wakef</v>
          </cell>
        </row>
        <row r="34">
          <cell r="C34" t="str">
            <v>WZS</v>
          </cell>
          <cell r="E34" t="str">
            <v>lievr</v>
          </cell>
        </row>
        <row r="35">
          <cell r="C35" t="str">
            <v>WSG</v>
          </cell>
          <cell r="E35" t="str">
            <v>chene</v>
          </cell>
        </row>
        <row r="36">
          <cell r="C36" t="str">
            <v>MUR</v>
          </cell>
          <cell r="E36" t="str">
            <v>joach</v>
          </cell>
        </row>
        <row r="37">
          <cell r="C37" t="str">
            <v>YCL</v>
          </cell>
          <cell r="E37" t="str">
            <v>shawv</v>
          </cell>
        </row>
        <row r="38">
          <cell r="C38" t="str">
            <v>WOC</v>
          </cell>
          <cell r="E38" t="str">
            <v>vmari</v>
          </cell>
        </row>
        <row r="39">
          <cell r="C39" t="str">
            <v>YGP</v>
          </cell>
          <cell r="E39" t="str">
            <v>temis</v>
          </cell>
        </row>
        <row r="40">
          <cell r="C40" t="str">
            <v>ESC</v>
          </cell>
          <cell r="E40" t="str">
            <v>lsarr</v>
          </cell>
        </row>
        <row r="41">
          <cell r="C41" t="str">
            <v>YBC</v>
          </cell>
          <cell r="E41" t="str">
            <v>amos</v>
          </cell>
        </row>
        <row r="42">
          <cell r="C42" t="str">
            <v>ZMV</v>
          </cell>
          <cell r="E42" t="str">
            <v>quevi</v>
          </cell>
        </row>
        <row r="43">
          <cell r="C43" t="str">
            <v>YZV</v>
          </cell>
          <cell r="E43" t="str">
            <v>rouyn</v>
          </cell>
        </row>
        <row r="44">
          <cell r="C44" t="str">
            <v>YGV</v>
          </cell>
          <cell r="E44" t="str">
            <v>malar</v>
          </cell>
        </row>
        <row r="45">
          <cell r="C45" t="str">
            <v>WBY</v>
          </cell>
          <cell r="E45" t="str">
            <v>valdo</v>
          </cell>
        </row>
        <row r="46">
          <cell r="C46" t="str">
            <v>YNA</v>
          </cell>
          <cell r="E46" t="str">
            <v>sentr</v>
          </cell>
        </row>
        <row r="47">
          <cell r="C47" t="str">
            <v>WDM</v>
          </cell>
          <cell r="E47" t="str">
            <v>gouin</v>
          </cell>
        </row>
        <row r="48">
          <cell r="C48" t="str">
            <v>YBX</v>
          </cell>
          <cell r="E48" t="str">
            <v>paren</v>
          </cell>
        </row>
        <row r="49">
          <cell r="C49" t="str">
            <v>YGL</v>
          </cell>
          <cell r="E49" t="str">
            <v>matag</v>
          </cell>
        </row>
        <row r="50">
          <cell r="C50" t="str">
            <v>YAH</v>
          </cell>
          <cell r="E50" t="str">
            <v>mique</v>
          </cell>
        </row>
        <row r="51">
          <cell r="C51" t="str">
            <v>YKL</v>
          </cell>
          <cell r="E51" t="str">
            <v>ykq</v>
          </cell>
        </row>
        <row r="52">
          <cell r="C52" t="str">
            <v>YWK</v>
          </cell>
          <cell r="E52" t="str">
            <v>brome</v>
          </cell>
        </row>
        <row r="53">
          <cell r="E53" t="str">
            <v>granb</v>
          </cell>
        </row>
        <row r="54">
          <cell r="E54" t="str">
            <v>oford</v>
          </cell>
        </row>
        <row r="55">
          <cell r="E55" t="str">
            <v>richm</v>
          </cell>
        </row>
        <row r="56">
          <cell r="E56" t="str">
            <v>sherb</v>
          </cell>
        </row>
        <row r="57">
          <cell r="E57" t="str">
            <v>coati</v>
          </cell>
        </row>
        <row r="58">
          <cell r="E58" t="str">
            <v>cooks</v>
          </cell>
        </row>
        <row r="59">
          <cell r="E59" t="str">
            <v>weedo</v>
          </cell>
        </row>
        <row r="60">
          <cell r="E60" t="str">
            <v>megan</v>
          </cell>
        </row>
        <row r="61">
          <cell r="E61" t="str">
            <v>thmin</v>
          </cell>
        </row>
        <row r="62">
          <cell r="E62" t="str">
            <v>georg</v>
          </cell>
        </row>
        <row r="63">
          <cell r="E63" t="str">
            <v>marie</v>
          </cell>
        </row>
        <row r="64">
          <cell r="E64" t="str">
            <v>etche</v>
          </cell>
        </row>
        <row r="65">
          <cell r="E65" t="str">
            <v>drumm</v>
          </cell>
        </row>
        <row r="66">
          <cell r="E66" t="str">
            <v>nicol</v>
          </cell>
        </row>
        <row r="67">
          <cell r="E67" t="str">
            <v>victo</v>
          </cell>
        </row>
        <row r="68">
          <cell r="E68" t="str">
            <v>becan</v>
          </cell>
        </row>
        <row r="69">
          <cell r="E69" t="str">
            <v>mataw</v>
          </cell>
        </row>
        <row r="70">
          <cell r="E70" t="str">
            <v>shawi</v>
          </cell>
        </row>
        <row r="71">
          <cell r="E71" t="str">
            <v>louis</v>
          </cell>
        </row>
        <row r="72">
          <cell r="E72" t="str">
            <v>3riv</v>
          </cell>
        </row>
        <row r="73">
          <cell r="E73" t="str">
            <v>perad</v>
          </cell>
        </row>
        <row r="74">
          <cell r="E74" t="str">
            <v>lsabl</v>
          </cell>
        </row>
        <row r="75">
          <cell r="E75" t="str">
            <v>portn</v>
          </cell>
        </row>
        <row r="76">
          <cell r="E76" t="str">
            <v>valca</v>
          </cell>
        </row>
        <row r="77">
          <cell r="E77" t="str">
            <v>quebc</v>
          </cell>
        </row>
        <row r="78">
          <cell r="E78" t="str">
            <v>orlea</v>
          </cell>
        </row>
        <row r="79">
          <cell r="E79" t="str">
            <v>lotbi</v>
          </cell>
        </row>
        <row r="80">
          <cell r="E80" t="str">
            <v>levis</v>
          </cell>
        </row>
        <row r="81">
          <cell r="E81" t="str">
            <v>lamber</v>
          </cell>
        </row>
        <row r="82">
          <cell r="E82" t="str">
            <v>blcha</v>
          </cell>
        </row>
        <row r="83">
          <cell r="E83" t="str">
            <v>montm</v>
          </cell>
        </row>
        <row r="84">
          <cell r="E84" t="str">
            <v>fabien</v>
          </cell>
        </row>
        <row r="85">
          <cell r="E85" t="str">
            <v>spaul</v>
          </cell>
        </row>
        <row r="86">
          <cell r="E86" t="str">
            <v>malbe</v>
          </cell>
        </row>
        <row r="87">
          <cell r="E87" t="str">
            <v>apica</v>
          </cell>
        </row>
        <row r="88">
          <cell r="E88" t="str">
            <v>etape</v>
          </cell>
        </row>
        <row r="89">
          <cell r="E89" t="str">
            <v>jardi</v>
          </cell>
        </row>
        <row r="90">
          <cell r="E90" t="str">
            <v>bouch</v>
          </cell>
        </row>
        <row r="91">
          <cell r="E91" t="str">
            <v>tuque</v>
          </cell>
        </row>
        <row r="92">
          <cell r="E92" t="str">
            <v>falar</v>
          </cell>
        </row>
        <row r="93">
          <cell r="E93" t="str">
            <v>sague</v>
          </cell>
        </row>
        <row r="94">
          <cell r="E94" t="str">
            <v>srose</v>
          </cell>
        </row>
        <row r="95">
          <cell r="E95" t="str">
            <v>etern</v>
          </cell>
        </row>
        <row r="96">
          <cell r="E96" t="str">
            <v>tadou</v>
          </cell>
        </row>
        <row r="97">
          <cell r="E97" t="str">
            <v>resfa</v>
          </cell>
        </row>
        <row r="98">
          <cell r="E98" t="str">
            <v>norma</v>
          </cell>
        </row>
        <row r="99">
          <cell r="E99" t="str">
            <v>rober</v>
          </cell>
        </row>
        <row r="100">
          <cell r="E100" t="str">
            <v>alma</v>
          </cell>
        </row>
        <row r="101">
          <cell r="E101" t="str">
            <v>ymt</v>
          </cell>
        </row>
        <row r="102">
          <cell r="E102" t="str">
            <v>kamou</v>
          </cell>
        </row>
        <row r="103">
          <cell r="E103" t="str">
            <v>poheg</v>
          </cell>
        </row>
        <row r="104">
          <cell r="E104" t="str">
            <v>rloup</v>
          </cell>
        </row>
        <row r="105">
          <cell r="E105" t="str">
            <v>3pist</v>
          </cell>
        </row>
        <row r="106">
          <cell r="E106" t="str">
            <v>deg</v>
          </cell>
        </row>
        <row r="107">
          <cell r="E107" t="str">
            <v>b-rik</v>
          </cell>
        </row>
        <row r="108">
          <cell r="E108" t="str">
            <v>r-rim</v>
          </cell>
        </row>
        <row r="109">
          <cell r="E109" t="str">
            <v>mjoli</v>
          </cell>
        </row>
        <row r="110">
          <cell r="E110" t="str">
            <v>mat</v>
          </cell>
        </row>
        <row r="111">
          <cell r="E111" t="str">
            <v>amqui</v>
          </cell>
        </row>
        <row r="112">
          <cell r="E112" t="str">
            <v>matap</v>
          </cell>
        </row>
        <row r="113">
          <cell r="E113" t="str">
            <v>stann</v>
          </cell>
        </row>
        <row r="114">
          <cell r="E114" t="str">
            <v>grval</v>
          </cell>
        </row>
        <row r="115">
          <cell r="E115" t="str">
            <v>alber</v>
          </cell>
        </row>
        <row r="116">
          <cell r="E116" t="str">
            <v>grivr</v>
          </cell>
        </row>
        <row r="117">
          <cell r="E117" t="str">
            <v>murdo</v>
          </cell>
        </row>
        <row r="118">
          <cell r="E118" t="str">
            <v>resti</v>
          </cell>
        </row>
        <row r="119">
          <cell r="E119" t="str">
            <v>bonav</v>
          </cell>
        </row>
        <row r="120">
          <cell r="E120" t="str">
            <v>carli</v>
          </cell>
        </row>
        <row r="121">
          <cell r="E121" t="str">
            <v>chandl</v>
          </cell>
        </row>
        <row r="122">
          <cell r="E122" t="str">
            <v>gaspe</v>
          </cell>
        </row>
        <row r="123">
          <cell r="E123" t="str">
            <v>perce</v>
          </cell>
        </row>
        <row r="124">
          <cell r="E124" t="str">
            <v>escou</v>
          </cell>
        </row>
        <row r="125">
          <cell r="E125" t="str">
            <v>fores</v>
          </cell>
        </row>
        <row r="126">
          <cell r="E126" t="str">
            <v>ybc</v>
          </cell>
        </row>
        <row r="127">
          <cell r="E127" t="str">
            <v>mani5</v>
          </cell>
        </row>
        <row r="128">
          <cell r="E128" t="str">
            <v>wdt</v>
          </cell>
        </row>
        <row r="129">
          <cell r="E129" t="str">
            <v>labri</v>
          </cell>
        </row>
        <row r="130">
          <cell r="E130" t="str">
            <v>mani3</v>
          </cell>
        </row>
        <row r="131">
          <cell r="E131" t="str">
            <v>trini</v>
          </cell>
        </row>
        <row r="132">
          <cell r="E132" t="str">
            <v>7i-pc</v>
          </cell>
        </row>
        <row r="133">
          <cell r="E133" t="str">
            <v>ygv</v>
          </cell>
        </row>
        <row r="134">
          <cell r="E134" t="str">
            <v>wby</v>
          </cell>
        </row>
        <row r="135">
          <cell r="E135" t="str">
            <v>yna</v>
          </cell>
        </row>
        <row r="136">
          <cell r="E136" t="str">
            <v>wdm</v>
          </cell>
        </row>
        <row r="137">
          <cell r="E137" t="str">
            <v>ybx</v>
          </cell>
        </row>
        <row r="138">
          <cell r="E138" t="str">
            <v>ygl</v>
          </cell>
        </row>
        <row r="139">
          <cell r="E139" t="str">
            <v>yah</v>
          </cell>
        </row>
        <row r="140">
          <cell r="E140" t="str">
            <v>ykl</v>
          </cell>
        </row>
        <row r="141">
          <cell r="E141" t="str">
            <v>ywk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9"/>
  <sheetViews>
    <sheetView tabSelected="1" zoomScaleNormal="100" workbookViewId="0">
      <pane ySplit="1" topLeftCell="A2" activePane="bottomLeft" state="frozen"/>
      <selection pane="bottomLeft" activeCell="E1" sqref="E1"/>
    </sheetView>
  </sheetViews>
  <sheetFormatPr defaultColWidth="11.42578125" defaultRowHeight="11.25"/>
  <cols>
    <col min="1" max="1" width="14.5703125" style="118" customWidth="1"/>
    <col min="2" max="3" width="11.42578125" style="119"/>
    <col min="4" max="4" width="11.42578125" style="167"/>
    <col min="5" max="5" width="16.85546875" style="119" customWidth="1"/>
    <col min="6" max="6" width="18.28515625" style="119" customWidth="1"/>
    <col min="7" max="16384" width="11.42578125" style="119"/>
  </cols>
  <sheetData>
    <row r="1" spans="1:8" s="165" customFormat="1" ht="15.75" customHeight="1">
      <c r="A1" s="164" t="s">
        <v>0</v>
      </c>
      <c r="D1" s="166" t="s">
        <v>639</v>
      </c>
      <c r="E1" s="166" t="s">
        <v>640</v>
      </c>
      <c r="F1" s="166" t="s">
        <v>641</v>
      </c>
    </row>
    <row r="2" spans="1:8" ht="15.75" customHeight="1">
      <c r="A2" s="118">
        <v>36699.826388888891</v>
      </c>
      <c r="D2" s="169">
        <v>2000</v>
      </c>
      <c r="E2" s="168">
        <f t="array" ref="E2">MIN(IF(YEAR($A$2:$A$104)=D2,($A$2:$A$104)))</f>
        <v>36699.826388888891</v>
      </c>
      <c r="F2" s="168">
        <f t="array" ref="F2">MAX(IF(YEAR($A$2:$A$104)=D2,($A$2:$A$104)))</f>
        <v>36725.847222222219</v>
      </c>
      <c r="G2" s="118"/>
      <c r="H2" s="118"/>
    </row>
    <row r="3" spans="1:8" ht="15.75" customHeight="1">
      <c r="A3" s="118">
        <v>36725.847222222219</v>
      </c>
      <c r="D3" s="169">
        <v>2001</v>
      </c>
      <c r="E3" s="118"/>
      <c r="F3" s="118"/>
      <c r="G3" s="118"/>
      <c r="H3" s="118"/>
    </row>
    <row r="4" spans="1:8" ht="15.75" customHeight="1">
      <c r="A4" s="118">
        <v>37061.947916666664</v>
      </c>
      <c r="D4" s="169">
        <v>2002</v>
      </c>
      <c r="E4" s="118"/>
    </row>
    <row r="5" spans="1:8" ht="15.75" customHeight="1">
      <c r="A5" s="118">
        <v>37061.96875</v>
      </c>
      <c r="D5" s="169">
        <v>2003</v>
      </c>
      <c r="E5" s="118"/>
    </row>
    <row r="6" spans="1:8" ht="15.75" customHeight="1">
      <c r="A6" s="118">
        <v>37076.875</v>
      </c>
      <c r="D6" s="169">
        <v>2004</v>
      </c>
      <c r="E6" s="118"/>
    </row>
    <row r="7" spans="1:8" ht="15.75" customHeight="1">
      <c r="A7" s="118">
        <v>37076.878472222219</v>
      </c>
      <c r="D7" s="169">
        <v>2005</v>
      </c>
      <c r="E7" s="118"/>
    </row>
    <row r="8" spans="1:8" ht="15.75" customHeight="1">
      <c r="A8" s="118">
        <v>37107.985416666663</v>
      </c>
      <c r="D8" s="169">
        <v>2006</v>
      </c>
      <c r="E8" s="118"/>
    </row>
    <row r="9" spans="1:8" ht="15.75" customHeight="1">
      <c r="A9" s="118">
        <v>37113.047222222223</v>
      </c>
      <c r="D9" s="169">
        <v>2007</v>
      </c>
      <c r="E9" s="118"/>
    </row>
    <row r="10" spans="1:8" ht="15.75" customHeight="1">
      <c r="A10" s="118">
        <v>37407.895833333328</v>
      </c>
      <c r="D10" s="169">
        <v>2008</v>
      </c>
      <c r="E10" s="118"/>
    </row>
    <row r="11" spans="1:8" ht="15.75" customHeight="1">
      <c r="A11" s="118">
        <v>37441.71875</v>
      </c>
      <c r="D11" s="169">
        <v>2009</v>
      </c>
      <c r="E11" s="118"/>
    </row>
    <row r="12" spans="1:8" ht="15.75" customHeight="1">
      <c r="A12" s="118">
        <v>37451.979166666664</v>
      </c>
      <c r="D12" s="169">
        <v>2010</v>
      </c>
      <c r="E12" s="118"/>
    </row>
    <row r="13" spans="1:8" ht="15.75" customHeight="1">
      <c r="A13" s="118">
        <v>37460.013888888883</v>
      </c>
      <c r="D13" s="169">
        <v>2011</v>
      </c>
      <c r="E13" s="118"/>
    </row>
    <row r="14" spans="1:8" ht="15.75" customHeight="1">
      <c r="A14" s="118">
        <v>37486.645833333328</v>
      </c>
      <c r="D14" s="169">
        <v>2012</v>
      </c>
      <c r="E14" s="118"/>
    </row>
    <row r="15" spans="1:8" ht="15.75" customHeight="1">
      <c r="A15" s="118">
        <v>37502.604166666664</v>
      </c>
      <c r="D15" s="169">
        <v>2013</v>
      </c>
      <c r="E15" s="118"/>
    </row>
    <row r="16" spans="1:8" ht="15.75" customHeight="1">
      <c r="A16" s="118">
        <v>37783.885416666664</v>
      </c>
      <c r="D16" s="169">
        <v>2014</v>
      </c>
      <c r="E16" s="118"/>
    </row>
    <row r="17" spans="1:5" ht="15.75" customHeight="1">
      <c r="A17" s="118">
        <v>37799.784722222219</v>
      </c>
      <c r="D17" s="169">
        <v>2015</v>
      </c>
      <c r="E17" s="118"/>
    </row>
    <row r="18" spans="1:5" ht="15.75" customHeight="1">
      <c r="A18" s="118">
        <v>37801.666666666664</v>
      </c>
      <c r="D18" s="169">
        <v>2016</v>
      </c>
      <c r="E18" s="118"/>
    </row>
    <row r="19" spans="1:5" ht="15.75" customHeight="1">
      <c r="A19" s="118">
        <v>37810.614583333328</v>
      </c>
      <c r="D19" s="169">
        <v>2017</v>
      </c>
      <c r="E19" s="118"/>
    </row>
    <row r="20" spans="1:5" ht="15.75" customHeight="1">
      <c r="A20" s="118">
        <v>37829.895833333328</v>
      </c>
      <c r="D20" s="169">
        <v>2018</v>
      </c>
      <c r="E20" s="118"/>
    </row>
    <row r="21" spans="1:5" ht="15.75" customHeight="1">
      <c r="A21" s="118">
        <v>37839.965277777774</v>
      </c>
    </row>
    <row r="22" spans="1:5" ht="15.75" customHeight="1">
      <c r="A22" s="118">
        <v>37868.916666666664</v>
      </c>
    </row>
    <row r="23" spans="1:5" ht="15.75" customHeight="1">
      <c r="A23" s="118">
        <v>37887.875</v>
      </c>
    </row>
    <row r="24" spans="1:5" ht="15.75" customHeight="1">
      <c r="A24" s="118">
        <v>38146.871527777774</v>
      </c>
    </row>
    <row r="25" spans="1:5" ht="15.75" customHeight="1">
      <c r="A25" s="118">
        <v>38158.923611111109</v>
      </c>
    </row>
    <row r="26" spans="1:5" ht="15.75" customHeight="1">
      <c r="A26" s="118">
        <v>38158.947916666664</v>
      </c>
    </row>
    <row r="27" spans="1:5" ht="15.75" customHeight="1">
      <c r="A27" s="118">
        <v>38199.680555555555</v>
      </c>
    </row>
    <row r="28" spans="1:5" ht="15.75" customHeight="1">
      <c r="A28" s="118">
        <v>38199.75</v>
      </c>
    </row>
    <row r="29" spans="1:5" ht="15.75" customHeight="1">
      <c r="A29" s="118">
        <v>38199.753472222219</v>
      </c>
    </row>
    <row r="30" spans="1:5" ht="15.75" customHeight="1">
      <c r="A30" s="118">
        <v>38199.833333333328</v>
      </c>
    </row>
    <row r="31" spans="1:5" ht="15.75" customHeight="1">
      <c r="A31" s="118">
        <v>38209.895833333328</v>
      </c>
    </row>
    <row r="32" spans="1:5" ht="15.75" customHeight="1">
      <c r="A32" s="118">
        <v>38233.885416666664</v>
      </c>
    </row>
    <row r="33" spans="1:1" ht="15.75" customHeight="1">
      <c r="A33" s="118">
        <v>38528.833333333328</v>
      </c>
    </row>
    <row r="34" spans="1:1" ht="15.75" customHeight="1">
      <c r="A34" s="118">
        <v>38534.888888888883</v>
      </c>
    </row>
    <row r="35" spans="1:1" ht="15.75" customHeight="1">
      <c r="A35" s="118">
        <v>38897.833333333328</v>
      </c>
    </row>
    <row r="36" spans="1:1" ht="15.75" customHeight="1">
      <c r="A36" s="118">
        <v>38923.847222222219</v>
      </c>
    </row>
    <row r="37" spans="1:1" ht="15.75" customHeight="1">
      <c r="A37" s="118">
        <v>38930.9375</v>
      </c>
    </row>
    <row r="38" spans="1:1" ht="15.75" customHeight="1">
      <c r="A38" s="118">
        <v>38930.951388888883</v>
      </c>
    </row>
    <row r="39" spans="1:1" ht="15.75" customHeight="1">
      <c r="A39" s="118">
        <v>39278.78125</v>
      </c>
    </row>
    <row r="40" spans="1:1" ht="15.75" customHeight="1">
      <c r="A40" s="118">
        <v>39306.96875</v>
      </c>
    </row>
    <row r="41" spans="1:1" ht="15.75" customHeight="1">
      <c r="A41" s="118">
        <v>39308.145833333328</v>
      </c>
    </row>
    <row r="42" spans="1:1" ht="15.75" customHeight="1">
      <c r="A42" s="118">
        <v>39319.875</v>
      </c>
    </row>
    <row r="43" spans="1:1" ht="15.75" customHeight="1">
      <c r="A43" s="120">
        <v>39638.9375</v>
      </c>
    </row>
    <row r="44" spans="1:1" ht="15.75" customHeight="1">
      <c r="A44" s="120">
        <v>39652.756944444445</v>
      </c>
    </row>
    <row r="45" spans="1:1" ht="15.75" customHeight="1">
      <c r="A45" s="120">
        <v>39671.934027777781</v>
      </c>
    </row>
    <row r="46" spans="1:1" ht="15.75" customHeight="1">
      <c r="A46" s="120">
        <v>39699.916666666664</v>
      </c>
    </row>
    <row r="47" spans="1:1" ht="15.75" customHeight="1">
      <c r="A47" s="118">
        <v>39934.871527777781</v>
      </c>
    </row>
    <row r="48" spans="1:1" ht="15.75" customHeight="1">
      <c r="A48" s="118">
        <v>40005.959722222222</v>
      </c>
    </row>
    <row r="49" spans="1:1" ht="15.75" customHeight="1">
      <c r="A49" s="118">
        <v>40005.977083333331</v>
      </c>
    </row>
    <row r="50" spans="1:1" ht="15.75" customHeight="1">
      <c r="A50" s="118">
        <v>40021.680555555555</v>
      </c>
    </row>
    <row r="51" spans="1:1" ht="15.75" customHeight="1">
      <c r="A51" s="118">
        <v>40023.886111111111</v>
      </c>
    </row>
    <row r="52" spans="1:1" ht="15.75" customHeight="1">
      <c r="A52" s="118">
        <v>40029.78125</v>
      </c>
    </row>
    <row r="53" spans="1:1" ht="15.75" customHeight="1">
      <c r="A53" s="118">
        <v>40046.708333333336</v>
      </c>
    </row>
    <row r="54" spans="1:1" ht="15.75" customHeight="1">
      <c r="A54" s="118">
        <v>40047</v>
      </c>
    </row>
    <row r="55" spans="1:1" ht="15.75" customHeight="1">
      <c r="A55" s="118">
        <v>40357.8125</v>
      </c>
    </row>
    <row r="56" spans="1:1" ht="15.75" customHeight="1">
      <c r="A56" s="118">
        <v>40357.868055555555</v>
      </c>
    </row>
    <row r="57" spans="1:1" ht="15.75" customHeight="1">
      <c r="A57" s="118">
        <v>40375.770833333336</v>
      </c>
    </row>
    <row r="58" spans="1:1" ht="15.75" customHeight="1">
      <c r="A58" s="118">
        <v>40376.739583333336</v>
      </c>
    </row>
    <row r="59" spans="1:1" ht="15.75" customHeight="1">
      <c r="A59" s="118">
        <v>40423.010416666664</v>
      </c>
    </row>
    <row r="60" spans="1:1" ht="15.75" customHeight="1">
      <c r="A60" s="118">
        <v>40741.8125</v>
      </c>
    </row>
    <row r="61" spans="1:1" ht="15.75" customHeight="1">
      <c r="A61" s="118">
        <v>40744.895833333336</v>
      </c>
    </row>
    <row r="62" spans="1:1" ht="15.75" customHeight="1">
      <c r="A62" s="118">
        <v>40761.78125</v>
      </c>
    </row>
    <row r="63" spans="1:1" ht="15.75" customHeight="1">
      <c r="A63" s="118">
        <v>40790.951388888891</v>
      </c>
    </row>
    <row r="64" spans="1:1" ht="15.75" customHeight="1">
      <c r="A64" s="118">
        <v>41055</v>
      </c>
    </row>
    <row r="65" spans="1:1" ht="15.75" customHeight="1">
      <c r="A65" s="118">
        <v>41055.010416666664</v>
      </c>
    </row>
    <row r="66" spans="1:1" ht="15.75" customHeight="1">
      <c r="A66" s="118">
        <v>41068.892361111109</v>
      </c>
    </row>
    <row r="67" spans="1:1" ht="15.75" customHeight="1">
      <c r="A67" s="118">
        <v>41152</v>
      </c>
    </row>
    <row r="68" spans="1:1" ht="15.75" customHeight="1">
      <c r="A68" s="118">
        <v>41160.895833333336</v>
      </c>
    </row>
    <row r="69" spans="1:1" ht="15.75" customHeight="1">
      <c r="A69" s="118">
        <v>41213.590277777781</v>
      </c>
    </row>
    <row r="70" spans="1:1" ht="15.75" customHeight="1">
      <c r="A70" s="118">
        <v>41427.055555555555</v>
      </c>
    </row>
    <row r="71" spans="1:1" ht="15.75" customHeight="1">
      <c r="A71" s="118">
        <v>41465.927083333336</v>
      </c>
    </row>
    <row r="72" spans="1:1" ht="15.75" customHeight="1">
      <c r="A72" s="118">
        <v>41500.104166666664</v>
      </c>
    </row>
    <row r="73" spans="1:1" ht="15.75" customHeight="1">
      <c r="A73" s="118">
        <v>41502.75</v>
      </c>
    </row>
    <row r="74" spans="1:1" ht="15.75" customHeight="1">
      <c r="A74" s="118">
        <v>41785.864583333336</v>
      </c>
    </row>
    <row r="75" spans="1:1" ht="15.75" customHeight="1">
      <c r="A75" s="118">
        <v>41820.9375</v>
      </c>
    </row>
    <row r="76" spans="1:1" ht="15.75" customHeight="1">
      <c r="A76" s="118">
        <v>41829.194444444445</v>
      </c>
    </row>
    <row r="77" spans="1:1" ht="15.75" customHeight="1">
      <c r="A77" s="118">
        <v>41829.239583333336</v>
      </c>
    </row>
    <row r="78" spans="1:1" ht="15.75" customHeight="1">
      <c r="A78" s="118">
        <v>41829.260416666664</v>
      </c>
    </row>
    <row r="79" spans="1:1" ht="15.75" customHeight="1">
      <c r="A79" s="118">
        <v>41851.850694444445</v>
      </c>
    </row>
    <row r="80" spans="1:1" ht="15.75" customHeight="1">
      <c r="A80" s="118">
        <v>42219.802083333336</v>
      </c>
    </row>
    <row r="81" spans="1:1" ht="15.75" customHeight="1">
      <c r="A81" s="121">
        <v>42523.916666666664</v>
      </c>
    </row>
    <row r="82" spans="1:1" ht="15.75" customHeight="1">
      <c r="A82" s="121">
        <v>42542.052083333336</v>
      </c>
    </row>
    <row r="83" spans="1:1" ht="15.75" customHeight="1">
      <c r="A83" s="121">
        <v>42555.802083333336</v>
      </c>
    </row>
    <row r="84" spans="1:1" ht="15.75" customHeight="1">
      <c r="A84" s="121">
        <v>42569.652777777781</v>
      </c>
    </row>
    <row r="85" spans="1:1" ht="15.75" customHeight="1">
      <c r="A85" s="118">
        <v>42904.715277777781</v>
      </c>
    </row>
    <row r="86" spans="1:1" ht="15.75" customHeight="1">
      <c r="A86" s="118">
        <v>42904.729166666664</v>
      </c>
    </row>
    <row r="87" spans="1:1" ht="15.75" customHeight="1">
      <c r="A87" s="118">
        <v>42904.756944444445</v>
      </c>
    </row>
    <row r="88" spans="1:1" ht="15.75" customHeight="1">
      <c r="A88" s="118">
        <v>42904.770833333336</v>
      </c>
    </row>
    <row r="89" spans="1:1" ht="15.75" customHeight="1">
      <c r="A89" s="118">
        <v>42904.805555555555</v>
      </c>
    </row>
    <row r="90" spans="1:1" ht="15.75" customHeight="1">
      <c r="A90" s="118">
        <v>42904.809027777781</v>
      </c>
    </row>
    <row r="91" spans="1:1" ht="15.75" customHeight="1">
      <c r="A91" s="118">
        <v>42904.819444444445</v>
      </c>
    </row>
    <row r="92" spans="1:1" ht="15.75" customHeight="1">
      <c r="A92" s="118">
        <v>42904.847222222219</v>
      </c>
    </row>
    <row r="93" spans="1:1" ht="15.75" customHeight="1">
      <c r="A93" s="118">
        <v>42904.854166666664</v>
      </c>
    </row>
    <row r="94" spans="1:1" ht="15.75" customHeight="1">
      <c r="A94" s="118">
        <v>42904.868055555555</v>
      </c>
    </row>
    <row r="95" spans="1:1" ht="15.75" customHeight="1">
      <c r="A95" s="118">
        <v>42904.881944444445</v>
      </c>
    </row>
    <row r="96" spans="1:1" ht="15.75" customHeight="1">
      <c r="A96" s="118">
        <v>42952.8125</v>
      </c>
    </row>
    <row r="97" spans="1:1" ht="15.75" customHeight="1">
      <c r="A97" s="118">
        <v>42969.923611111109</v>
      </c>
    </row>
    <row r="98" spans="1:1" ht="15.75" customHeight="1">
      <c r="A98" s="118">
        <v>43023.833333333336</v>
      </c>
    </row>
    <row r="99" spans="1:1" ht="15.75" customHeight="1">
      <c r="A99" s="118">
        <v>43304.729166666664</v>
      </c>
    </row>
    <row r="100" spans="1:1" ht="15.75" customHeight="1">
      <c r="A100" s="118">
        <v>43341.729166666664</v>
      </c>
    </row>
    <row r="101" spans="1:1" ht="15.75" customHeight="1">
      <c r="A101" s="118">
        <v>43364.8125</v>
      </c>
    </row>
    <row r="102" spans="1:1" ht="15.75" customHeight="1">
      <c r="A102" s="118">
        <v>43364.833333333336</v>
      </c>
    </row>
    <row r="103" spans="1:1" ht="15.75" customHeight="1">
      <c r="A103" s="118">
        <v>43364.861111111109</v>
      </c>
    </row>
    <row r="104" spans="1:1" ht="15.75" customHeight="1">
      <c r="A104" s="118">
        <v>43364.875</v>
      </c>
    </row>
    <row r="105" spans="1:1" ht="15.75" customHeight="1">
      <c r="A105" s="122"/>
    </row>
    <row r="106" spans="1:1" ht="12.75">
      <c r="A106" s="122"/>
    </row>
    <row r="107" spans="1:1" ht="12.75">
      <c r="A107" s="122"/>
    </row>
    <row r="108" spans="1:1" ht="12.75">
      <c r="A108" s="122"/>
    </row>
    <row r="109" spans="1:1" ht="12.75">
      <c r="A109" s="122"/>
    </row>
  </sheetData>
  <autoFilter ref="A1:A104">
    <sortState ref="A2:S191">
      <sortCondition ref="A1:A189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305"/>
  <sheetViews>
    <sheetView workbookViewId="0">
      <pane ySplit="2" topLeftCell="A201" activePane="bottomLeft" state="frozen"/>
      <selection pane="bottomLeft" activeCell="A222" sqref="A222:XFD230"/>
    </sheetView>
  </sheetViews>
  <sheetFormatPr defaultColWidth="11.42578125" defaultRowHeight="11.25"/>
  <cols>
    <col min="1" max="1" width="13.28515625" style="3" customWidth="1"/>
    <col min="2" max="2" width="4.42578125" style="4" customWidth="1"/>
    <col min="3" max="3" width="5.42578125" style="4" customWidth="1"/>
    <col min="4" max="4" width="14.140625" style="3" customWidth="1"/>
    <col min="5" max="5" width="13.7109375" style="16" customWidth="1"/>
    <col min="6" max="6" width="6" style="4" customWidth="1"/>
    <col min="7" max="7" width="5.7109375" style="4" customWidth="1"/>
    <col min="8" max="8" width="4.140625" style="4" customWidth="1"/>
    <col min="9" max="9" width="13.28515625" style="4" customWidth="1"/>
    <col min="10" max="10" width="6.5703125" style="4" customWidth="1"/>
    <col min="11" max="11" width="5.5703125" style="4" customWidth="1"/>
    <col min="12" max="12" width="37.85546875" style="4" customWidth="1"/>
    <col min="13" max="13" width="6.140625" style="4" customWidth="1"/>
    <col min="14" max="14" width="13.140625" style="4" customWidth="1"/>
    <col min="15" max="15" width="13.42578125" style="20" customWidth="1"/>
    <col min="16" max="16" width="14.140625" style="20" customWidth="1"/>
    <col min="17" max="16384" width="11.42578125" style="20"/>
  </cols>
  <sheetData>
    <row r="1" spans="1:27">
      <c r="A1" s="147" t="s">
        <v>120</v>
      </c>
      <c r="B1" s="148"/>
      <c r="C1" s="148"/>
      <c r="D1" s="149"/>
      <c r="E1" s="147" t="s">
        <v>121</v>
      </c>
      <c r="F1" s="148"/>
      <c r="G1" s="148"/>
      <c r="H1" s="148"/>
      <c r="I1" s="147" t="s">
        <v>122</v>
      </c>
      <c r="J1" s="148"/>
      <c r="K1" s="148"/>
      <c r="L1" s="148"/>
      <c r="M1" s="149"/>
      <c r="N1" s="147" t="s">
        <v>123</v>
      </c>
      <c r="O1" s="148"/>
      <c r="P1" s="149"/>
    </row>
    <row r="2" spans="1:27">
      <c r="A2" s="54" t="s">
        <v>124</v>
      </c>
      <c r="B2" s="55" t="s">
        <v>125</v>
      </c>
      <c r="C2" s="55" t="s">
        <v>126</v>
      </c>
      <c r="D2" s="56" t="s">
        <v>127</v>
      </c>
      <c r="E2" s="57" t="s">
        <v>128</v>
      </c>
      <c r="F2" s="58" t="s">
        <v>129</v>
      </c>
      <c r="G2" s="58" t="s">
        <v>130</v>
      </c>
      <c r="H2" s="58" t="s">
        <v>131</v>
      </c>
      <c r="I2" s="78" t="s">
        <v>132</v>
      </c>
      <c r="J2" s="79" t="s">
        <v>133</v>
      </c>
      <c r="K2" s="79" t="s">
        <v>134</v>
      </c>
      <c r="L2" s="79" t="s">
        <v>1</v>
      </c>
      <c r="M2" s="79" t="s">
        <v>3</v>
      </c>
      <c r="N2" s="80" t="s">
        <v>135</v>
      </c>
      <c r="O2" s="79" t="s">
        <v>136</v>
      </c>
      <c r="P2" s="79" t="s">
        <v>137</v>
      </c>
    </row>
    <row r="3" spans="1:27">
      <c r="A3" s="46"/>
      <c r="B3" s="47"/>
      <c r="C3" s="47"/>
      <c r="D3" s="60"/>
      <c r="E3" s="81">
        <v>37061.947916666664</v>
      </c>
      <c r="F3" s="82" t="s">
        <v>241</v>
      </c>
      <c r="G3" s="82" t="s">
        <v>242</v>
      </c>
      <c r="H3" s="83" t="s">
        <v>140</v>
      </c>
      <c r="I3" s="81">
        <v>37061.947916666664</v>
      </c>
      <c r="J3" s="82" t="s">
        <v>149</v>
      </c>
      <c r="K3" s="82" t="s">
        <v>242</v>
      </c>
      <c r="L3" s="82" t="s">
        <v>15</v>
      </c>
      <c r="M3" s="84" t="s">
        <v>9</v>
      </c>
      <c r="N3" s="81">
        <v>37061.88680555555</v>
      </c>
      <c r="O3" s="85">
        <v>37061.920138888883</v>
      </c>
      <c r="P3" s="86" t="s">
        <v>327</v>
      </c>
      <c r="AA3" s="20">
        <f>COUNTIFS(WFCN!H:H,"f")</f>
        <v>126</v>
      </c>
    </row>
    <row r="4" spans="1:27">
      <c r="A4" s="46"/>
      <c r="B4" s="47"/>
      <c r="C4" s="47"/>
      <c r="D4" s="60"/>
      <c r="E4" s="81">
        <v>37061.96875</v>
      </c>
      <c r="F4" s="82" t="s">
        <v>241</v>
      </c>
      <c r="G4" s="82" t="s">
        <v>242</v>
      </c>
      <c r="H4" s="83" t="s">
        <v>140</v>
      </c>
      <c r="I4" s="81">
        <v>37061.96875</v>
      </c>
      <c r="J4" s="82" t="s">
        <v>149</v>
      </c>
      <c r="K4" s="82" t="s">
        <v>242</v>
      </c>
      <c r="L4" s="82" t="s">
        <v>328</v>
      </c>
      <c r="M4" s="84" t="s">
        <v>8</v>
      </c>
      <c r="N4" s="81">
        <v>37061.88680555555</v>
      </c>
      <c r="O4" s="85">
        <v>37061.920138888883</v>
      </c>
      <c r="P4" s="86" t="s">
        <v>327</v>
      </c>
    </row>
    <row r="5" spans="1:27">
      <c r="A5" s="46">
        <v>37076.879861111112</v>
      </c>
      <c r="B5" s="47" t="s">
        <v>206</v>
      </c>
      <c r="C5" s="47" t="s">
        <v>329</v>
      </c>
      <c r="D5" s="61">
        <v>37076.915277777778</v>
      </c>
      <c r="E5" s="81">
        <v>37076.875</v>
      </c>
      <c r="F5" s="82" t="s">
        <v>206</v>
      </c>
      <c r="G5" s="82" t="s">
        <v>218</v>
      </c>
      <c r="H5" s="87" t="s">
        <v>153</v>
      </c>
      <c r="I5" s="81">
        <v>37076.875</v>
      </c>
      <c r="J5" s="82" t="s">
        <v>264</v>
      </c>
      <c r="K5" s="82" t="s">
        <v>329</v>
      </c>
      <c r="L5" s="82" t="s">
        <v>17</v>
      </c>
      <c r="M5" s="84" t="s">
        <v>10</v>
      </c>
      <c r="N5" s="81">
        <v>37076.646527777775</v>
      </c>
      <c r="O5" s="85">
        <v>37076.845138888886</v>
      </c>
      <c r="P5" s="86" t="s">
        <v>327</v>
      </c>
    </row>
    <row r="6" spans="1:27">
      <c r="A6" s="46">
        <v>37076.879861111112</v>
      </c>
      <c r="B6" s="47" t="s">
        <v>330</v>
      </c>
      <c r="C6" s="47" t="s">
        <v>331</v>
      </c>
      <c r="D6" s="61">
        <v>37076.915277777778</v>
      </c>
      <c r="E6" s="81">
        <v>37076.878472222219</v>
      </c>
      <c r="F6" s="82" t="s">
        <v>330</v>
      </c>
      <c r="G6" s="82" t="s">
        <v>332</v>
      </c>
      <c r="H6" s="87" t="s">
        <v>153</v>
      </c>
      <c r="I6" s="81">
        <v>37076.878472222219</v>
      </c>
      <c r="J6" s="82" t="s">
        <v>333</v>
      </c>
      <c r="K6" s="82" t="s">
        <v>331</v>
      </c>
      <c r="L6" s="82" t="s">
        <v>18</v>
      </c>
      <c r="M6" s="84" t="s">
        <v>10</v>
      </c>
      <c r="N6" s="81">
        <v>37076.646527777775</v>
      </c>
      <c r="O6" s="85" t="s">
        <v>148</v>
      </c>
      <c r="P6" s="86" t="s">
        <v>327</v>
      </c>
    </row>
    <row r="7" spans="1:27">
      <c r="A7" s="46">
        <v>37076.879861111112</v>
      </c>
      <c r="B7" s="47" t="s">
        <v>330</v>
      </c>
      <c r="C7" s="47" t="s">
        <v>334</v>
      </c>
      <c r="D7" s="61">
        <v>37076.915277777778</v>
      </c>
      <c r="E7" s="81">
        <v>37076.915277777778</v>
      </c>
      <c r="F7" s="82" t="s">
        <v>330</v>
      </c>
      <c r="G7" s="82" t="s">
        <v>335</v>
      </c>
      <c r="H7" s="88" t="s">
        <v>105</v>
      </c>
      <c r="I7" s="81"/>
      <c r="J7" s="82"/>
      <c r="K7" s="82"/>
      <c r="L7" s="82"/>
      <c r="M7" s="89"/>
      <c r="N7" s="81"/>
      <c r="O7" s="85"/>
      <c r="P7" s="85"/>
    </row>
    <row r="8" spans="1:27">
      <c r="A8" s="46">
        <v>37082.816666666666</v>
      </c>
      <c r="B8" s="47" t="s">
        <v>138</v>
      </c>
      <c r="C8" s="47" t="s">
        <v>139</v>
      </c>
      <c r="D8" s="61">
        <v>37082.852083333331</v>
      </c>
      <c r="E8" s="81">
        <v>37082.822916666664</v>
      </c>
      <c r="F8" s="90" t="s">
        <v>138</v>
      </c>
      <c r="G8" s="90" t="s">
        <v>139</v>
      </c>
      <c r="H8" s="88" t="s">
        <v>153</v>
      </c>
      <c r="I8" s="81">
        <v>37082.802083333336</v>
      </c>
      <c r="J8" s="82" t="s">
        <v>336</v>
      </c>
      <c r="K8" s="90" t="s">
        <v>139</v>
      </c>
      <c r="L8" s="90" t="s">
        <v>337</v>
      </c>
      <c r="M8" s="89" t="s">
        <v>9</v>
      </c>
      <c r="N8" s="81" t="s">
        <v>327</v>
      </c>
      <c r="O8" s="85" t="s">
        <v>327</v>
      </c>
      <c r="P8" s="85" t="s">
        <v>327</v>
      </c>
    </row>
    <row r="9" spans="1:27">
      <c r="A9" s="46">
        <v>37082.816666666666</v>
      </c>
      <c r="B9" s="47" t="s">
        <v>138</v>
      </c>
      <c r="C9" s="47" t="s">
        <v>338</v>
      </c>
      <c r="D9" s="61">
        <v>37082.87222222222</v>
      </c>
      <c r="E9" s="81">
        <v>37082.822916666664</v>
      </c>
      <c r="F9" s="90" t="s">
        <v>138</v>
      </c>
      <c r="G9" s="90" t="s">
        <v>338</v>
      </c>
      <c r="H9" s="87" t="s">
        <v>339</v>
      </c>
      <c r="I9" s="81">
        <v>37082.822916666664</v>
      </c>
      <c r="J9" s="82" t="s">
        <v>336</v>
      </c>
      <c r="K9" s="82" t="s">
        <v>338</v>
      </c>
      <c r="L9" s="82" t="s">
        <v>340</v>
      </c>
      <c r="M9" s="89" t="s">
        <v>9</v>
      </c>
      <c r="N9" s="81" t="s">
        <v>327</v>
      </c>
      <c r="O9" s="85" t="s">
        <v>327</v>
      </c>
      <c r="P9" s="85" t="s">
        <v>327</v>
      </c>
    </row>
    <row r="10" spans="1:27">
      <c r="A10" s="46"/>
      <c r="B10" s="47"/>
      <c r="C10" s="47"/>
      <c r="D10" s="60"/>
      <c r="E10" s="81">
        <v>37113.047222222223</v>
      </c>
      <c r="F10" s="82" t="s">
        <v>341</v>
      </c>
      <c r="G10" s="82" t="s">
        <v>342</v>
      </c>
      <c r="H10" s="88" t="s">
        <v>140</v>
      </c>
      <c r="I10" s="81">
        <v>37107.985416666663</v>
      </c>
      <c r="J10" s="82" t="s">
        <v>343</v>
      </c>
      <c r="K10" s="82" t="s">
        <v>342</v>
      </c>
      <c r="L10" s="82" t="s">
        <v>19</v>
      </c>
      <c r="M10" s="84" t="s">
        <v>10</v>
      </c>
      <c r="N10" s="81">
        <v>37107.884027777778</v>
      </c>
      <c r="O10" s="85" t="s">
        <v>327</v>
      </c>
      <c r="P10" s="85" t="s">
        <v>327</v>
      </c>
    </row>
    <row r="11" spans="1:27">
      <c r="A11" s="47"/>
      <c r="B11" s="47"/>
      <c r="C11" s="47"/>
      <c r="D11" s="60"/>
      <c r="E11" s="81">
        <v>37113.047222222223</v>
      </c>
      <c r="F11" s="82" t="s">
        <v>241</v>
      </c>
      <c r="G11" s="82" t="s">
        <v>242</v>
      </c>
      <c r="H11" s="88" t="s">
        <v>140</v>
      </c>
      <c r="I11" s="81">
        <v>37113.047222222223</v>
      </c>
      <c r="J11" s="82" t="s">
        <v>149</v>
      </c>
      <c r="K11" s="82" t="s">
        <v>242</v>
      </c>
      <c r="L11" s="82" t="s">
        <v>20</v>
      </c>
      <c r="M11" s="84" t="s">
        <v>10</v>
      </c>
      <c r="N11" s="81">
        <v>37112.636111111111</v>
      </c>
      <c r="O11" s="85">
        <v>37112.994444444441</v>
      </c>
      <c r="P11" s="85" t="s">
        <v>327</v>
      </c>
    </row>
    <row r="12" spans="1:27">
      <c r="A12" s="47"/>
      <c r="B12" s="47"/>
      <c r="C12" s="47"/>
      <c r="D12" s="60"/>
      <c r="E12" s="91">
        <v>37407.895833333328</v>
      </c>
      <c r="F12" s="90" t="s">
        <v>344</v>
      </c>
      <c r="G12" s="90" t="s">
        <v>201</v>
      </c>
      <c r="H12" s="88" t="s">
        <v>140</v>
      </c>
      <c r="I12" s="81">
        <v>37407.895833333328</v>
      </c>
      <c r="J12" s="82" t="s">
        <v>344</v>
      </c>
      <c r="K12" s="82" t="s">
        <v>201</v>
      </c>
      <c r="L12" s="90" t="s">
        <v>21</v>
      </c>
      <c r="M12" s="84" t="s">
        <v>8</v>
      </c>
      <c r="N12" s="81">
        <v>37407.800694444442</v>
      </c>
      <c r="O12" s="86" t="s">
        <v>153</v>
      </c>
      <c r="P12" s="86" t="s">
        <v>327</v>
      </c>
    </row>
    <row r="13" spans="1:27">
      <c r="A13" s="46">
        <v>37430.90625</v>
      </c>
      <c r="B13" s="47" t="s">
        <v>191</v>
      </c>
      <c r="C13" s="47" t="s">
        <v>345</v>
      </c>
      <c r="D13" s="61">
        <v>37430.929861111108</v>
      </c>
      <c r="E13" s="91">
        <v>37430.929861111108</v>
      </c>
      <c r="F13" s="90" t="s">
        <v>191</v>
      </c>
      <c r="G13" s="90" t="s">
        <v>345</v>
      </c>
      <c r="H13" s="88" t="s">
        <v>105</v>
      </c>
      <c r="I13" s="81"/>
      <c r="J13" s="82"/>
      <c r="K13" s="82"/>
      <c r="L13" s="82"/>
      <c r="M13" s="84"/>
      <c r="N13" s="81"/>
      <c r="O13" s="85"/>
      <c r="P13" s="85"/>
    </row>
    <row r="14" spans="1:27">
      <c r="A14" s="47"/>
      <c r="B14" s="47"/>
      <c r="C14" s="47"/>
      <c r="D14" s="60"/>
      <c r="E14" s="91">
        <v>37441.71875</v>
      </c>
      <c r="F14" s="82" t="s">
        <v>222</v>
      </c>
      <c r="G14" s="90" t="s">
        <v>346</v>
      </c>
      <c r="H14" s="88" t="s">
        <v>140</v>
      </c>
      <c r="I14" s="81">
        <v>37441.71875</v>
      </c>
      <c r="J14" s="82" t="s">
        <v>222</v>
      </c>
      <c r="K14" s="82" t="s">
        <v>346</v>
      </c>
      <c r="L14" s="90" t="s">
        <v>347</v>
      </c>
      <c r="M14" s="84" t="s">
        <v>10</v>
      </c>
      <c r="N14" s="81">
        <v>37441.640277777777</v>
      </c>
      <c r="O14" s="86" t="s">
        <v>327</v>
      </c>
      <c r="P14" s="86" t="s">
        <v>327</v>
      </c>
    </row>
    <row r="15" spans="1:27">
      <c r="A15" s="47"/>
      <c r="B15" s="47"/>
      <c r="C15" s="47"/>
      <c r="D15" s="60"/>
      <c r="E15" s="91">
        <v>37451.979166666664</v>
      </c>
      <c r="F15" s="90" t="s">
        <v>348</v>
      </c>
      <c r="G15" s="90" t="s">
        <v>349</v>
      </c>
      <c r="H15" s="88" t="s">
        <v>140</v>
      </c>
      <c r="I15" s="81">
        <v>37451.979166666664</v>
      </c>
      <c r="J15" s="82" t="s">
        <v>348</v>
      </c>
      <c r="K15" s="82" t="s">
        <v>349</v>
      </c>
      <c r="L15" s="90" t="s">
        <v>22</v>
      </c>
      <c r="M15" s="84" t="s">
        <v>10</v>
      </c>
      <c r="N15" s="81">
        <v>37451.817361111112</v>
      </c>
      <c r="O15" s="86">
        <v>37451.90625</v>
      </c>
      <c r="P15" s="86" t="s">
        <v>327</v>
      </c>
    </row>
    <row r="16" spans="1:27">
      <c r="A16" s="47"/>
      <c r="B16" s="47"/>
      <c r="C16" s="47"/>
      <c r="D16" s="60"/>
      <c r="E16" s="91">
        <v>37460.013888888891</v>
      </c>
      <c r="F16" s="90" t="s">
        <v>221</v>
      </c>
      <c r="G16" s="90" t="s">
        <v>229</v>
      </c>
      <c r="H16" s="88" t="s">
        <v>140</v>
      </c>
      <c r="I16" s="81">
        <v>37460.013888888891</v>
      </c>
      <c r="J16" s="90" t="s">
        <v>221</v>
      </c>
      <c r="K16" s="90" t="s">
        <v>229</v>
      </c>
      <c r="L16" s="90" t="s">
        <v>23</v>
      </c>
      <c r="M16" s="84" t="s">
        <v>10</v>
      </c>
      <c r="N16" s="81">
        <v>37459.78402777778</v>
      </c>
      <c r="O16" s="85">
        <v>37459.998611111114</v>
      </c>
      <c r="P16" s="86" t="s">
        <v>327</v>
      </c>
    </row>
    <row r="17" spans="1:16">
      <c r="A17" s="46">
        <v>37466.022916666669</v>
      </c>
      <c r="B17" s="47" t="s">
        <v>206</v>
      </c>
      <c r="C17" s="47" t="s">
        <v>218</v>
      </c>
      <c r="D17" s="61">
        <v>37466.054166666669</v>
      </c>
      <c r="E17" s="91">
        <v>37466.022916666669</v>
      </c>
      <c r="F17" s="82" t="s">
        <v>206</v>
      </c>
      <c r="G17" s="82" t="s">
        <v>218</v>
      </c>
      <c r="H17" s="88" t="s">
        <v>105</v>
      </c>
      <c r="I17" s="81"/>
      <c r="J17" s="82"/>
      <c r="K17" s="82"/>
      <c r="L17" s="82"/>
      <c r="M17" s="84"/>
      <c r="N17" s="81"/>
      <c r="O17" s="85"/>
      <c r="P17" s="85"/>
    </row>
    <row r="18" spans="1:16">
      <c r="A18" s="46">
        <v>37466.022916666669</v>
      </c>
      <c r="B18" s="47" t="s">
        <v>330</v>
      </c>
      <c r="C18" s="47" t="s">
        <v>330</v>
      </c>
      <c r="D18" s="61">
        <v>37466.07916666667</v>
      </c>
      <c r="E18" s="91">
        <v>37466.022916666669</v>
      </c>
      <c r="F18" s="82" t="s">
        <v>330</v>
      </c>
      <c r="G18" s="82" t="s">
        <v>330</v>
      </c>
      <c r="H18" s="88" t="s">
        <v>105</v>
      </c>
      <c r="I18" s="81"/>
      <c r="J18" s="82"/>
      <c r="K18" s="82"/>
      <c r="L18" s="82"/>
      <c r="M18" s="84"/>
      <c r="N18" s="81"/>
      <c r="O18" s="85"/>
      <c r="P18" s="85"/>
    </row>
    <row r="19" spans="1:16">
      <c r="A19" s="46">
        <v>37466.022916666669</v>
      </c>
      <c r="B19" s="47" t="s">
        <v>206</v>
      </c>
      <c r="C19" s="47" t="s">
        <v>235</v>
      </c>
      <c r="D19" s="61">
        <v>37466.054166666669</v>
      </c>
      <c r="E19" s="91">
        <v>37466.022916666669</v>
      </c>
      <c r="F19" s="82" t="s">
        <v>206</v>
      </c>
      <c r="G19" s="82" t="s">
        <v>235</v>
      </c>
      <c r="H19" s="88" t="s">
        <v>105</v>
      </c>
      <c r="I19" s="81"/>
      <c r="J19" s="82"/>
      <c r="K19" s="82"/>
      <c r="L19" s="82"/>
      <c r="M19" s="84"/>
      <c r="N19" s="81"/>
      <c r="O19" s="85"/>
      <c r="P19" s="85"/>
    </row>
    <row r="20" spans="1:16">
      <c r="A20" s="46">
        <v>37466.07916666667</v>
      </c>
      <c r="B20" s="47" t="s">
        <v>191</v>
      </c>
      <c r="C20" s="47" t="s">
        <v>191</v>
      </c>
      <c r="D20" s="61">
        <v>37466.113194444442</v>
      </c>
      <c r="E20" s="91">
        <v>37466.07916666667</v>
      </c>
      <c r="F20" s="82" t="s">
        <v>191</v>
      </c>
      <c r="G20" s="82" t="s">
        <v>191</v>
      </c>
      <c r="H20" s="88" t="s">
        <v>105</v>
      </c>
      <c r="I20" s="81"/>
      <c r="J20" s="82"/>
      <c r="K20" s="82"/>
      <c r="L20" s="82"/>
      <c r="M20" s="84"/>
      <c r="N20" s="81"/>
      <c r="O20" s="85"/>
      <c r="P20" s="85"/>
    </row>
    <row r="21" spans="1:16">
      <c r="A21" s="46">
        <v>37466.07916666667</v>
      </c>
      <c r="B21" s="47" t="s">
        <v>143</v>
      </c>
      <c r="C21" s="47" t="s">
        <v>161</v>
      </c>
      <c r="D21" s="61">
        <v>37466.113194444442</v>
      </c>
      <c r="E21" s="91">
        <v>37466.07916666667</v>
      </c>
      <c r="F21" s="82" t="s">
        <v>143</v>
      </c>
      <c r="G21" s="82" t="s">
        <v>161</v>
      </c>
      <c r="H21" s="88" t="s">
        <v>105</v>
      </c>
      <c r="I21" s="81"/>
      <c r="J21" s="82"/>
      <c r="K21" s="82"/>
      <c r="L21" s="82"/>
      <c r="M21" s="84"/>
      <c r="N21" s="81"/>
      <c r="O21" s="85"/>
      <c r="P21" s="85"/>
    </row>
    <row r="22" spans="1:16">
      <c r="A22" s="46">
        <v>37466.07916666667</v>
      </c>
      <c r="B22" s="47" t="s">
        <v>143</v>
      </c>
      <c r="C22" s="47" t="s">
        <v>144</v>
      </c>
      <c r="D22" s="61">
        <v>37466.113194444442</v>
      </c>
      <c r="E22" s="91">
        <v>37466.07916666667</v>
      </c>
      <c r="F22" s="82" t="s">
        <v>143</v>
      </c>
      <c r="G22" s="82" t="s">
        <v>144</v>
      </c>
      <c r="H22" s="88" t="s">
        <v>105</v>
      </c>
      <c r="I22" s="81"/>
      <c r="J22" s="82"/>
      <c r="K22" s="82"/>
      <c r="L22" s="82"/>
      <c r="M22" s="84"/>
      <c r="N22" s="81"/>
      <c r="O22" s="85"/>
      <c r="P22" s="85"/>
    </row>
    <row r="23" spans="1:16">
      <c r="A23" s="46">
        <v>37466.113194444442</v>
      </c>
      <c r="B23" s="47" t="s">
        <v>146</v>
      </c>
      <c r="C23" s="47" t="s">
        <v>147</v>
      </c>
      <c r="D23" s="61">
        <v>37466.129166666666</v>
      </c>
      <c r="E23" s="91">
        <v>37466.113194444442</v>
      </c>
      <c r="F23" s="82" t="s">
        <v>146</v>
      </c>
      <c r="G23" s="82" t="s">
        <v>147</v>
      </c>
      <c r="H23" s="88" t="s">
        <v>105</v>
      </c>
      <c r="I23" s="81"/>
      <c r="J23" s="82"/>
      <c r="K23" s="82"/>
      <c r="L23" s="82"/>
      <c r="M23" s="84"/>
      <c r="N23" s="81"/>
      <c r="O23" s="85"/>
      <c r="P23" s="85"/>
    </row>
    <row r="24" spans="1:16">
      <c r="A24" s="46">
        <v>37466.113194444442</v>
      </c>
      <c r="B24" s="47" t="s">
        <v>146</v>
      </c>
      <c r="C24" s="47" t="s">
        <v>155</v>
      </c>
      <c r="D24" s="61">
        <v>37466.129166666666</v>
      </c>
      <c r="E24" s="91">
        <v>37466.113194444442</v>
      </c>
      <c r="F24" s="82" t="s">
        <v>146</v>
      </c>
      <c r="G24" s="82" t="s">
        <v>155</v>
      </c>
      <c r="H24" s="88" t="s">
        <v>105</v>
      </c>
      <c r="I24" s="81"/>
      <c r="J24" s="82"/>
      <c r="K24" s="82"/>
      <c r="L24" s="82"/>
      <c r="M24" s="84"/>
      <c r="N24" s="81"/>
      <c r="O24" s="85"/>
      <c r="P24" s="85"/>
    </row>
    <row r="25" spans="1:16">
      <c r="A25" s="46">
        <v>37466.113194444442</v>
      </c>
      <c r="B25" s="47" t="s">
        <v>146</v>
      </c>
      <c r="C25" s="47" t="s">
        <v>163</v>
      </c>
      <c r="D25" s="61">
        <v>37466.129166666666</v>
      </c>
      <c r="E25" s="91">
        <v>37466.113194444442</v>
      </c>
      <c r="F25" s="82" t="s">
        <v>146</v>
      </c>
      <c r="G25" s="82" t="s">
        <v>163</v>
      </c>
      <c r="H25" s="88" t="s">
        <v>105</v>
      </c>
      <c r="I25" s="81"/>
      <c r="J25" s="82"/>
      <c r="K25" s="82"/>
      <c r="L25" s="82"/>
      <c r="M25" s="84"/>
      <c r="N25" s="81"/>
      <c r="O25" s="85"/>
      <c r="P25" s="85"/>
    </row>
    <row r="26" spans="1:16">
      <c r="A26" s="46"/>
      <c r="B26" s="47"/>
      <c r="C26" s="47"/>
      <c r="D26" s="61"/>
      <c r="E26" s="91">
        <v>37486.645833333336</v>
      </c>
      <c r="F26" s="90" t="s">
        <v>241</v>
      </c>
      <c r="G26" s="90" t="s">
        <v>150</v>
      </c>
      <c r="H26" s="88" t="s">
        <v>140</v>
      </c>
      <c r="I26" s="81">
        <v>37486.645833333336</v>
      </c>
      <c r="J26" s="90" t="s">
        <v>241</v>
      </c>
      <c r="K26" s="90" t="s">
        <v>150</v>
      </c>
      <c r="L26" s="90" t="s">
        <v>24</v>
      </c>
      <c r="M26" s="84" t="s">
        <v>10</v>
      </c>
      <c r="N26" s="81">
        <v>37485.813888888886</v>
      </c>
      <c r="O26" s="85">
        <v>37486.605555555558</v>
      </c>
      <c r="P26" s="86" t="s">
        <v>327</v>
      </c>
    </row>
    <row r="27" spans="1:16">
      <c r="A27" s="46"/>
      <c r="B27" s="47"/>
      <c r="C27" s="47"/>
      <c r="D27" s="61"/>
      <c r="E27" s="91">
        <v>37502.604166666664</v>
      </c>
      <c r="F27" s="82" t="s">
        <v>348</v>
      </c>
      <c r="G27" s="82" t="s">
        <v>350</v>
      </c>
      <c r="H27" s="88" t="s">
        <v>140</v>
      </c>
      <c r="I27" s="81">
        <v>37502.604166666664</v>
      </c>
      <c r="J27" s="82" t="s">
        <v>348</v>
      </c>
      <c r="K27" s="82" t="s">
        <v>350</v>
      </c>
      <c r="L27" s="82" t="s">
        <v>25</v>
      </c>
      <c r="M27" s="84" t="s">
        <v>10</v>
      </c>
      <c r="N27" s="81" t="s">
        <v>327</v>
      </c>
      <c r="O27" s="85" t="s">
        <v>327</v>
      </c>
      <c r="P27" s="85" t="s">
        <v>327</v>
      </c>
    </row>
    <row r="28" spans="1:16">
      <c r="A28" s="46"/>
      <c r="B28" s="47"/>
      <c r="C28" s="47"/>
      <c r="D28" s="61"/>
      <c r="E28" s="81">
        <v>37783.885416666664</v>
      </c>
      <c r="F28" s="82" t="s">
        <v>213</v>
      </c>
      <c r="G28" s="82" t="s">
        <v>158</v>
      </c>
      <c r="H28" s="88" t="s">
        <v>140</v>
      </c>
      <c r="I28" s="81">
        <v>37783.885416666664</v>
      </c>
      <c r="J28" s="82" t="s">
        <v>213</v>
      </c>
      <c r="K28" s="82" t="s">
        <v>158</v>
      </c>
      <c r="L28" s="82" t="s">
        <v>7</v>
      </c>
      <c r="M28" s="84" t="s">
        <v>351</v>
      </c>
      <c r="N28" s="81" t="s">
        <v>327</v>
      </c>
      <c r="O28" s="85" t="s">
        <v>327</v>
      </c>
      <c r="P28" s="85" t="s">
        <v>327</v>
      </c>
    </row>
    <row r="29" spans="1:16">
      <c r="A29" s="47"/>
      <c r="B29" s="47"/>
      <c r="C29" s="47"/>
      <c r="D29" s="60"/>
      <c r="E29" s="81">
        <v>37799.784722222219</v>
      </c>
      <c r="F29" s="90" t="s">
        <v>352</v>
      </c>
      <c r="G29" s="90" t="s">
        <v>353</v>
      </c>
      <c r="H29" s="88" t="s">
        <v>140</v>
      </c>
      <c r="I29" s="81">
        <v>37799.784722222219</v>
      </c>
      <c r="J29" s="90" t="s">
        <v>352</v>
      </c>
      <c r="K29" s="90" t="s">
        <v>353</v>
      </c>
      <c r="L29" s="82" t="s">
        <v>26</v>
      </c>
      <c r="M29" s="84" t="s">
        <v>354</v>
      </c>
      <c r="N29" s="81" t="s">
        <v>327</v>
      </c>
      <c r="O29" s="85" t="s">
        <v>153</v>
      </c>
      <c r="P29" s="85" t="s">
        <v>153</v>
      </c>
    </row>
    <row r="30" spans="1:16">
      <c r="A30" s="47"/>
      <c r="B30" s="47"/>
      <c r="C30" s="47"/>
      <c r="D30" s="60"/>
      <c r="E30" s="81">
        <v>37801.666666666664</v>
      </c>
      <c r="F30" s="82" t="s">
        <v>204</v>
      </c>
      <c r="G30" s="82" t="s">
        <v>205</v>
      </c>
      <c r="H30" s="88" t="s">
        <v>140</v>
      </c>
      <c r="I30" s="81">
        <v>37801.666666666664</v>
      </c>
      <c r="J30" s="82" t="s">
        <v>204</v>
      </c>
      <c r="K30" s="82" t="s">
        <v>205</v>
      </c>
      <c r="L30" s="82" t="s">
        <v>27</v>
      </c>
      <c r="M30" s="84" t="s">
        <v>9</v>
      </c>
      <c r="N30" s="81">
        <v>37801.629166666666</v>
      </c>
      <c r="O30" s="85">
        <v>37801.663888888885</v>
      </c>
      <c r="P30" s="85" t="s">
        <v>327</v>
      </c>
    </row>
    <row r="31" spans="1:16">
      <c r="A31" s="47"/>
      <c r="B31" s="47"/>
      <c r="C31" s="47"/>
      <c r="D31" s="60"/>
      <c r="E31" s="81">
        <v>37810.614583333328</v>
      </c>
      <c r="F31" s="82" t="s">
        <v>241</v>
      </c>
      <c r="G31" s="82" t="s">
        <v>150</v>
      </c>
      <c r="H31" s="88" t="s">
        <v>140</v>
      </c>
      <c r="I31" s="81">
        <v>37810.614583333328</v>
      </c>
      <c r="J31" s="82" t="s">
        <v>241</v>
      </c>
      <c r="K31" s="82" t="s">
        <v>150</v>
      </c>
      <c r="L31" s="82" t="s">
        <v>28</v>
      </c>
      <c r="M31" s="84" t="s">
        <v>9</v>
      </c>
      <c r="N31" s="81">
        <v>37810.609722222223</v>
      </c>
      <c r="O31" s="85">
        <v>37810.609722222223</v>
      </c>
      <c r="P31" s="85" t="s">
        <v>327</v>
      </c>
    </row>
    <row r="32" spans="1:16">
      <c r="A32" s="47"/>
      <c r="B32" s="47"/>
      <c r="C32" s="47"/>
      <c r="D32" s="60"/>
      <c r="E32" s="81">
        <v>37829.895833333328</v>
      </c>
      <c r="F32" s="82" t="s">
        <v>355</v>
      </c>
      <c r="G32" s="82" t="s">
        <v>356</v>
      </c>
      <c r="H32" s="88" t="s">
        <v>140</v>
      </c>
      <c r="I32" s="81">
        <v>37829.895833333328</v>
      </c>
      <c r="J32" s="82" t="s">
        <v>355</v>
      </c>
      <c r="K32" s="82" t="s">
        <v>356</v>
      </c>
      <c r="L32" s="82" t="s">
        <v>357</v>
      </c>
      <c r="M32" s="84" t="s">
        <v>10</v>
      </c>
      <c r="N32" s="81" t="s">
        <v>327</v>
      </c>
      <c r="O32" s="85" t="s">
        <v>327</v>
      </c>
      <c r="P32" s="85" t="s">
        <v>327</v>
      </c>
    </row>
    <row r="33" spans="1:16">
      <c r="A33" s="47"/>
      <c r="B33" s="47"/>
      <c r="C33" s="47"/>
      <c r="D33" s="60"/>
      <c r="E33" s="81">
        <v>37839.965277777774</v>
      </c>
      <c r="F33" s="82" t="s">
        <v>216</v>
      </c>
      <c r="G33" s="82" t="s">
        <v>183</v>
      </c>
      <c r="H33" s="88" t="s">
        <v>140</v>
      </c>
      <c r="I33" s="81">
        <v>37839.965277777774</v>
      </c>
      <c r="J33" s="82" t="s">
        <v>216</v>
      </c>
      <c r="K33" s="82" t="s">
        <v>183</v>
      </c>
      <c r="L33" s="82" t="s">
        <v>29</v>
      </c>
      <c r="M33" s="84" t="s">
        <v>9</v>
      </c>
      <c r="N33" s="81">
        <v>37839.624305555553</v>
      </c>
      <c r="O33" s="85" t="s">
        <v>327</v>
      </c>
      <c r="P33" s="85" t="s">
        <v>327</v>
      </c>
    </row>
    <row r="34" spans="1:16">
      <c r="A34" s="47"/>
      <c r="B34" s="47"/>
      <c r="C34" s="47"/>
      <c r="D34" s="60"/>
      <c r="E34" s="81">
        <v>37868.916666666664</v>
      </c>
      <c r="F34" s="82" t="s">
        <v>202</v>
      </c>
      <c r="G34" s="82" t="s">
        <v>203</v>
      </c>
      <c r="H34" s="88" t="s">
        <v>140</v>
      </c>
      <c r="I34" s="81">
        <v>37868.916666666664</v>
      </c>
      <c r="J34" s="82" t="s">
        <v>202</v>
      </c>
      <c r="K34" s="82" t="s">
        <v>203</v>
      </c>
      <c r="L34" s="82" t="s">
        <v>30</v>
      </c>
      <c r="M34" s="84" t="s">
        <v>9</v>
      </c>
      <c r="N34" s="81" t="s">
        <v>327</v>
      </c>
      <c r="O34" s="85" t="s">
        <v>327</v>
      </c>
      <c r="P34" s="85" t="s">
        <v>327</v>
      </c>
    </row>
    <row r="35" spans="1:16">
      <c r="A35" s="47"/>
      <c r="B35" s="47"/>
      <c r="C35" s="47"/>
      <c r="D35" s="60"/>
      <c r="E35" s="81">
        <v>37887.875</v>
      </c>
      <c r="F35" s="82" t="s">
        <v>143</v>
      </c>
      <c r="G35" s="82" t="s">
        <v>144</v>
      </c>
      <c r="H35" s="88" t="s">
        <v>140</v>
      </c>
      <c r="I35" s="81">
        <v>37887.875</v>
      </c>
      <c r="J35" s="82" t="s">
        <v>143</v>
      </c>
      <c r="K35" s="82" t="s">
        <v>144</v>
      </c>
      <c r="L35" s="82" t="s">
        <v>31</v>
      </c>
      <c r="M35" s="84" t="s">
        <v>9</v>
      </c>
      <c r="N35" s="81" t="s">
        <v>327</v>
      </c>
      <c r="O35" s="85" t="s">
        <v>327</v>
      </c>
      <c r="P35" s="85" t="s">
        <v>327</v>
      </c>
    </row>
    <row r="36" spans="1:16">
      <c r="A36" s="47"/>
      <c r="B36" s="47"/>
      <c r="C36" s="47"/>
      <c r="D36" s="60"/>
      <c r="E36" s="81">
        <v>38146.871527777774</v>
      </c>
      <c r="F36" s="82" t="s">
        <v>348</v>
      </c>
      <c r="G36" s="82" t="s">
        <v>350</v>
      </c>
      <c r="H36" s="87" t="s">
        <v>140</v>
      </c>
      <c r="I36" s="81">
        <v>38146.871527777774</v>
      </c>
      <c r="J36" s="82" t="s">
        <v>348</v>
      </c>
      <c r="K36" s="82" t="s">
        <v>350</v>
      </c>
      <c r="L36" s="82" t="s">
        <v>13</v>
      </c>
      <c r="M36" s="84" t="s">
        <v>10</v>
      </c>
      <c r="N36" s="81">
        <v>38146.416666666664</v>
      </c>
      <c r="O36" s="85">
        <v>38146.823611111111</v>
      </c>
      <c r="P36" s="85">
        <v>38146.823611111111</v>
      </c>
    </row>
    <row r="37" spans="1:16">
      <c r="A37" s="47"/>
      <c r="B37" s="47"/>
      <c r="C37" s="47"/>
      <c r="D37" s="60"/>
      <c r="E37" s="81">
        <v>38158.923611111109</v>
      </c>
      <c r="F37" s="82" t="s">
        <v>202</v>
      </c>
      <c r="G37" s="82" t="s">
        <v>203</v>
      </c>
      <c r="H37" s="87" t="s">
        <v>140</v>
      </c>
      <c r="I37" s="81">
        <v>38158.923611111109</v>
      </c>
      <c r="J37" s="82" t="s">
        <v>202</v>
      </c>
      <c r="K37" s="82" t="s">
        <v>203</v>
      </c>
      <c r="L37" s="82" t="s">
        <v>32</v>
      </c>
      <c r="M37" s="84" t="s">
        <v>9</v>
      </c>
      <c r="N37" s="81" t="s">
        <v>327</v>
      </c>
      <c r="O37" s="85" t="s">
        <v>327</v>
      </c>
      <c r="P37" s="85" t="s">
        <v>327</v>
      </c>
    </row>
    <row r="38" spans="1:16">
      <c r="A38" s="47"/>
      <c r="B38" s="47"/>
      <c r="C38" s="47"/>
      <c r="D38" s="60"/>
      <c r="E38" s="91">
        <v>38199.680555555555</v>
      </c>
      <c r="F38" s="90" t="s">
        <v>216</v>
      </c>
      <c r="G38" s="82" t="s">
        <v>168</v>
      </c>
      <c r="H38" s="87" t="s">
        <v>140</v>
      </c>
      <c r="I38" s="91">
        <v>38199.680555555555</v>
      </c>
      <c r="J38" s="90" t="s">
        <v>216</v>
      </c>
      <c r="K38" s="82" t="s">
        <v>168</v>
      </c>
      <c r="L38" s="90" t="s">
        <v>33</v>
      </c>
      <c r="M38" s="89" t="s">
        <v>10</v>
      </c>
      <c r="N38" s="91">
        <v>38199.627777777772</v>
      </c>
      <c r="O38" s="86" t="s">
        <v>327</v>
      </c>
      <c r="P38" s="86" t="s">
        <v>327</v>
      </c>
    </row>
    <row r="39" spans="1:16">
      <c r="A39" s="47"/>
      <c r="B39" s="47"/>
      <c r="C39" s="47"/>
      <c r="D39" s="60"/>
      <c r="E39" s="91">
        <v>38199.75</v>
      </c>
      <c r="F39" s="90" t="s">
        <v>209</v>
      </c>
      <c r="G39" s="82" t="s">
        <v>212</v>
      </c>
      <c r="H39" s="87" t="s">
        <v>140</v>
      </c>
      <c r="I39" s="91">
        <v>38199.75</v>
      </c>
      <c r="J39" s="90" t="s">
        <v>209</v>
      </c>
      <c r="K39" s="82" t="s">
        <v>212</v>
      </c>
      <c r="L39" s="90" t="s">
        <v>34</v>
      </c>
      <c r="M39" s="89" t="s">
        <v>9</v>
      </c>
      <c r="N39" s="91">
        <v>38199.627777777772</v>
      </c>
      <c r="O39" s="86" t="s">
        <v>153</v>
      </c>
      <c r="P39" s="86" t="s">
        <v>327</v>
      </c>
    </row>
    <row r="40" spans="1:16">
      <c r="A40" s="47"/>
      <c r="B40" s="47"/>
      <c r="C40" s="47"/>
      <c r="D40" s="60"/>
      <c r="E40" s="91">
        <v>38199.753472222219</v>
      </c>
      <c r="F40" s="90" t="s">
        <v>213</v>
      </c>
      <c r="G40" s="82" t="s">
        <v>214</v>
      </c>
      <c r="H40" s="87" t="s">
        <v>140</v>
      </c>
      <c r="I40" s="91">
        <v>38199.753472222219</v>
      </c>
      <c r="J40" s="90" t="s">
        <v>213</v>
      </c>
      <c r="K40" s="82" t="s">
        <v>214</v>
      </c>
      <c r="L40" s="90" t="s">
        <v>35</v>
      </c>
      <c r="M40" s="89" t="s">
        <v>9</v>
      </c>
      <c r="N40" s="91" t="s">
        <v>327</v>
      </c>
      <c r="O40" s="86">
        <v>38199.738194444442</v>
      </c>
      <c r="P40" s="86" t="s">
        <v>327</v>
      </c>
    </row>
    <row r="41" spans="1:16">
      <c r="A41" s="47"/>
      <c r="B41" s="47"/>
      <c r="C41" s="47"/>
      <c r="D41" s="60"/>
      <c r="E41" s="91">
        <v>38199.833333333328</v>
      </c>
      <c r="F41" s="90" t="s">
        <v>209</v>
      </c>
      <c r="G41" s="82" t="s">
        <v>212</v>
      </c>
      <c r="H41" s="87" t="s">
        <v>140</v>
      </c>
      <c r="I41" s="91">
        <v>38199.833333333328</v>
      </c>
      <c r="J41" s="90" t="s">
        <v>209</v>
      </c>
      <c r="K41" s="82" t="s">
        <v>212</v>
      </c>
      <c r="L41" s="90" t="s">
        <v>36</v>
      </c>
      <c r="M41" s="89" t="s">
        <v>10</v>
      </c>
      <c r="N41" s="91">
        <v>38199.627777777772</v>
      </c>
      <c r="O41" s="86">
        <v>38199.781944444439</v>
      </c>
      <c r="P41" s="86" t="s">
        <v>327</v>
      </c>
    </row>
    <row r="42" spans="1:16">
      <c r="A42" s="47"/>
      <c r="B42" s="47"/>
      <c r="C42" s="47"/>
      <c r="D42" s="60"/>
      <c r="E42" s="91">
        <v>38209.895833333328</v>
      </c>
      <c r="F42" s="90" t="s">
        <v>206</v>
      </c>
      <c r="G42" s="82" t="s">
        <v>218</v>
      </c>
      <c r="H42" s="87" t="s">
        <v>140</v>
      </c>
      <c r="I42" s="91">
        <v>38209.895833333328</v>
      </c>
      <c r="J42" s="90" t="s">
        <v>206</v>
      </c>
      <c r="K42" s="82" t="s">
        <v>218</v>
      </c>
      <c r="L42" s="90" t="s">
        <v>37</v>
      </c>
      <c r="M42" s="89" t="s">
        <v>10</v>
      </c>
      <c r="N42" s="91">
        <v>38209.488888888889</v>
      </c>
      <c r="O42" s="86">
        <v>38209.761111111111</v>
      </c>
      <c r="P42" s="86">
        <v>38209.856249999997</v>
      </c>
    </row>
    <row r="43" spans="1:16">
      <c r="A43" s="47"/>
      <c r="B43" s="47"/>
      <c r="C43" s="47"/>
      <c r="D43" s="60"/>
      <c r="E43" s="81">
        <v>38233.885416666664</v>
      </c>
      <c r="F43" s="82" t="s">
        <v>348</v>
      </c>
      <c r="G43" s="82" t="s">
        <v>358</v>
      </c>
      <c r="H43" s="87" t="s">
        <v>140</v>
      </c>
      <c r="I43" s="81">
        <v>38233.885416666664</v>
      </c>
      <c r="J43" s="82" t="s">
        <v>348</v>
      </c>
      <c r="K43" s="82" t="s">
        <v>358</v>
      </c>
      <c r="L43" s="82" t="s">
        <v>38</v>
      </c>
      <c r="M43" s="84" t="s">
        <v>9</v>
      </c>
      <c r="N43" s="81">
        <v>38233.472916666666</v>
      </c>
      <c r="O43" s="85">
        <v>38233.818749999999</v>
      </c>
      <c r="P43" s="85" t="s">
        <v>327</v>
      </c>
    </row>
    <row r="44" spans="1:16">
      <c r="A44" s="47"/>
      <c r="B44" s="47"/>
      <c r="C44" s="47"/>
      <c r="D44" s="60"/>
      <c r="E44" s="81">
        <v>38528.833333333328</v>
      </c>
      <c r="F44" s="82" t="s">
        <v>146</v>
      </c>
      <c r="G44" s="82" t="s">
        <v>147</v>
      </c>
      <c r="H44" s="87" t="s">
        <v>140</v>
      </c>
      <c r="I44" s="81">
        <v>38528.833333333328</v>
      </c>
      <c r="J44" s="82" t="s">
        <v>146</v>
      </c>
      <c r="K44" s="82" t="s">
        <v>147</v>
      </c>
      <c r="L44" s="92" t="s">
        <v>39</v>
      </c>
      <c r="M44" s="84" t="s">
        <v>359</v>
      </c>
      <c r="N44" s="81">
        <v>38528.762499999997</v>
      </c>
      <c r="O44" s="85" t="s">
        <v>153</v>
      </c>
      <c r="P44" s="85" t="s">
        <v>327</v>
      </c>
    </row>
    <row r="45" spans="1:16">
      <c r="A45" s="47"/>
      <c r="B45" s="47"/>
      <c r="C45" s="47"/>
      <c r="D45" s="60"/>
      <c r="E45" s="81">
        <v>38534.888888888883</v>
      </c>
      <c r="F45" s="82" t="s">
        <v>143</v>
      </c>
      <c r="G45" s="82" t="s">
        <v>144</v>
      </c>
      <c r="H45" s="87" t="s">
        <v>140</v>
      </c>
      <c r="I45" s="81">
        <v>38534.888888888883</v>
      </c>
      <c r="J45" s="82" t="s">
        <v>143</v>
      </c>
      <c r="K45" s="82" t="s">
        <v>144</v>
      </c>
      <c r="L45" s="92" t="s">
        <v>40</v>
      </c>
      <c r="M45" s="84" t="s">
        <v>360</v>
      </c>
      <c r="N45" s="81">
        <v>38534.638888888891</v>
      </c>
      <c r="O45" s="85">
        <v>38534.865277777775</v>
      </c>
      <c r="P45" s="85">
        <v>38534.865277777775</v>
      </c>
    </row>
    <row r="46" spans="1:16">
      <c r="A46" s="47"/>
      <c r="B46" s="47"/>
      <c r="C46" s="47"/>
      <c r="D46" s="60"/>
      <c r="E46" s="81">
        <v>38897.833333333328</v>
      </c>
      <c r="F46" s="82" t="s">
        <v>138</v>
      </c>
      <c r="G46" s="82" t="s">
        <v>361</v>
      </c>
      <c r="H46" s="93" t="s">
        <v>140</v>
      </c>
      <c r="I46" s="81">
        <v>38897.833333333328</v>
      </c>
      <c r="J46" s="82" t="s">
        <v>138</v>
      </c>
      <c r="K46" s="82" t="s">
        <v>361</v>
      </c>
      <c r="L46" s="82" t="s">
        <v>41</v>
      </c>
      <c r="M46" s="84" t="s">
        <v>9</v>
      </c>
      <c r="N46" s="81" t="s">
        <v>327</v>
      </c>
      <c r="O46" s="85" t="s">
        <v>327</v>
      </c>
      <c r="P46" s="85" t="s">
        <v>327</v>
      </c>
    </row>
    <row r="47" spans="1:16">
      <c r="A47" s="47"/>
      <c r="B47" s="47"/>
      <c r="C47" s="47"/>
      <c r="D47" s="60"/>
      <c r="E47" s="81">
        <v>38923.847222222219</v>
      </c>
      <c r="F47" s="82" t="s">
        <v>241</v>
      </c>
      <c r="G47" s="82" t="s">
        <v>242</v>
      </c>
      <c r="H47" s="87" t="s">
        <v>140</v>
      </c>
      <c r="I47" s="81">
        <v>38923.847222222219</v>
      </c>
      <c r="J47" s="82" t="s">
        <v>241</v>
      </c>
      <c r="K47" s="82" t="s">
        <v>242</v>
      </c>
      <c r="L47" s="82" t="s">
        <v>42</v>
      </c>
      <c r="M47" s="84" t="s">
        <v>9</v>
      </c>
      <c r="N47" s="81">
        <v>38923.826388888883</v>
      </c>
      <c r="O47" s="85">
        <v>38923.822916666664</v>
      </c>
      <c r="P47" s="85" t="s">
        <v>327</v>
      </c>
    </row>
    <row r="48" spans="1:16">
      <c r="A48" s="47"/>
      <c r="B48" s="47"/>
      <c r="C48" s="47"/>
      <c r="D48" s="60"/>
      <c r="E48" s="81">
        <v>38930.9375</v>
      </c>
      <c r="F48" s="82" t="s">
        <v>221</v>
      </c>
      <c r="G48" s="82" t="s">
        <v>362</v>
      </c>
      <c r="H48" s="87" t="s">
        <v>140</v>
      </c>
      <c r="I48" s="81">
        <v>38930.9375</v>
      </c>
      <c r="J48" s="82" t="s">
        <v>221</v>
      </c>
      <c r="K48" s="82" t="s">
        <v>362</v>
      </c>
      <c r="L48" s="82" t="s">
        <v>16</v>
      </c>
      <c r="M48" s="84" t="s">
        <v>10</v>
      </c>
      <c r="N48" s="81">
        <v>38930.63958333333</v>
      </c>
      <c r="O48" s="85" t="s">
        <v>327</v>
      </c>
      <c r="P48" s="85" t="s">
        <v>327</v>
      </c>
    </row>
    <row r="49" spans="1:16">
      <c r="A49" s="47"/>
      <c r="B49" s="47"/>
      <c r="C49" s="47"/>
      <c r="D49" s="60"/>
      <c r="E49" s="81">
        <v>38930.951388888883</v>
      </c>
      <c r="F49" s="82" t="s">
        <v>216</v>
      </c>
      <c r="G49" s="82" t="s">
        <v>363</v>
      </c>
      <c r="H49" s="87" t="s">
        <v>140</v>
      </c>
      <c r="I49" s="81">
        <v>38930.951388888883</v>
      </c>
      <c r="J49" s="82" t="s">
        <v>216</v>
      </c>
      <c r="K49" s="82" t="s">
        <v>363</v>
      </c>
      <c r="L49" s="82" t="s">
        <v>43</v>
      </c>
      <c r="M49" s="84" t="s">
        <v>8</v>
      </c>
      <c r="N49" s="81">
        <v>38930.63958333333</v>
      </c>
      <c r="O49" s="85">
        <v>38930.938194444447</v>
      </c>
      <c r="P49" s="85">
        <v>38930.938194444447</v>
      </c>
    </row>
    <row r="50" spans="1:16" s="49" customFormat="1">
      <c r="A50" s="47"/>
      <c r="B50" s="47"/>
      <c r="C50" s="47"/>
      <c r="D50" s="60"/>
      <c r="E50" s="81">
        <v>39278.78125</v>
      </c>
      <c r="F50" s="82" t="s">
        <v>138</v>
      </c>
      <c r="G50" s="82" t="s">
        <v>338</v>
      </c>
      <c r="H50" s="87" t="s">
        <v>140</v>
      </c>
      <c r="I50" s="81">
        <v>39278.78125</v>
      </c>
      <c r="J50" s="82" t="s">
        <v>138</v>
      </c>
      <c r="K50" s="82" t="s">
        <v>338</v>
      </c>
      <c r="L50" s="82" t="s">
        <v>44</v>
      </c>
      <c r="M50" s="84" t="s">
        <v>9</v>
      </c>
      <c r="N50" s="81" t="s">
        <v>327</v>
      </c>
      <c r="O50" s="85" t="s">
        <v>327</v>
      </c>
      <c r="P50" s="85" t="s">
        <v>364</v>
      </c>
    </row>
    <row r="51" spans="1:16" s="49" customFormat="1">
      <c r="A51" s="46">
        <v>39260.805555555555</v>
      </c>
      <c r="B51" s="47" t="s">
        <v>254</v>
      </c>
      <c r="C51" s="47" t="s">
        <v>255</v>
      </c>
      <c r="D51" s="61">
        <v>39260.825694444444</v>
      </c>
      <c r="E51" s="81">
        <v>39260.825694444444</v>
      </c>
      <c r="F51" s="82" t="s">
        <v>254</v>
      </c>
      <c r="G51" s="92" t="s">
        <v>255</v>
      </c>
      <c r="H51" s="87" t="s">
        <v>105</v>
      </c>
      <c r="I51" s="81"/>
      <c r="J51" s="82"/>
      <c r="K51" s="92"/>
      <c r="L51" s="82"/>
      <c r="M51" s="84"/>
      <c r="N51" s="81"/>
      <c r="O51" s="85"/>
      <c r="P51" s="85"/>
    </row>
    <row r="52" spans="1:16" s="49" customFormat="1">
      <c r="A52" s="47"/>
      <c r="B52" s="47"/>
      <c r="C52" s="47"/>
      <c r="D52" s="60"/>
      <c r="E52" s="81">
        <v>39306.96875</v>
      </c>
      <c r="F52" s="82" t="s">
        <v>248</v>
      </c>
      <c r="G52" s="92" t="s">
        <v>245</v>
      </c>
      <c r="H52" s="87" t="s">
        <v>140</v>
      </c>
      <c r="I52" s="81">
        <v>39306.96875</v>
      </c>
      <c r="J52" s="82" t="s">
        <v>248</v>
      </c>
      <c r="K52" s="92" t="s">
        <v>245</v>
      </c>
      <c r="L52" s="82" t="s">
        <v>46</v>
      </c>
      <c r="M52" s="84" t="s">
        <v>9</v>
      </c>
      <c r="N52" s="81">
        <v>39306.942361111105</v>
      </c>
      <c r="O52" s="85" t="s">
        <v>327</v>
      </c>
      <c r="P52" s="85" t="s">
        <v>327</v>
      </c>
    </row>
    <row r="53" spans="1:16" s="49" customFormat="1">
      <c r="A53" s="47"/>
      <c r="B53" s="47"/>
      <c r="C53" s="47"/>
      <c r="D53" s="60"/>
      <c r="E53" s="81">
        <v>39308.145833333328</v>
      </c>
      <c r="F53" s="82" t="s">
        <v>223</v>
      </c>
      <c r="G53" s="92" t="s">
        <v>224</v>
      </c>
      <c r="H53" s="87" t="s">
        <v>140</v>
      </c>
      <c r="I53" s="81">
        <v>39308.145833333328</v>
      </c>
      <c r="J53" s="82" t="s">
        <v>223</v>
      </c>
      <c r="K53" s="92" t="s">
        <v>224</v>
      </c>
      <c r="L53" s="82" t="s">
        <v>47</v>
      </c>
      <c r="M53" s="84" t="s">
        <v>365</v>
      </c>
      <c r="N53" s="81" t="s">
        <v>327</v>
      </c>
      <c r="O53" s="85" t="s">
        <v>327</v>
      </c>
      <c r="P53" s="85" t="s">
        <v>327</v>
      </c>
    </row>
    <row r="54" spans="1:16" s="49" customFormat="1">
      <c r="A54" s="47"/>
      <c r="B54" s="47"/>
      <c r="C54" s="47"/>
      <c r="D54" s="60"/>
      <c r="E54" s="81">
        <v>39319.875</v>
      </c>
      <c r="F54" s="82" t="s">
        <v>221</v>
      </c>
      <c r="G54" s="92" t="s">
        <v>229</v>
      </c>
      <c r="H54" s="87" t="s">
        <v>140</v>
      </c>
      <c r="I54" s="81">
        <v>39319.875</v>
      </c>
      <c r="J54" s="82" t="s">
        <v>221</v>
      </c>
      <c r="K54" s="92" t="s">
        <v>229</v>
      </c>
      <c r="L54" s="82" t="s">
        <v>48</v>
      </c>
      <c r="M54" s="84" t="s">
        <v>9</v>
      </c>
      <c r="N54" s="81">
        <v>39319.589583333334</v>
      </c>
      <c r="O54" s="85" t="s">
        <v>327</v>
      </c>
      <c r="P54" s="85" t="s">
        <v>327</v>
      </c>
    </row>
    <row r="55" spans="1:16">
      <c r="D55" s="62"/>
      <c r="E55" s="81">
        <v>39638.9375</v>
      </c>
      <c r="F55" s="4" t="s">
        <v>138</v>
      </c>
      <c r="G55" s="4" t="s">
        <v>139</v>
      </c>
      <c r="H55" s="74" t="s">
        <v>140</v>
      </c>
      <c r="I55" s="3">
        <v>39638.9375</v>
      </c>
      <c r="J55" s="4" t="s">
        <v>138</v>
      </c>
      <c r="K55" s="4" t="s">
        <v>139</v>
      </c>
      <c r="L55" s="3" t="s">
        <v>49</v>
      </c>
      <c r="M55" s="74" t="s">
        <v>141</v>
      </c>
      <c r="N55" s="3">
        <v>39638.911805555559</v>
      </c>
      <c r="O55" s="59">
        <v>39638.90902777778</v>
      </c>
      <c r="P55" s="48" t="s">
        <v>142</v>
      </c>
    </row>
    <row r="56" spans="1:16">
      <c r="D56" s="62"/>
      <c r="E56" s="81">
        <v>39699.916666666664</v>
      </c>
      <c r="F56" s="4" t="s">
        <v>138</v>
      </c>
      <c r="G56" s="4" t="s">
        <v>139</v>
      </c>
      <c r="H56" s="74" t="s">
        <v>140</v>
      </c>
      <c r="I56" s="3">
        <v>39699.916666666664</v>
      </c>
      <c r="J56" s="4" t="s">
        <v>138</v>
      </c>
      <c r="K56" s="4" t="s">
        <v>139</v>
      </c>
      <c r="L56" s="3" t="s">
        <v>52</v>
      </c>
      <c r="M56" s="74" t="s">
        <v>360</v>
      </c>
      <c r="N56" s="4" t="s">
        <v>142</v>
      </c>
      <c r="O56" s="4" t="s">
        <v>142</v>
      </c>
      <c r="P56" s="48" t="s">
        <v>142</v>
      </c>
    </row>
    <row r="57" spans="1:16">
      <c r="D57" s="62"/>
      <c r="E57" s="81">
        <v>39652.756944444445</v>
      </c>
      <c r="F57" s="4" t="s">
        <v>143</v>
      </c>
      <c r="G57" s="4" t="s">
        <v>144</v>
      </c>
      <c r="H57" s="74" t="s">
        <v>140</v>
      </c>
      <c r="I57" s="3">
        <v>39652.756944444445</v>
      </c>
      <c r="J57" s="4" t="s">
        <v>143</v>
      </c>
      <c r="K57" s="4" t="s">
        <v>144</v>
      </c>
      <c r="L57" s="3" t="s">
        <v>50</v>
      </c>
      <c r="M57" s="74" t="s">
        <v>9</v>
      </c>
      <c r="N57" s="3">
        <v>39652.729861111111</v>
      </c>
      <c r="O57" s="5">
        <v>39652.743750000001</v>
      </c>
      <c r="P57" s="5" t="s">
        <v>145</v>
      </c>
    </row>
    <row r="58" spans="1:16">
      <c r="D58" s="62"/>
      <c r="E58" s="81">
        <v>39671.934027777781</v>
      </c>
      <c r="F58" s="4" t="s">
        <v>146</v>
      </c>
      <c r="G58" s="4" t="s">
        <v>147</v>
      </c>
      <c r="H58" s="74" t="s">
        <v>140</v>
      </c>
      <c r="I58" s="3">
        <v>39671.934027777781</v>
      </c>
      <c r="J58" s="4" t="s">
        <v>146</v>
      </c>
      <c r="K58" s="4" t="s">
        <v>147</v>
      </c>
      <c r="L58" s="3" t="s">
        <v>51</v>
      </c>
      <c r="M58" s="74" t="s">
        <v>9</v>
      </c>
      <c r="N58" s="6" t="s">
        <v>148</v>
      </c>
      <c r="O58" s="49" t="s">
        <v>142</v>
      </c>
      <c r="P58" s="48" t="s">
        <v>142</v>
      </c>
    </row>
    <row r="59" spans="1:16">
      <c r="D59" s="62"/>
      <c r="E59" s="81">
        <v>39934</v>
      </c>
      <c r="F59" s="4" t="s">
        <v>149</v>
      </c>
      <c r="G59" s="4" t="s">
        <v>150</v>
      </c>
      <c r="H59" s="74" t="s">
        <v>140</v>
      </c>
      <c r="I59" s="3">
        <v>39934.871527777781</v>
      </c>
      <c r="J59" s="94" t="s">
        <v>149</v>
      </c>
      <c r="K59" s="94" t="s">
        <v>150</v>
      </c>
      <c r="L59" s="94" t="s">
        <v>53</v>
      </c>
      <c r="M59" s="74" t="s">
        <v>9</v>
      </c>
      <c r="N59" s="4" t="s">
        <v>142</v>
      </c>
      <c r="O59" s="50" t="s">
        <v>142</v>
      </c>
      <c r="P59" s="48" t="s">
        <v>142</v>
      </c>
    </row>
    <row r="60" spans="1:16">
      <c r="A60" s="3">
        <v>40005.988888888889</v>
      </c>
      <c r="B60" s="4" t="s">
        <v>151</v>
      </c>
      <c r="C60" s="4" t="s">
        <v>152</v>
      </c>
      <c r="D60" s="62">
        <v>40006.00277777778</v>
      </c>
      <c r="E60" s="81">
        <v>40005</v>
      </c>
      <c r="F60" s="4" t="s">
        <v>151</v>
      </c>
      <c r="G60" s="4" t="s">
        <v>152</v>
      </c>
      <c r="H60" s="74" t="s">
        <v>153</v>
      </c>
      <c r="I60" s="3">
        <v>40005.959722222222</v>
      </c>
      <c r="J60" s="94" t="s">
        <v>151</v>
      </c>
      <c r="K60" s="94" t="s">
        <v>152</v>
      </c>
      <c r="L60" s="95" t="s">
        <v>54</v>
      </c>
      <c r="M60" s="74" t="s">
        <v>9</v>
      </c>
      <c r="N60" s="3">
        <v>40005.538888888892</v>
      </c>
      <c r="O60" s="3">
        <v>40005.865972222222</v>
      </c>
      <c r="P60" s="48" t="s">
        <v>142</v>
      </c>
    </row>
    <row r="61" spans="1:16">
      <c r="A61" s="3">
        <v>40006.009027777778</v>
      </c>
      <c r="B61" s="4" t="s">
        <v>151</v>
      </c>
      <c r="C61" s="4" t="s">
        <v>152</v>
      </c>
      <c r="D61" s="62">
        <v>40006.035416666666</v>
      </c>
      <c r="E61" s="81">
        <v>40005</v>
      </c>
      <c r="F61" s="4" t="s">
        <v>151</v>
      </c>
      <c r="G61" s="4" t="s">
        <v>152</v>
      </c>
      <c r="H61" s="74" t="s">
        <v>153</v>
      </c>
      <c r="I61" s="3">
        <v>40005.977083333331</v>
      </c>
      <c r="J61" s="94" t="s">
        <v>151</v>
      </c>
      <c r="K61" s="94" t="s">
        <v>152</v>
      </c>
      <c r="L61" s="94" t="s">
        <v>55</v>
      </c>
      <c r="M61" s="74" t="s">
        <v>10</v>
      </c>
      <c r="N61" s="3">
        <v>40005.538888888892</v>
      </c>
      <c r="O61" s="3">
        <v>40005.865972222222</v>
      </c>
      <c r="P61" s="48" t="s">
        <v>142</v>
      </c>
    </row>
    <row r="62" spans="1:16">
      <c r="A62" s="3">
        <v>40006.00277777778</v>
      </c>
      <c r="B62" s="4" t="s">
        <v>154</v>
      </c>
      <c r="C62" s="4" t="s">
        <v>155</v>
      </c>
      <c r="D62" s="62">
        <v>40006.038194444445</v>
      </c>
      <c r="E62" s="81">
        <v>40005</v>
      </c>
      <c r="F62" s="4" t="s">
        <v>154</v>
      </c>
      <c r="G62" s="4" t="s">
        <v>155</v>
      </c>
      <c r="H62" s="74" t="s">
        <v>105</v>
      </c>
      <c r="I62" s="3"/>
      <c r="J62" s="96"/>
      <c r="K62" s="96"/>
      <c r="L62" s="96"/>
      <c r="M62" s="74"/>
      <c r="O62" s="49"/>
      <c r="P62" s="48"/>
    </row>
    <row r="63" spans="1:16">
      <c r="A63" s="3">
        <v>40006.009027777778</v>
      </c>
      <c r="B63" s="4" t="s">
        <v>151</v>
      </c>
      <c r="C63" s="4" t="s">
        <v>156</v>
      </c>
      <c r="D63" s="62">
        <v>40006.035416666666</v>
      </c>
      <c r="E63" s="81">
        <v>40005</v>
      </c>
      <c r="F63" s="4" t="s">
        <v>151</v>
      </c>
      <c r="G63" s="4" t="s">
        <v>156</v>
      </c>
      <c r="H63" s="74" t="s">
        <v>105</v>
      </c>
      <c r="I63" s="3"/>
      <c r="J63" s="96"/>
      <c r="K63" s="96"/>
      <c r="L63" s="96"/>
      <c r="M63" s="74"/>
      <c r="O63" s="49"/>
      <c r="P63" s="48"/>
    </row>
    <row r="64" spans="1:16">
      <c r="A64" s="3">
        <v>40005.988888888889</v>
      </c>
      <c r="B64" s="4" t="s">
        <v>157</v>
      </c>
      <c r="C64" s="4" t="s">
        <v>158</v>
      </c>
      <c r="D64" s="62">
        <v>40006.035416666666</v>
      </c>
      <c r="E64" s="81">
        <v>40005</v>
      </c>
      <c r="F64" s="4" t="s">
        <v>157</v>
      </c>
      <c r="G64" s="4" t="s">
        <v>158</v>
      </c>
      <c r="H64" s="74" t="s">
        <v>105</v>
      </c>
      <c r="I64" s="3"/>
      <c r="J64" s="96"/>
      <c r="K64" s="96"/>
      <c r="L64" s="96"/>
      <c r="M64" s="74"/>
      <c r="O64" s="49"/>
      <c r="P64" s="48"/>
    </row>
    <row r="65" spans="1:19">
      <c r="A65" s="3">
        <v>40006.00277777778</v>
      </c>
      <c r="B65" s="4" t="s">
        <v>157</v>
      </c>
      <c r="C65" s="4" t="s">
        <v>159</v>
      </c>
      <c r="D65" s="62">
        <v>40006.035416666666</v>
      </c>
      <c r="E65" s="81">
        <v>40005</v>
      </c>
      <c r="F65" s="4" t="s">
        <v>157</v>
      </c>
      <c r="G65" s="4" t="s">
        <v>159</v>
      </c>
      <c r="H65" s="74" t="s">
        <v>105</v>
      </c>
      <c r="I65" s="3"/>
      <c r="J65" s="96"/>
      <c r="K65" s="96"/>
      <c r="L65" s="96"/>
      <c r="M65" s="74"/>
      <c r="O65" s="49"/>
      <c r="P65" s="48"/>
    </row>
    <row r="66" spans="1:19">
      <c r="A66" s="3">
        <v>40005.988888888889</v>
      </c>
      <c r="B66" s="4" t="s">
        <v>160</v>
      </c>
      <c r="C66" s="4" t="s">
        <v>161</v>
      </c>
      <c r="D66" s="62">
        <v>40006.00277777778</v>
      </c>
      <c r="E66" s="81">
        <v>40005</v>
      </c>
      <c r="F66" s="4" t="s">
        <v>160</v>
      </c>
      <c r="G66" s="4" t="s">
        <v>161</v>
      </c>
      <c r="H66" s="74" t="s">
        <v>105</v>
      </c>
      <c r="I66" s="3"/>
      <c r="J66" s="96"/>
      <c r="K66" s="96"/>
      <c r="L66" s="96"/>
      <c r="M66" s="74"/>
      <c r="O66" s="49"/>
      <c r="P66" s="48"/>
    </row>
    <row r="67" spans="1:19">
      <c r="A67" s="3">
        <v>40005.988888888889</v>
      </c>
      <c r="B67" s="4" t="s">
        <v>157</v>
      </c>
      <c r="C67" s="4" t="s">
        <v>162</v>
      </c>
      <c r="D67" s="62">
        <v>40006.035416666666</v>
      </c>
      <c r="E67" s="81">
        <v>40005</v>
      </c>
      <c r="F67" s="4" t="s">
        <v>157</v>
      </c>
      <c r="G67" s="4" t="s">
        <v>162</v>
      </c>
      <c r="H67" s="74" t="s">
        <v>105</v>
      </c>
      <c r="I67" s="3"/>
      <c r="J67" s="96"/>
      <c r="K67" s="96"/>
      <c r="L67" s="96"/>
      <c r="M67" s="74"/>
      <c r="O67" s="49"/>
      <c r="P67" s="48"/>
    </row>
    <row r="68" spans="1:19">
      <c r="A68" s="3">
        <v>40006.00277777778</v>
      </c>
      <c r="B68" s="4" t="s">
        <v>154</v>
      </c>
      <c r="C68" s="4" t="s">
        <v>163</v>
      </c>
      <c r="D68" s="62">
        <v>40006.035416666666</v>
      </c>
      <c r="E68" s="81">
        <v>40005</v>
      </c>
      <c r="F68" s="4" t="s">
        <v>154</v>
      </c>
      <c r="G68" s="4" t="s">
        <v>163</v>
      </c>
      <c r="H68" s="74" t="s">
        <v>105</v>
      </c>
      <c r="I68" s="3"/>
      <c r="J68" s="96"/>
      <c r="K68" s="96"/>
      <c r="L68" s="96"/>
      <c r="M68" s="74"/>
      <c r="O68" s="49"/>
      <c r="P68" s="48"/>
    </row>
    <row r="69" spans="1:19" s="4" customFormat="1">
      <c r="A69" s="3">
        <v>40006.009027777778</v>
      </c>
      <c r="B69" s="4" t="s">
        <v>164</v>
      </c>
      <c r="C69" s="4" t="s">
        <v>165</v>
      </c>
      <c r="D69" s="62">
        <v>40006.035416666666</v>
      </c>
      <c r="E69" s="81">
        <v>40005</v>
      </c>
      <c r="F69" s="4" t="s">
        <v>164</v>
      </c>
      <c r="G69" s="4" t="s">
        <v>165</v>
      </c>
      <c r="H69" s="74" t="s">
        <v>105</v>
      </c>
      <c r="I69" s="3"/>
      <c r="J69" s="96"/>
      <c r="K69" s="96"/>
      <c r="L69" s="96"/>
      <c r="M69" s="74"/>
      <c r="O69" s="49"/>
      <c r="P69" s="48"/>
      <c r="Q69" s="20"/>
      <c r="R69" s="20"/>
      <c r="S69" s="20"/>
    </row>
    <row r="70" spans="1:19">
      <c r="A70" s="3">
        <v>40006.009027777778</v>
      </c>
      <c r="B70" s="4" t="s">
        <v>164</v>
      </c>
      <c r="C70" s="4" t="s">
        <v>166</v>
      </c>
      <c r="D70" s="62">
        <v>40006.035416666666</v>
      </c>
      <c r="E70" s="81">
        <v>40005</v>
      </c>
      <c r="F70" s="4" t="s">
        <v>164</v>
      </c>
      <c r="G70" s="4" t="s">
        <v>166</v>
      </c>
      <c r="H70" s="74" t="s">
        <v>105</v>
      </c>
      <c r="I70" s="3"/>
      <c r="J70" s="96"/>
      <c r="K70" s="96"/>
      <c r="L70" s="96"/>
      <c r="M70" s="74"/>
      <c r="O70" s="49"/>
      <c r="P70" s="48"/>
    </row>
    <row r="71" spans="1:19">
      <c r="A71" s="3">
        <v>40006.00277777778</v>
      </c>
      <c r="B71" s="4" t="s">
        <v>154</v>
      </c>
      <c r="C71" s="4" t="s">
        <v>147</v>
      </c>
      <c r="D71" s="62">
        <v>40006.038194444445</v>
      </c>
      <c r="E71" s="81">
        <v>40005</v>
      </c>
      <c r="F71" s="4" t="s">
        <v>154</v>
      </c>
      <c r="G71" s="4" t="s">
        <v>147</v>
      </c>
      <c r="H71" s="74" t="s">
        <v>105</v>
      </c>
      <c r="I71" s="3"/>
      <c r="J71" s="96"/>
      <c r="K71" s="96"/>
      <c r="L71" s="96"/>
      <c r="M71" s="74"/>
      <c r="O71" s="49"/>
      <c r="P71" s="48"/>
    </row>
    <row r="72" spans="1:19">
      <c r="D72" s="62"/>
      <c r="E72" s="81">
        <v>40021</v>
      </c>
      <c r="F72" s="4" t="s">
        <v>167</v>
      </c>
      <c r="G72" s="4" t="s">
        <v>168</v>
      </c>
      <c r="H72" s="74" t="s">
        <v>140</v>
      </c>
      <c r="I72" s="3">
        <v>40021.680555555555</v>
      </c>
      <c r="J72" s="94" t="s">
        <v>167</v>
      </c>
      <c r="K72" s="94" t="s">
        <v>168</v>
      </c>
      <c r="L72" s="94" t="s">
        <v>57</v>
      </c>
      <c r="M72" s="74" t="s">
        <v>9</v>
      </c>
      <c r="N72" s="3">
        <v>40021.633333333331</v>
      </c>
      <c r="O72" s="49" t="s">
        <v>148</v>
      </c>
      <c r="P72" s="48" t="s">
        <v>142</v>
      </c>
    </row>
    <row r="73" spans="1:19">
      <c r="D73" s="62"/>
      <c r="E73" s="81">
        <v>40023</v>
      </c>
      <c r="F73" s="4" t="s">
        <v>169</v>
      </c>
      <c r="G73" s="4" t="s">
        <v>170</v>
      </c>
      <c r="H73" s="74" t="s">
        <v>140</v>
      </c>
      <c r="I73" s="3">
        <v>40023.886111111111</v>
      </c>
      <c r="J73" s="94" t="s">
        <v>169</v>
      </c>
      <c r="K73" s="94" t="s">
        <v>170</v>
      </c>
      <c r="L73" s="94" t="s">
        <v>58</v>
      </c>
      <c r="M73" s="74" t="s">
        <v>171</v>
      </c>
      <c r="N73" s="7">
        <v>40023.753472222219</v>
      </c>
      <c r="O73" s="7">
        <v>40023.882638888892</v>
      </c>
      <c r="P73" s="48" t="s">
        <v>142</v>
      </c>
    </row>
    <row r="74" spans="1:19">
      <c r="D74" s="62"/>
      <c r="E74" s="81">
        <v>40029</v>
      </c>
      <c r="F74" s="4" t="s">
        <v>172</v>
      </c>
      <c r="G74" s="4" t="s">
        <v>173</v>
      </c>
      <c r="H74" s="74" t="s">
        <v>140</v>
      </c>
      <c r="I74" s="3">
        <v>40029.78125</v>
      </c>
      <c r="J74" s="94" t="s">
        <v>172</v>
      </c>
      <c r="K74" s="94" t="s">
        <v>173</v>
      </c>
      <c r="L74" s="94" t="s">
        <v>59</v>
      </c>
      <c r="M74" s="74" t="s">
        <v>8</v>
      </c>
      <c r="N74" s="3">
        <v>40029.623611111114</v>
      </c>
      <c r="O74" s="3">
        <v>40029.745138888888</v>
      </c>
      <c r="P74" s="48" t="s">
        <v>145</v>
      </c>
    </row>
    <row r="75" spans="1:19">
      <c r="D75" s="62"/>
      <c r="E75" s="81">
        <v>40046</v>
      </c>
      <c r="F75" s="4" t="s">
        <v>172</v>
      </c>
      <c r="G75" s="4" t="s">
        <v>173</v>
      </c>
      <c r="H75" s="74" t="s">
        <v>140</v>
      </c>
      <c r="I75" s="3">
        <v>40046.708333333336</v>
      </c>
      <c r="J75" s="94" t="s">
        <v>172</v>
      </c>
      <c r="K75" s="94" t="s">
        <v>173</v>
      </c>
      <c r="L75" s="94" t="s">
        <v>60</v>
      </c>
      <c r="M75" s="74" t="s">
        <v>9</v>
      </c>
      <c r="N75" s="4" t="s">
        <v>142</v>
      </c>
      <c r="O75" s="49" t="s">
        <v>142</v>
      </c>
      <c r="P75" s="48" t="s">
        <v>142</v>
      </c>
    </row>
    <row r="76" spans="1:19">
      <c r="D76" s="62"/>
      <c r="E76" s="81">
        <v>40046</v>
      </c>
      <c r="F76" s="4" t="s">
        <v>174</v>
      </c>
      <c r="G76" s="4" t="s">
        <v>175</v>
      </c>
      <c r="H76" s="74" t="s">
        <v>140</v>
      </c>
      <c r="I76" s="3">
        <v>40047</v>
      </c>
      <c r="J76" s="94" t="s">
        <v>174</v>
      </c>
      <c r="K76" s="94" t="s">
        <v>175</v>
      </c>
      <c r="L76" s="94" t="s">
        <v>45</v>
      </c>
      <c r="M76" s="74" t="s">
        <v>9</v>
      </c>
      <c r="N76" s="4" t="s">
        <v>142</v>
      </c>
      <c r="O76" s="49" t="s">
        <v>142</v>
      </c>
      <c r="P76" s="48" t="s">
        <v>142</v>
      </c>
    </row>
    <row r="77" spans="1:19">
      <c r="B77" s="3"/>
      <c r="C77" s="3"/>
      <c r="D77" s="62"/>
      <c r="E77" s="81">
        <v>40357.859027777777</v>
      </c>
      <c r="F77" s="97" t="s">
        <v>160</v>
      </c>
      <c r="G77" s="97" t="s">
        <v>161</v>
      </c>
      <c r="H77" s="98" t="s">
        <v>140</v>
      </c>
      <c r="I77" s="3">
        <v>40357.868055555555</v>
      </c>
      <c r="J77" s="99" t="s">
        <v>160</v>
      </c>
      <c r="K77" s="99" t="s">
        <v>161</v>
      </c>
      <c r="L77" s="99" t="s">
        <v>62</v>
      </c>
      <c r="M77" s="100" t="s">
        <v>9</v>
      </c>
      <c r="N77" s="24">
        <v>40357.82916666667</v>
      </c>
      <c r="O77" s="101">
        <v>40357.859027777777</v>
      </c>
      <c r="P77" s="48" t="s">
        <v>145</v>
      </c>
    </row>
    <row r="78" spans="1:19">
      <c r="A78" s="9"/>
      <c r="B78" s="9"/>
      <c r="C78" s="9"/>
      <c r="D78" s="63"/>
      <c r="E78" s="81">
        <v>40357.8125</v>
      </c>
      <c r="F78" s="97" t="s">
        <v>157</v>
      </c>
      <c r="G78" s="97" t="s">
        <v>162</v>
      </c>
      <c r="H78" s="98" t="s">
        <v>140</v>
      </c>
      <c r="I78" s="3">
        <v>40357.8125</v>
      </c>
      <c r="J78" s="99" t="s">
        <v>157</v>
      </c>
      <c r="K78" s="99" t="s">
        <v>162</v>
      </c>
      <c r="L78" s="99" t="s">
        <v>61</v>
      </c>
      <c r="M78" s="100" t="s">
        <v>9</v>
      </c>
      <c r="N78" s="49" t="s">
        <v>148</v>
      </c>
      <c r="O78" s="49" t="s">
        <v>148</v>
      </c>
      <c r="P78" s="49" t="s">
        <v>148</v>
      </c>
    </row>
    <row r="79" spans="1:19">
      <c r="A79" s="9"/>
      <c r="B79" s="9"/>
      <c r="C79" s="9"/>
      <c r="D79" s="63"/>
      <c r="E79" s="81">
        <v>40375.770833333336</v>
      </c>
      <c r="F79" s="97" t="s">
        <v>176</v>
      </c>
      <c r="G79" s="97" t="s">
        <v>177</v>
      </c>
      <c r="H79" s="98" t="s">
        <v>140</v>
      </c>
      <c r="I79" s="3">
        <v>40375.770833333336</v>
      </c>
      <c r="J79" s="99" t="s">
        <v>176</v>
      </c>
      <c r="K79" s="99" t="s">
        <v>177</v>
      </c>
      <c r="L79" s="99" t="s">
        <v>63</v>
      </c>
      <c r="M79" s="100" t="s">
        <v>9</v>
      </c>
      <c r="N79" s="24">
        <v>40375.356944444444</v>
      </c>
      <c r="O79" s="50" t="s">
        <v>142</v>
      </c>
      <c r="P79" s="48" t="s">
        <v>142</v>
      </c>
    </row>
    <row r="80" spans="1:19">
      <c r="A80" s="10">
        <v>40376.826388888891</v>
      </c>
      <c r="B80" s="8" t="s">
        <v>164</v>
      </c>
      <c r="C80" s="8" t="s">
        <v>178</v>
      </c>
      <c r="D80" s="64">
        <v>40376.841666666667</v>
      </c>
      <c r="E80" s="81">
        <v>40376.826388888891</v>
      </c>
      <c r="F80" s="97" t="s">
        <v>164</v>
      </c>
      <c r="G80" s="97" t="s">
        <v>178</v>
      </c>
      <c r="H80" s="98" t="s">
        <v>105</v>
      </c>
      <c r="I80" s="3"/>
      <c r="J80" s="96"/>
      <c r="K80" s="96"/>
      <c r="L80" s="96"/>
      <c r="M80" s="98"/>
      <c r="N80" s="49"/>
      <c r="O80" s="49"/>
      <c r="P80" s="48"/>
    </row>
    <row r="81" spans="1:19">
      <c r="A81" s="10">
        <v>40406.84652777778</v>
      </c>
      <c r="B81" s="8" t="s">
        <v>167</v>
      </c>
      <c r="C81" s="8" t="s">
        <v>181</v>
      </c>
      <c r="D81" s="64">
        <v>40376.879166666666</v>
      </c>
      <c r="E81" s="10">
        <v>40406.84652777778</v>
      </c>
      <c r="F81" s="8" t="s">
        <v>167</v>
      </c>
      <c r="G81" s="8" t="s">
        <v>181</v>
      </c>
      <c r="H81" s="98" t="s">
        <v>105</v>
      </c>
      <c r="I81" s="3"/>
      <c r="J81" s="96"/>
      <c r="K81" s="96"/>
      <c r="L81" s="96"/>
      <c r="M81" s="98"/>
      <c r="N81" s="49"/>
      <c r="O81" s="49"/>
      <c r="P81" s="48"/>
    </row>
    <row r="82" spans="1:19">
      <c r="A82" s="10">
        <v>40406.84652777778</v>
      </c>
      <c r="B82" s="8" t="s">
        <v>167</v>
      </c>
      <c r="C82" s="8" t="s">
        <v>180</v>
      </c>
      <c r="D82" s="64">
        <v>40376.907638888886</v>
      </c>
      <c r="E82" s="10">
        <v>40406.84652777778</v>
      </c>
      <c r="F82" s="8" t="s">
        <v>167</v>
      </c>
      <c r="G82" s="8" t="s">
        <v>180</v>
      </c>
      <c r="H82" s="98" t="s">
        <v>105</v>
      </c>
      <c r="I82" s="3"/>
      <c r="J82" s="96"/>
      <c r="K82" s="96"/>
      <c r="L82" s="96"/>
      <c r="M82" s="98"/>
      <c r="N82" s="49"/>
      <c r="O82" s="49"/>
      <c r="P82" s="48"/>
    </row>
    <row r="83" spans="1:19">
      <c r="B83" s="3"/>
      <c r="C83" s="3"/>
      <c r="D83" s="62"/>
      <c r="E83" s="81">
        <v>40376.743055555555</v>
      </c>
      <c r="F83" s="97" t="s">
        <v>164</v>
      </c>
      <c r="G83" s="97" t="s">
        <v>166</v>
      </c>
      <c r="H83" s="98" t="s">
        <v>179</v>
      </c>
      <c r="I83" s="3">
        <v>40376.739583333336</v>
      </c>
      <c r="J83" s="99" t="s">
        <v>164</v>
      </c>
      <c r="K83" s="99" t="s">
        <v>166</v>
      </c>
      <c r="L83" s="99" t="s">
        <v>64</v>
      </c>
      <c r="M83" s="100" t="s">
        <v>9</v>
      </c>
      <c r="N83" s="24">
        <v>40376.629861111112</v>
      </c>
      <c r="O83" s="101" t="s">
        <v>148</v>
      </c>
      <c r="P83" s="48" t="s">
        <v>145</v>
      </c>
    </row>
    <row r="84" spans="1:19">
      <c r="A84" s="9"/>
      <c r="B84" s="9"/>
      <c r="C84" s="9"/>
      <c r="D84" s="63"/>
      <c r="E84" s="81">
        <v>40423.010416666664</v>
      </c>
      <c r="F84" s="97" t="s">
        <v>151</v>
      </c>
      <c r="G84" s="97" t="s">
        <v>152</v>
      </c>
      <c r="H84" s="98" t="s">
        <v>140</v>
      </c>
      <c r="I84" s="3">
        <v>40423.010416666664</v>
      </c>
      <c r="J84" s="99" t="s">
        <v>151</v>
      </c>
      <c r="K84" s="99" t="s">
        <v>152</v>
      </c>
      <c r="L84" s="99" t="s">
        <v>70</v>
      </c>
      <c r="M84" s="100" t="s">
        <v>9</v>
      </c>
      <c r="N84" s="49" t="s">
        <v>142</v>
      </c>
      <c r="O84" s="102" t="s">
        <v>142</v>
      </c>
      <c r="P84" s="48" t="s">
        <v>142</v>
      </c>
    </row>
    <row r="85" spans="1:19">
      <c r="A85" s="11">
        <v>40776.936111111114</v>
      </c>
      <c r="B85" s="12" t="s">
        <v>167</v>
      </c>
      <c r="C85" s="13" t="s">
        <v>182</v>
      </c>
      <c r="D85" s="65">
        <v>40776.977777777778</v>
      </c>
      <c r="E85" s="81">
        <v>40776.936111111114</v>
      </c>
      <c r="F85" s="103" t="s">
        <v>167</v>
      </c>
      <c r="G85" s="103" t="s">
        <v>182</v>
      </c>
      <c r="H85" s="74" t="s">
        <v>105</v>
      </c>
      <c r="I85" s="3"/>
      <c r="M85" s="74"/>
      <c r="O85" s="49"/>
      <c r="P85" s="48"/>
    </row>
    <row r="86" spans="1:19">
      <c r="A86" s="11">
        <v>40776.963194444441</v>
      </c>
      <c r="B86" s="12" t="s">
        <v>167</v>
      </c>
      <c r="C86" s="13" t="s">
        <v>183</v>
      </c>
      <c r="D86" s="65">
        <v>40776.977777777778</v>
      </c>
      <c r="E86" s="81">
        <v>40776.963194444441</v>
      </c>
      <c r="F86" s="103" t="s">
        <v>167</v>
      </c>
      <c r="G86" s="103" t="s">
        <v>183</v>
      </c>
      <c r="H86" s="74" t="s">
        <v>105</v>
      </c>
      <c r="I86" s="3"/>
      <c r="M86" s="74"/>
      <c r="O86" s="49"/>
      <c r="P86" s="48"/>
    </row>
    <row r="87" spans="1:19">
      <c r="A87" s="11">
        <v>40776.963194444441</v>
      </c>
      <c r="B87" s="12" t="s">
        <v>167</v>
      </c>
      <c r="C87" s="13" t="s">
        <v>184</v>
      </c>
      <c r="D87" s="65">
        <v>40776.977777777778</v>
      </c>
      <c r="E87" s="81">
        <v>40776.963194444441</v>
      </c>
      <c r="F87" s="103" t="s">
        <v>167</v>
      </c>
      <c r="G87" s="103" t="s">
        <v>184</v>
      </c>
      <c r="H87" s="74" t="s">
        <v>105</v>
      </c>
      <c r="I87" s="3"/>
      <c r="M87" s="74"/>
      <c r="O87" s="49"/>
      <c r="P87" s="48"/>
    </row>
    <row r="88" spans="1:19">
      <c r="A88" s="11">
        <v>40799.882638888892</v>
      </c>
      <c r="B88" s="13" t="s">
        <v>157</v>
      </c>
      <c r="C88" s="13" t="s">
        <v>158</v>
      </c>
      <c r="D88" s="65">
        <v>40799.897222222222</v>
      </c>
      <c r="E88" s="81">
        <v>40799.882638888892</v>
      </c>
      <c r="F88" s="103" t="s">
        <v>157</v>
      </c>
      <c r="G88" s="103" t="s">
        <v>158</v>
      </c>
      <c r="H88" s="74" t="s">
        <v>105</v>
      </c>
      <c r="I88" s="3"/>
      <c r="M88" s="74"/>
      <c r="O88" s="49"/>
      <c r="P88" s="48"/>
    </row>
    <row r="89" spans="1:19">
      <c r="A89" s="11">
        <v>40799.882638888892</v>
      </c>
      <c r="B89" s="13" t="s">
        <v>151</v>
      </c>
      <c r="C89" s="13" t="s">
        <v>152</v>
      </c>
      <c r="D89" s="65">
        <v>40799.897222222222</v>
      </c>
      <c r="E89" s="81">
        <v>40799.882638888892</v>
      </c>
      <c r="F89" s="103" t="s">
        <v>151</v>
      </c>
      <c r="G89" s="103" t="s">
        <v>152</v>
      </c>
      <c r="H89" s="74" t="s">
        <v>105</v>
      </c>
      <c r="I89" s="3"/>
      <c r="M89" s="74"/>
      <c r="O89" s="49"/>
      <c r="P89" s="48"/>
    </row>
    <row r="90" spans="1:19">
      <c r="D90" s="62"/>
      <c r="E90" s="81">
        <v>40741.8125</v>
      </c>
      <c r="F90" s="4" t="s">
        <v>185</v>
      </c>
      <c r="G90" s="4" t="s">
        <v>186</v>
      </c>
      <c r="H90" s="74" t="s">
        <v>140</v>
      </c>
      <c r="I90" s="3">
        <v>40741.8125</v>
      </c>
      <c r="J90" s="4" t="s">
        <v>185</v>
      </c>
      <c r="K90" s="4" t="s">
        <v>186</v>
      </c>
      <c r="L90" s="3" t="s">
        <v>65</v>
      </c>
      <c r="M90" s="104" t="s">
        <v>9</v>
      </c>
      <c r="N90" s="22">
        <v>40741.60833333333</v>
      </c>
      <c r="O90" s="22">
        <v>40741.738194444442</v>
      </c>
      <c r="P90" s="48" t="s">
        <v>145</v>
      </c>
    </row>
    <row r="91" spans="1:19">
      <c r="D91" s="62"/>
      <c r="E91" s="81">
        <v>40744.895833333336</v>
      </c>
      <c r="F91" s="4" t="s">
        <v>187</v>
      </c>
      <c r="G91" s="4" t="s">
        <v>188</v>
      </c>
      <c r="H91" s="74" t="s">
        <v>140</v>
      </c>
      <c r="I91" s="3">
        <v>40744.895833333336</v>
      </c>
      <c r="J91" s="4" t="s">
        <v>187</v>
      </c>
      <c r="K91" s="4" t="s">
        <v>188</v>
      </c>
      <c r="L91" s="3" t="s">
        <v>66</v>
      </c>
      <c r="M91" s="104" t="s">
        <v>10</v>
      </c>
      <c r="N91" s="24">
        <v>40744.645138888889</v>
      </c>
      <c r="O91" s="24">
        <v>40744.840277777781</v>
      </c>
      <c r="P91" s="48" t="s">
        <v>142</v>
      </c>
    </row>
    <row r="92" spans="1:19">
      <c r="D92" s="62"/>
      <c r="E92" s="81">
        <v>40761.78125</v>
      </c>
      <c r="F92" s="4" t="s">
        <v>149</v>
      </c>
      <c r="G92" s="4" t="s">
        <v>150</v>
      </c>
      <c r="H92" s="74" t="s">
        <v>140</v>
      </c>
      <c r="I92" s="3">
        <v>40761.78125</v>
      </c>
      <c r="J92" s="4" t="s">
        <v>149</v>
      </c>
      <c r="K92" s="4" t="s">
        <v>150</v>
      </c>
      <c r="L92" s="3" t="s">
        <v>67</v>
      </c>
      <c r="M92" s="104" t="s">
        <v>10</v>
      </c>
      <c r="N92" s="22">
        <v>40761.640277777777</v>
      </c>
      <c r="O92" s="22">
        <v>40761.71597222222</v>
      </c>
      <c r="P92" s="48" t="s">
        <v>145</v>
      </c>
    </row>
    <row r="93" spans="1:19" s="16" customFormat="1">
      <c r="A93" s="15"/>
      <c r="B93" s="4"/>
      <c r="C93" s="4"/>
      <c r="D93" s="66"/>
      <c r="E93" s="81">
        <v>40790.951388888891</v>
      </c>
      <c r="F93" s="4" t="s">
        <v>189</v>
      </c>
      <c r="G93" s="4" t="s">
        <v>190</v>
      </c>
      <c r="H93" s="74" t="s">
        <v>140</v>
      </c>
      <c r="I93" s="3">
        <v>40790.951388888891</v>
      </c>
      <c r="J93" s="4" t="s">
        <v>189</v>
      </c>
      <c r="K93" s="4" t="s">
        <v>190</v>
      </c>
      <c r="L93" s="3" t="s">
        <v>68</v>
      </c>
      <c r="M93" s="104" t="s">
        <v>9</v>
      </c>
      <c r="N93" s="24">
        <v>40790.556944444441</v>
      </c>
      <c r="O93" s="49" t="s">
        <v>142</v>
      </c>
      <c r="P93" s="48" t="s">
        <v>142</v>
      </c>
      <c r="Q93" s="20"/>
      <c r="R93" s="20"/>
      <c r="S93" s="20"/>
    </row>
    <row r="94" spans="1:19" s="16" customFormat="1">
      <c r="A94" s="81">
        <v>41054.911111111112</v>
      </c>
      <c r="B94" s="4" t="s">
        <v>264</v>
      </c>
      <c r="C94" s="4" t="s">
        <v>207</v>
      </c>
      <c r="D94" s="81">
        <v>41054.946527777778</v>
      </c>
      <c r="E94" s="81">
        <v>41054.911111111112</v>
      </c>
      <c r="F94" s="4" t="s">
        <v>264</v>
      </c>
      <c r="G94" s="4" t="s">
        <v>207</v>
      </c>
      <c r="H94" s="74" t="s">
        <v>105</v>
      </c>
      <c r="I94" s="3"/>
      <c r="J94" s="4"/>
      <c r="K94" s="4"/>
      <c r="L94" s="3"/>
      <c r="M94" s="104"/>
      <c r="N94" s="24"/>
      <c r="O94" s="49"/>
      <c r="P94" s="48"/>
      <c r="Q94" s="20"/>
      <c r="R94" s="20"/>
      <c r="S94" s="20"/>
    </row>
    <row r="95" spans="1:19" s="16" customFormat="1">
      <c r="A95" s="81">
        <v>41054.911111111112</v>
      </c>
      <c r="B95" s="4" t="s">
        <v>372</v>
      </c>
      <c r="C95" s="4" t="s">
        <v>205</v>
      </c>
      <c r="D95" s="81">
        <v>41054.920138888891</v>
      </c>
      <c r="E95" s="81">
        <v>41054.911111111112</v>
      </c>
      <c r="F95" s="4" t="s">
        <v>372</v>
      </c>
      <c r="G95" s="4" t="s">
        <v>205</v>
      </c>
      <c r="H95" s="74" t="s">
        <v>105</v>
      </c>
      <c r="I95" s="3"/>
      <c r="J95" s="4"/>
      <c r="K95" s="4"/>
      <c r="L95" s="3"/>
      <c r="M95" s="104"/>
      <c r="N95" s="24"/>
      <c r="O95" s="49"/>
      <c r="P95" s="48"/>
      <c r="Q95" s="20"/>
      <c r="R95" s="20"/>
      <c r="S95" s="20"/>
    </row>
    <row r="96" spans="1:19" s="16" customFormat="1">
      <c r="A96" s="81">
        <v>41054.920138888891</v>
      </c>
      <c r="B96" s="4" t="s">
        <v>264</v>
      </c>
      <c r="C96" s="4" t="s">
        <v>217</v>
      </c>
      <c r="D96" s="81">
        <v>41054.974305555559</v>
      </c>
      <c r="E96" s="81">
        <v>41054.920138888891</v>
      </c>
      <c r="F96" s="4" t="s">
        <v>264</v>
      </c>
      <c r="G96" s="4" t="s">
        <v>217</v>
      </c>
      <c r="H96" s="74" t="s">
        <v>105</v>
      </c>
      <c r="I96" s="3"/>
      <c r="J96" s="4"/>
      <c r="K96" s="4"/>
      <c r="L96" s="3"/>
      <c r="M96" s="104"/>
      <c r="N96" s="24"/>
      <c r="O96" s="49"/>
      <c r="P96" s="48"/>
      <c r="Q96" s="20"/>
      <c r="R96" s="20"/>
      <c r="S96" s="20"/>
    </row>
    <row r="97" spans="1:19" s="16" customFormat="1">
      <c r="A97" s="81">
        <v>41054.946527777778</v>
      </c>
      <c r="B97" s="4" t="s">
        <v>264</v>
      </c>
      <c r="C97" s="4" t="s">
        <v>218</v>
      </c>
      <c r="D97" s="81">
        <v>41054.974305555559</v>
      </c>
      <c r="E97" s="81">
        <v>41054.946527777778</v>
      </c>
      <c r="F97" s="4" t="s">
        <v>264</v>
      </c>
      <c r="G97" s="4" t="s">
        <v>218</v>
      </c>
      <c r="H97" s="74" t="s">
        <v>105</v>
      </c>
      <c r="I97" s="3"/>
      <c r="J97" s="4"/>
      <c r="K97" s="4"/>
      <c r="L97" s="3"/>
      <c r="M97" s="104"/>
      <c r="N97" s="24"/>
      <c r="O97" s="49"/>
      <c r="P97" s="48"/>
      <c r="Q97" s="20"/>
      <c r="R97" s="20"/>
      <c r="S97" s="20"/>
    </row>
    <row r="98" spans="1:19" s="16" customFormat="1">
      <c r="A98" s="81">
        <v>41055.009027777778</v>
      </c>
      <c r="B98" s="4" t="s">
        <v>157</v>
      </c>
      <c r="C98" s="4" t="s">
        <v>158</v>
      </c>
      <c r="D98" s="81">
        <v>41055.051388888889</v>
      </c>
      <c r="E98" s="81">
        <v>41055.009027777778</v>
      </c>
      <c r="F98" s="4" t="s">
        <v>157</v>
      </c>
      <c r="G98" s="4" t="s">
        <v>158</v>
      </c>
      <c r="H98" s="74" t="s">
        <v>105</v>
      </c>
      <c r="I98" s="3"/>
      <c r="J98" s="4"/>
      <c r="K98" s="4"/>
      <c r="L98" s="3"/>
      <c r="M98" s="104"/>
      <c r="N98" s="24"/>
      <c r="O98" s="49"/>
      <c r="P98" s="48"/>
      <c r="Q98" s="20"/>
      <c r="R98" s="20"/>
      <c r="S98" s="20"/>
    </row>
    <row r="99" spans="1:19" s="16" customFormat="1">
      <c r="A99" s="81">
        <v>41055.009027777778</v>
      </c>
      <c r="B99" s="4" t="s">
        <v>164</v>
      </c>
      <c r="C99" s="4" t="s">
        <v>165</v>
      </c>
      <c r="D99" s="81">
        <v>41055.051388888889</v>
      </c>
      <c r="E99" s="81">
        <v>41055.009027777778</v>
      </c>
      <c r="F99" s="4" t="s">
        <v>164</v>
      </c>
      <c r="G99" s="4" t="s">
        <v>165</v>
      </c>
      <c r="H99" s="74" t="s">
        <v>105</v>
      </c>
      <c r="I99" s="3"/>
      <c r="J99" s="4"/>
      <c r="K99" s="4"/>
      <c r="L99" s="3"/>
      <c r="M99" s="104"/>
      <c r="N99" s="24"/>
      <c r="O99" s="49"/>
      <c r="P99" s="48"/>
      <c r="Q99" s="20"/>
      <c r="R99" s="20"/>
      <c r="S99" s="20"/>
    </row>
    <row r="100" spans="1:19" s="16" customFormat="1">
      <c r="A100" s="81">
        <v>41055.009027777778</v>
      </c>
      <c r="B100" s="4" t="s">
        <v>164</v>
      </c>
      <c r="C100" s="4" t="s">
        <v>166</v>
      </c>
      <c r="D100" s="81">
        <v>41055.051388888889</v>
      </c>
      <c r="E100" s="81">
        <v>41055.009027777778</v>
      </c>
      <c r="F100" s="4" t="s">
        <v>164</v>
      </c>
      <c r="G100" s="4" t="s">
        <v>166</v>
      </c>
      <c r="H100" s="74" t="s">
        <v>105</v>
      </c>
      <c r="I100" s="3"/>
      <c r="J100" s="4"/>
      <c r="K100" s="4"/>
      <c r="L100" s="3"/>
      <c r="M100" s="104"/>
      <c r="N100" s="24"/>
      <c r="O100" s="49"/>
      <c r="P100" s="48"/>
      <c r="Q100" s="20"/>
      <c r="R100" s="20"/>
      <c r="S100" s="20"/>
    </row>
    <row r="101" spans="1:19" s="16" customFormat="1">
      <c r="A101" s="81">
        <v>41055.009027777778</v>
      </c>
      <c r="B101" s="4" t="s">
        <v>151</v>
      </c>
      <c r="C101" s="4" t="s">
        <v>345</v>
      </c>
      <c r="D101" s="81">
        <v>41055.039583333331</v>
      </c>
      <c r="E101" s="81">
        <v>41055.009027777778</v>
      </c>
      <c r="F101" s="4" t="s">
        <v>151</v>
      </c>
      <c r="G101" s="4" t="s">
        <v>345</v>
      </c>
      <c r="H101" s="74" t="s">
        <v>105</v>
      </c>
      <c r="I101" s="3"/>
      <c r="J101" s="4"/>
      <c r="K101" s="4"/>
      <c r="L101" s="3"/>
      <c r="M101" s="104"/>
      <c r="N101" s="24"/>
      <c r="O101" s="49"/>
      <c r="P101" s="48"/>
      <c r="Q101" s="20"/>
      <c r="R101" s="20"/>
      <c r="S101" s="20"/>
    </row>
    <row r="102" spans="1:19" s="16" customFormat="1">
      <c r="A102" s="81">
        <v>41055.009027777778</v>
      </c>
      <c r="B102" s="8" t="s">
        <v>191</v>
      </c>
      <c r="C102" s="8" t="s">
        <v>152</v>
      </c>
      <c r="D102" s="67">
        <v>41055.039583333331</v>
      </c>
      <c r="E102" s="81">
        <v>41055.009027777778</v>
      </c>
      <c r="F102" s="105" t="s">
        <v>191</v>
      </c>
      <c r="G102" s="105" t="s">
        <v>152</v>
      </c>
      <c r="H102" s="106" t="s">
        <v>192</v>
      </c>
      <c r="I102" s="3">
        <v>41055</v>
      </c>
      <c r="J102" s="107" t="s">
        <v>151</v>
      </c>
      <c r="K102" s="107" t="s">
        <v>156</v>
      </c>
      <c r="L102" s="101" t="s">
        <v>69</v>
      </c>
      <c r="M102" s="106" t="s">
        <v>9</v>
      </c>
      <c r="N102" s="22">
        <v>41054.593055555553</v>
      </c>
      <c r="O102" s="108">
        <v>41054.964583333334</v>
      </c>
      <c r="P102" s="48" t="s">
        <v>145</v>
      </c>
      <c r="Q102" s="20"/>
      <c r="R102" s="20"/>
      <c r="S102" s="20"/>
    </row>
    <row r="103" spans="1:19" s="16" customFormat="1">
      <c r="A103" s="3"/>
      <c r="B103" s="4"/>
      <c r="C103" s="4"/>
      <c r="D103" s="62"/>
      <c r="E103" s="81">
        <v>41055.010416666664</v>
      </c>
      <c r="F103" s="107" t="s">
        <v>151</v>
      </c>
      <c r="G103" s="107" t="s">
        <v>152</v>
      </c>
      <c r="H103" s="74" t="s">
        <v>140</v>
      </c>
      <c r="I103" s="3">
        <v>41055.010416666664</v>
      </c>
      <c r="J103" s="107" t="s">
        <v>151</v>
      </c>
      <c r="K103" s="107" t="s">
        <v>152</v>
      </c>
      <c r="L103" s="109" t="s">
        <v>70</v>
      </c>
      <c r="M103" s="106" t="s">
        <v>10</v>
      </c>
      <c r="N103" s="22">
        <v>41054.593055555553</v>
      </c>
      <c r="O103" s="7">
        <v>41054.964583333334</v>
      </c>
      <c r="P103" s="48" t="s">
        <v>145</v>
      </c>
      <c r="Q103" s="20"/>
      <c r="R103" s="20"/>
      <c r="S103" s="20"/>
    </row>
    <row r="104" spans="1:19" s="16" customFormat="1">
      <c r="A104" s="81">
        <v>41055.020833333336</v>
      </c>
      <c r="B104" s="4" t="s">
        <v>157</v>
      </c>
      <c r="C104" s="4" t="s">
        <v>162</v>
      </c>
      <c r="D104" s="81">
        <v>41055.051388888889</v>
      </c>
      <c r="E104" s="81">
        <v>41055.020833333336</v>
      </c>
      <c r="F104" s="4" t="s">
        <v>157</v>
      </c>
      <c r="G104" s="4" t="s">
        <v>162</v>
      </c>
      <c r="H104" s="74" t="s">
        <v>105</v>
      </c>
      <c r="I104" s="3"/>
      <c r="J104" s="4"/>
      <c r="K104" s="4"/>
      <c r="L104" s="3"/>
      <c r="M104" s="104"/>
      <c r="N104" s="24"/>
      <c r="O104" s="49"/>
      <c r="P104" s="48"/>
      <c r="Q104" s="20"/>
      <c r="R104" s="20"/>
      <c r="S104" s="20"/>
    </row>
    <row r="105" spans="1:19" s="16" customFormat="1">
      <c r="A105" s="81">
        <v>41055.020833333336</v>
      </c>
      <c r="B105" s="4" t="s">
        <v>157</v>
      </c>
      <c r="C105" s="4" t="s">
        <v>159</v>
      </c>
      <c r="D105" s="81">
        <v>41055.081250000003</v>
      </c>
      <c r="E105" s="81">
        <v>41055.020833333336</v>
      </c>
      <c r="F105" s="4" t="s">
        <v>157</v>
      </c>
      <c r="G105" s="4" t="s">
        <v>159</v>
      </c>
      <c r="H105" s="74" t="s">
        <v>105</v>
      </c>
      <c r="I105" s="3"/>
      <c r="J105" s="4"/>
      <c r="K105" s="4"/>
      <c r="L105" s="3"/>
      <c r="M105" s="104"/>
      <c r="N105" s="24"/>
      <c r="O105" s="49"/>
      <c r="P105" s="48"/>
      <c r="Q105" s="20"/>
      <c r="R105" s="20"/>
      <c r="S105" s="20"/>
    </row>
    <row r="106" spans="1:19" s="16" customFormat="1">
      <c r="A106" s="81">
        <v>41055.020833333336</v>
      </c>
      <c r="B106" s="4" t="s">
        <v>154</v>
      </c>
      <c r="C106" s="4" t="s">
        <v>147</v>
      </c>
      <c r="D106" s="81">
        <v>41055.081250000003</v>
      </c>
      <c r="E106" s="81">
        <v>41055.020833333336</v>
      </c>
      <c r="F106" s="4" t="s">
        <v>154</v>
      </c>
      <c r="G106" s="4" t="s">
        <v>147</v>
      </c>
      <c r="H106" s="74" t="s">
        <v>105</v>
      </c>
      <c r="I106" s="3"/>
      <c r="J106" s="4"/>
      <c r="K106" s="4"/>
      <c r="L106" s="3"/>
      <c r="M106" s="104"/>
      <c r="N106" s="24"/>
      <c r="O106" s="49"/>
      <c r="P106" s="48"/>
      <c r="Q106" s="20"/>
      <c r="R106" s="20"/>
      <c r="S106" s="20"/>
    </row>
    <row r="107" spans="1:19" s="16" customFormat="1">
      <c r="A107" s="81">
        <v>41055.039583333331</v>
      </c>
      <c r="B107" s="4" t="s">
        <v>157</v>
      </c>
      <c r="C107" s="4" t="s">
        <v>214</v>
      </c>
      <c r="D107" s="81">
        <v>41055.081250000003</v>
      </c>
      <c r="E107" s="81">
        <v>41055.039583333331</v>
      </c>
      <c r="F107" s="4" t="s">
        <v>157</v>
      </c>
      <c r="G107" s="4" t="s">
        <v>214</v>
      </c>
      <c r="H107" s="74" t="s">
        <v>105</v>
      </c>
      <c r="I107" s="3"/>
      <c r="J107" s="4"/>
      <c r="K107" s="4"/>
      <c r="L107" s="3"/>
      <c r="M107" s="104"/>
      <c r="N107" s="24"/>
      <c r="O107" s="49"/>
      <c r="P107" s="48"/>
      <c r="Q107" s="20"/>
      <c r="R107" s="20"/>
      <c r="S107" s="20"/>
    </row>
    <row r="108" spans="1:19" s="16" customFormat="1">
      <c r="A108" s="81">
        <v>41055.039583333331</v>
      </c>
      <c r="B108" s="4" t="s">
        <v>164</v>
      </c>
      <c r="C108" s="4" t="s">
        <v>259</v>
      </c>
      <c r="D108" s="81">
        <v>41055.081250000003</v>
      </c>
      <c r="E108" s="81">
        <v>41055.039583333331</v>
      </c>
      <c r="F108" s="4" t="s">
        <v>164</v>
      </c>
      <c r="G108" s="4" t="s">
        <v>259</v>
      </c>
      <c r="H108" s="74" t="s">
        <v>105</v>
      </c>
      <c r="I108" s="3"/>
      <c r="J108" s="4"/>
      <c r="K108" s="4"/>
      <c r="L108" s="3"/>
      <c r="M108" s="104"/>
      <c r="N108" s="24"/>
      <c r="O108" s="49"/>
      <c r="P108" s="48"/>
      <c r="Q108" s="20"/>
      <c r="R108" s="20"/>
      <c r="S108" s="20"/>
    </row>
    <row r="109" spans="1:19" s="16" customFormat="1">
      <c r="A109" s="81">
        <v>41055.039583333331</v>
      </c>
      <c r="B109" s="4" t="s">
        <v>154</v>
      </c>
      <c r="C109" s="4" t="s">
        <v>215</v>
      </c>
      <c r="D109" s="81">
        <v>41055.081250000003</v>
      </c>
      <c r="E109" s="81">
        <v>41055.039583333331</v>
      </c>
      <c r="F109" s="4" t="s">
        <v>154</v>
      </c>
      <c r="G109" s="4" t="s">
        <v>215</v>
      </c>
      <c r="H109" s="74" t="s">
        <v>105</v>
      </c>
      <c r="I109" s="3"/>
      <c r="J109" s="4"/>
      <c r="K109" s="4"/>
      <c r="L109" s="3"/>
      <c r="M109" s="104"/>
      <c r="N109" s="24"/>
      <c r="O109" s="49"/>
      <c r="P109" s="48"/>
      <c r="Q109" s="20"/>
      <c r="R109" s="20"/>
      <c r="S109" s="20"/>
    </row>
    <row r="110" spans="1:19" s="16" customFormat="1">
      <c r="A110" s="81">
        <v>41058.865972222222</v>
      </c>
      <c r="B110" s="4" t="s">
        <v>164</v>
      </c>
      <c r="C110" s="4" t="s">
        <v>259</v>
      </c>
      <c r="D110" s="81">
        <v>41058.905555555553</v>
      </c>
      <c r="E110" s="81">
        <v>41058.865972222222</v>
      </c>
      <c r="F110" s="4" t="s">
        <v>164</v>
      </c>
      <c r="G110" s="4" t="s">
        <v>259</v>
      </c>
      <c r="H110" s="74" t="s">
        <v>105</v>
      </c>
      <c r="I110" s="3"/>
      <c r="J110" s="4"/>
      <c r="K110" s="4"/>
      <c r="L110" s="3"/>
      <c r="M110" s="104"/>
      <c r="N110" s="24"/>
      <c r="O110" s="49"/>
      <c r="P110" s="48"/>
      <c r="Q110" s="20"/>
      <c r="R110" s="20"/>
      <c r="S110" s="20"/>
    </row>
    <row r="111" spans="1:19" s="16" customFormat="1">
      <c r="A111" s="81">
        <v>41058.865972222222</v>
      </c>
      <c r="B111" s="4" t="s">
        <v>164</v>
      </c>
      <c r="C111" s="4" t="s">
        <v>387</v>
      </c>
      <c r="D111" s="81">
        <v>41058.877083333333</v>
      </c>
      <c r="E111" s="81">
        <v>41058.865972222222</v>
      </c>
      <c r="F111" s="4" t="s">
        <v>164</v>
      </c>
      <c r="G111" s="4" t="s">
        <v>387</v>
      </c>
      <c r="H111" s="74" t="s">
        <v>105</v>
      </c>
      <c r="I111" s="3"/>
      <c r="J111" s="4"/>
      <c r="K111" s="4"/>
      <c r="L111" s="3"/>
      <c r="M111" s="104"/>
      <c r="N111" s="24"/>
      <c r="O111" s="49"/>
      <c r="P111" s="48"/>
      <c r="Q111" s="20"/>
      <c r="R111" s="20"/>
      <c r="S111" s="20"/>
    </row>
    <row r="112" spans="1:19" s="16" customFormat="1">
      <c r="A112" s="81">
        <v>41058.865972222222</v>
      </c>
      <c r="B112" s="4" t="s">
        <v>164</v>
      </c>
      <c r="C112" s="4" t="s">
        <v>260</v>
      </c>
      <c r="D112" s="81">
        <v>41058.905555555553</v>
      </c>
      <c r="E112" s="81">
        <v>41058.865972222222</v>
      </c>
      <c r="F112" s="4" t="s">
        <v>164</v>
      </c>
      <c r="G112" s="4" t="s">
        <v>260</v>
      </c>
      <c r="H112" s="74" t="s">
        <v>105</v>
      </c>
      <c r="I112" s="3"/>
      <c r="J112" s="4"/>
      <c r="K112" s="4"/>
      <c r="L112" s="3"/>
      <c r="M112" s="104"/>
      <c r="N112" s="24"/>
      <c r="O112" s="49"/>
      <c r="P112" s="48"/>
      <c r="Q112" s="20"/>
      <c r="R112" s="20"/>
      <c r="S112" s="20"/>
    </row>
    <row r="113" spans="1:19" s="16" customFormat="1">
      <c r="A113" s="81">
        <v>41058.865972222222</v>
      </c>
      <c r="B113" s="4" t="s">
        <v>164</v>
      </c>
      <c r="C113" s="4" t="s">
        <v>178</v>
      </c>
      <c r="D113" s="81">
        <v>41058.877083333333</v>
      </c>
      <c r="E113" s="81">
        <v>41058.865972222222</v>
      </c>
      <c r="F113" s="4" t="s">
        <v>164</v>
      </c>
      <c r="G113" s="4" t="s">
        <v>178</v>
      </c>
      <c r="H113" s="74" t="s">
        <v>105</v>
      </c>
      <c r="I113" s="3"/>
      <c r="J113" s="4"/>
      <c r="K113" s="4"/>
      <c r="L113" s="3"/>
      <c r="M113" s="104"/>
      <c r="N113" s="24"/>
      <c r="O113" s="49"/>
      <c r="P113" s="48"/>
      <c r="Q113" s="20"/>
      <c r="R113" s="20"/>
      <c r="S113" s="20"/>
    </row>
    <row r="114" spans="1:19" s="16" customFormat="1">
      <c r="A114" s="81">
        <v>41058.877083333333</v>
      </c>
      <c r="B114" s="4" t="s">
        <v>154</v>
      </c>
      <c r="C114" s="4" t="s">
        <v>215</v>
      </c>
      <c r="D114" s="81">
        <v>41058.917361111111</v>
      </c>
      <c r="E114" s="81">
        <v>41058.877083333333</v>
      </c>
      <c r="F114" s="4" t="s">
        <v>154</v>
      </c>
      <c r="G114" s="4" t="s">
        <v>215</v>
      </c>
      <c r="H114" s="74" t="s">
        <v>105</v>
      </c>
      <c r="I114" s="3"/>
      <c r="J114" s="4"/>
      <c r="K114" s="4"/>
      <c r="L114" s="3"/>
      <c r="M114" s="104"/>
      <c r="N114" s="24"/>
      <c r="O114" s="49"/>
      <c r="P114" s="48"/>
      <c r="Q114" s="20"/>
      <c r="R114" s="20"/>
      <c r="S114" s="20"/>
    </row>
    <row r="115" spans="1:19" s="16" customFormat="1">
      <c r="A115" s="81">
        <v>41058.877083333333</v>
      </c>
      <c r="B115" s="4" t="s">
        <v>154</v>
      </c>
      <c r="C115" s="4" t="s">
        <v>261</v>
      </c>
      <c r="D115" s="81">
        <v>41058.917361111111</v>
      </c>
      <c r="E115" s="81">
        <v>41058.877083333333</v>
      </c>
      <c r="F115" s="4" t="s">
        <v>164</v>
      </c>
      <c r="G115" s="4" t="s">
        <v>261</v>
      </c>
      <c r="H115" s="74" t="s">
        <v>105</v>
      </c>
      <c r="I115" s="3"/>
      <c r="J115" s="4"/>
      <c r="K115" s="4"/>
      <c r="L115" s="3"/>
      <c r="M115" s="104"/>
      <c r="N115" s="24"/>
      <c r="O115" s="49"/>
      <c r="P115" s="48"/>
      <c r="Q115" s="20"/>
      <c r="R115" s="20"/>
      <c r="S115" s="20"/>
    </row>
    <row r="116" spans="1:19">
      <c r="D116" s="62"/>
      <c r="E116" s="81">
        <v>41068.892361111109</v>
      </c>
      <c r="F116" s="107" t="s">
        <v>164</v>
      </c>
      <c r="G116" s="107" t="s">
        <v>178</v>
      </c>
      <c r="H116" s="74" t="s">
        <v>140</v>
      </c>
      <c r="I116" s="3">
        <v>41068.892361111109</v>
      </c>
      <c r="J116" s="107" t="s">
        <v>164</v>
      </c>
      <c r="K116" s="107" t="s">
        <v>178</v>
      </c>
      <c r="L116" s="109" t="s">
        <v>12</v>
      </c>
      <c r="M116" s="106" t="s">
        <v>10</v>
      </c>
      <c r="N116" s="22">
        <v>41068.732638888891</v>
      </c>
      <c r="O116" s="108">
        <v>41068.856249999997</v>
      </c>
      <c r="P116" s="48" t="s">
        <v>193</v>
      </c>
    </row>
    <row r="117" spans="1:19" s="16" customFormat="1">
      <c r="A117" s="81">
        <v>41107.747916666667</v>
      </c>
      <c r="B117" s="4" t="s">
        <v>164</v>
      </c>
      <c r="C117" s="4" t="s">
        <v>178</v>
      </c>
      <c r="D117" s="81">
        <v>41107.78402777778</v>
      </c>
      <c r="E117" s="81">
        <v>41107.747916666667</v>
      </c>
      <c r="F117" s="4" t="s">
        <v>164</v>
      </c>
      <c r="G117" s="4" t="s">
        <v>178</v>
      </c>
      <c r="H117" s="74" t="s">
        <v>105</v>
      </c>
      <c r="I117" s="3"/>
      <c r="J117" s="4"/>
      <c r="K117" s="4"/>
      <c r="L117" s="3"/>
      <c r="M117" s="104"/>
      <c r="N117" s="24"/>
      <c r="O117" s="49"/>
      <c r="P117" s="48"/>
      <c r="Q117" s="20"/>
      <c r="R117" s="20"/>
      <c r="S117" s="20"/>
    </row>
    <row r="118" spans="1:19" s="16" customFormat="1">
      <c r="A118" s="81">
        <v>41107.760416666664</v>
      </c>
      <c r="B118" s="4" t="s">
        <v>164</v>
      </c>
      <c r="C118" s="4" t="s">
        <v>260</v>
      </c>
      <c r="D118" s="81">
        <v>41107.800694444442</v>
      </c>
      <c r="E118" s="81">
        <v>41107.760416666664</v>
      </c>
      <c r="F118" s="4" t="s">
        <v>164</v>
      </c>
      <c r="G118" s="4" t="s">
        <v>260</v>
      </c>
      <c r="H118" s="74" t="s">
        <v>105</v>
      </c>
      <c r="I118" s="3"/>
      <c r="J118" s="4"/>
      <c r="K118" s="4"/>
      <c r="L118" s="3"/>
      <c r="M118" s="104"/>
      <c r="N118" s="24"/>
      <c r="O118" s="49"/>
      <c r="P118" s="48"/>
      <c r="Q118" s="20"/>
      <c r="R118" s="20"/>
      <c r="S118" s="20"/>
    </row>
    <row r="119" spans="1:19" s="16" customFormat="1">
      <c r="A119" s="81">
        <v>41107.875</v>
      </c>
      <c r="B119" s="4" t="s">
        <v>154</v>
      </c>
      <c r="C119" s="131" t="s">
        <v>261</v>
      </c>
      <c r="D119" s="81">
        <v>41107.894444444442</v>
      </c>
      <c r="E119" s="81">
        <v>41107.875</v>
      </c>
      <c r="F119" s="4" t="s">
        <v>154</v>
      </c>
      <c r="G119" s="131" t="s">
        <v>261</v>
      </c>
      <c r="H119" s="74" t="s">
        <v>105</v>
      </c>
      <c r="I119" s="3"/>
      <c r="J119" s="4"/>
      <c r="K119" s="4"/>
      <c r="L119" s="3"/>
      <c r="M119" s="104"/>
      <c r="N119" s="24"/>
      <c r="O119" s="49"/>
      <c r="P119" s="48"/>
      <c r="Q119" s="20"/>
      <c r="R119" s="20"/>
      <c r="S119" s="20"/>
    </row>
    <row r="120" spans="1:19" s="16" customFormat="1">
      <c r="A120" s="81">
        <v>41107.875</v>
      </c>
      <c r="B120" s="4" t="s">
        <v>154</v>
      </c>
      <c r="C120" s="131" t="s">
        <v>215</v>
      </c>
      <c r="D120" s="81">
        <v>41107.894444444442</v>
      </c>
      <c r="E120" s="81">
        <v>41107.875</v>
      </c>
      <c r="F120" s="4" t="s">
        <v>154</v>
      </c>
      <c r="G120" s="131" t="s">
        <v>215</v>
      </c>
      <c r="H120" s="74" t="s">
        <v>105</v>
      </c>
      <c r="I120" s="3"/>
      <c r="J120" s="4"/>
      <c r="K120" s="4"/>
      <c r="L120" s="3"/>
      <c r="M120" s="104"/>
      <c r="N120" s="24"/>
      <c r="O120" s="49"/>
      <c r="P120" s="48"/>
      <c r="Q120" s="20"/>
      <c r="R120" s="20"/>
      <c r="S120" s="20"/>
    </row>
    <row r="121" spans="1:19" s="16" customFormat="1">
      <c r="A121" s="81">
        <v>41107.875</v>
      </c>
      <c r="B121" s="4" t="s">
        <v>154</v>
      </c>
      <c r="C121" s="131" t="s">
        <v>147</v>
      </c>
      <c r="D121" s="81">
        <v>41107.894444444442</v>
      </c>
      <c r="E121" s="81">
        <v>41107.875</v>
      </c>
      <c r="F121" s="4" t="s">
        <v>154</v>
      </c>
      <c r="G121" s="131" t="s">
        <v>147</v>
      </c>
      <c r="H121" s="74" t="s">
        <v>105</v>
      </c>
      <c r="I121" s="3"/>
      <c r="J121" s="4"/>
      <c r="K121" s="4"/>
      <c r="L121" s="3"/>
      <c r="M121" s="104"/>
      <c r="N121" s="24"/>
      <c r="O121" s="49"/>
      <c r="P121" s="48"/>
      <c r="Q121" s="20"/>
      <c r="R121" s="20"/>
      <c r="S121" s="20"/>
    </row>
    <row r="122" spans="1:19" s="16" customFormat="1">
      <c r="A122" s="81">
        <v>41107.875</v>
      </c>
      <c r="B122" s="4" t="s">
        <v>154</v>
      </c>
      <c r="C122" s="131" t="s">
        <v>155</v>
      </c>
      <c r="D122" s="81">
        <v>41107.894444444442</v>
      </c>
      <c r="E122" s="81">
        <v>41107.875</v>
      </c>
      <c r="F122" s="4" t="s">
        <v>154</v>
      </c>
      <c r="G122" s="131" t="s">
        <v>155</v>
      </c>
      <c r="H122" s="74" t="s">
        <v>105</v>
      </c>
      <c r="I122" s="3"/>
      <c r="J122" s="4"/>
      <c r="K122" s="4"/>
      <c r="L122" s="3"/>
      <c r="M122" s="104"/>
      <c r="N122" s="24"/>
      <c r="O122" s="49"/>
      <c r="P122" s="48"/>
      <c r="Q122" s="20"/>
      <c r="R122" s="20"/>
      <c r="S122" s="20"/>
    </row>
    <row r="123" spans="1:19" s="16" customFormat="1">
      <c r="A123" s="81">
        <v>41107.875</v>
      </c>
      <c r="B123" s="4" t="s">
        <v>154</v>
      </c>
      <c r="C123" s="131" t="s">
        <v>163</v>
      </c>
      <c r="D123" s="81">
        <v>41107.894444444442</v>
      </c>
      <c r="E123" s="81">
        <v>41107.875</v>
      </c>
      <c r="F123" s="4" t="s">
        <v>154</v>
      </c>
      <c r="G123" s="131" t="s">
        <v>163</v>
      </c>
      <c r="H123" s="74" t="s">
        <v>105</v>
      </c>
      <c r="I123" s="3"/>
      <c r="J123" s="4"/>
      <c r="K123" s="4"/>
      <c r="L123" s="3"/>
      <c r="M123" s="104"/>
      <c r="N123" s="24"/>
      <c r="O123" s="49"/>
      <c r="P123" s="48"/>
      <c r="Q123" s="20"/>
      <c r="R123" s="20"/>
      <c r="S123" s="20"/>
    </row>
    <row r="124" spans="1:19" s="16" customFormat="1">
      <c r="A124" s="81">
        <v>41112.918055555558</v>
      </c>
      <c r="B124" s="4" t="s">
        <v>169</v>
      </c>
      <c r="C124" s="4" t="s">
        <v>203</v>
      </c>
      <c r="D124" s="81">
        <v>41112.959722222222</v>
      </c>
      <c r="E124" s="81">
        <v>41112.918055555558</v>
      </c>
      <c r="F124" s="4" t="s">
        <v>169</v>
      </c>
      <c r="G124" s="4" t="s">
        <v>203</v>
      </c>
      <c r="H124" s="74" t="s">
        <v>105</v>
      </c>
      <c r="I124" s="3"/>
      <c r="J124" s="4"/>
      <c r="K124" s="4"/>
      <c r="L124" s="3"/>
      <c r="M124" s="104"/>
      <c r="N124" s="24"/>
      <c r="O124" s="49"/>
      <c r="P124" s="48"/>
      <c r="Q124" s="20"/>
      <c r="R124" s="20"/>
      <c r="S124" s="20"/>
    </row>
    <row r="125" spans="1:19">
      <c r="D125" s="62"/>
      <c r="E125" s="81">
        <v>41152</v>
      </c>
      <c r="F125" s="107" t="s">
        <v>194</v>
      </c>
      <c r="G125" s="107" t="s">
        <v>194</v>
      </c>
      <c r="H125" s="74" t="s">
        <v>140</v>
      </c>
      <c r="I125" s="3">
        <v>41152</v>
      </c>
      <c r="J125" s="107" t="s">
        <v>194</v>
      </c>
      <c r="K125" s="107" t="s">
        <v>194</v>
      </c>
      <c r="L125" s="109" t="s">
        <v>71</v>
      </c>
      <c r="M125" s="106" t="s">
        <v>195</v>
      </c>
      <c r="N125" s="22">
        <v>41151.918055555558</v>
      </c>
      <c r="O125" s="108">
        <v>41151.93472222222</v>
      </c>
      <c r="P125" s="48" t="s">
        <v>11</v>
      </c>
    </row>
    <row r="126" spans="1:19">
      <c r="D126" s="62"/>
      <c r="E126" s="81">
        <v>41160.895833333336</v>
      </c>
      <c r="F126" s="107" t="s">
        <v>196</v>
      </c>
      <c r="G126" s="107" t="s">
        <v>197</v>
      </c>
      <c r="H126" s="74" t="s">
        <v>140</v>
      </c>
      <c r="I126" s="3">
        <v>41160.895833333336</v>
      </c>
      <c r="J126" s="107" t="s">
        <v>196</v>
      </c>
      <c r="K126" s="107" t="s">
        <v>197</v>
      </c>
      <c r="L126" s="109" t="s">
        <v>14</v>
      </c>
      <c r="M126" s="106" t="s">
        <v>9</v>
      </c>
      <c r="N126" s="24">
        <v>41160.373611111114</v>
      </c>
      <c r="O126" s="107" t="s">
        <v>142</v>
      </c>
      <c r="P126" s="48" t="s">
        <v>142</v>
      </c>
    </row>
    <row r="127" spans="1:19" s="16" customFormat="1">
      <c r="A127" s="15"/>
      <c r="B127" s="4"/>
      <c r="C127" s="4"/>
      <c r="D127" s="66"/>
      <c r="E127" s="81">
        <v>41213.590277777781</v>
      </c>
      <c r="F127" s="107" t="s">
        <v>172</v>
      </c>
      <c r="G127" s="107" t="s">
        <v>173</v>
      </c>
      <c r="H127" s="74" t="s">
        <v>140</v>
      </c>
      <c r="I127" s="3">
        <v>41213.590277777781</v>
      </c>
      <c r="J127" s="107" t="s">
        <v>172</v>
      </c>
      <c r="K127" s="107" t="s">
        <v>173</v>
      </c>
      <c r="L127" s="109" t="s">
        <v>72</v>
      </c>
      <c r="M127" s="106" t="s">
        <v>9</v>
      </c>
      <c r="N127" s="16" t="s">
        <v>142</v>
      </c>
      <c r="O127" s="107" t="s">
        <v>142</v>
      </c>
      <c r="P127" s="48" t="s">
        <v>142</v>
      </c>
      <c r="Q127" s="20"/>
      <c r="R127" s="20"/>
      <c r="S127" s="20"/>
    </row>
    <row r="128" spans="1:19">
      <c r="D128" s="62"/>
      <c r="E128" s="81">
        <v>41427.055555555555</v>
      </c>
      <c r="F128" s="110" t="s">
        <v>154</v>
      </c>
      <c r="G128" s="110" t="s">
        <v>155</v>
      </c>
      <c r="H128" s="74" t="s">
        <v>140</v>
      </c>
      <c r="I128" s="3">
        <v>41427.055555555555</v>
      </c>
      <c r="J128" s="110" t="s">
        <v>154</v>
      </c>
      <c r="K128" s="110" t="s">
        <v>155</v>
      </c>
      <c r="L128" s="110" t="s">
        <v>73</v>
      </c>
      <c r="M128" s="111" t="s">
        <v>74</v>
      </c>
      <c r="N128" s="22">
        <v>41426.963194444441</v>
      </c>
      <c r="O128" s="22">
        <v>41427.03402777778</v>
      </c>
      <c r="P128" s="48" t="s">
        <v>145</v>
      </c>
    </row>
    <row r="129" spans="1:16">
      <c r="D129" s="62"/>
      <c r="E129" s="81">
        <v>41465.927083333336</v>
      </c>
      <c r="F129" s="19" t="s">
        <v>189</v>
      </c>
      <c r="G129" s="19" t="s">
        <v>198</v>
      </c>
      <c r="H129" s="74" t="s">
        <v>140</v>
      </c>
      <c r="I129" s="3">
        <v>41465.927083333336</v>
      </c>
      <c r="J129" s="19" t="s">
        <v>189</v>
      </c>
      <c r="K129" s="19" t="s">
        <v>198</v>
      </c>
      <c r="L129" s="19" t="s">
        <v>75</v>
      </c>
      <c r="M129" s="104" t="s">
        <v>74</v>
      </c>
      <c r="N129" s="24">
        <v>41465.802777777775</v>
      </c>
      <c r="O129" s="4" t="s">
        <v>148</v>
      </c>
      <c r="P129" s="48" t="s">
        <v>142</v>
      </c>
    </row>
    <row r="130" spans="1:16">
      <c r="D130" s="62"/>
      <c r="E130" s="81">
        <v>41499.854166666664</v>
      </c>
      <c r="F130" s="103" t="s">
        <v>167</v>
      </c>
      <c r="G130" s="103" t="s">
        <v>199</v>
      </c>
      <c r="H130" s="112" t="s">
        <v>140</v>
      </c>
      <c r="I130" s="3">
        <v>41500.104166666664</v>
      </c>
      <c r="J130" s="19" t="s">
        <v>167</v>
      </c>
      <c r="K130" s="19" t="s">
        <v>199</v>
      </c>
      <c r="L130" s="19" t="s">
        <v>56</v>
      </c>
      <c r="M130" s="104" t="s">
        <v>200</v>
      </c>
      <c r="N130" s="113" t="s">
        <v>142</v>
      </c>
      <c r="O130" s="4" t="s">
        <v>142</v>
      </c>
      <c r="P130" s="48" t="s">
        <v>142</v>
      </c>
    </row>
    <row r="131" spans="1:16">
      <c r="D131" s="62"/>
      <c r="E131" s="81">
        <v>41502.5</v>
      </c>
      <c r="F131" s="103" t="s">
        <v>201</v>
      </c>
      <c r="G131" s="103" t="s">
        <v>201</v>
      </c>
      <c r="H131" s="112" t="s">
        <v>140</v>
      </c>
      <c r="I131" s="3">
        <v>41502.75</v>
      </c>
      <c r="J131" s="19" t="s">
        <v>201</v>
      </c>
      <c r="K131" s="19" t="s">
        <v>201</v>
      </c>
      <c r="L131" s="19" t="s">
        <v>76</v>
      </c>
      <c r="M131" s="104" t="s">
        <v>200</v>
      </c>
      <c r="N131" s="113" t="s">
        <v>142</v>
      </c>
      <c r="O131" s="4" t="s">
        <v>142</v>
      </c>
      <c r="P131" s="48" t="s">
        <v>142</v>
      </c>
    </row>
    <row r="132" spans="1:16">
      <c r="A132" s="15">
        <v>41449.884722222225</v>
      </c>
      <c r="B132" s="12" t="s">
        <v>202</v>
      </c>
      <c r="C132" s="12" t="s">
        <v>203</v>
      </c>
      <c r="D132" s="66">
        <v>41449.952777777777</v>
      </c>
      <c r="E132" s="81">
        <v>41449.884722222225</v>
      </c>
      <c r="F132" s="19" t="s">
        <v>202</v>
      </c>
      <c r="G132" s="19" t="s">
        <v>203</v>
      </c>
      <c r="H132" s="74" t="s">
        <v>105</v>
      </c>
      <c r="I132" s="3"/>
      <c r="M132" s="74"/>
      <c r="O132" s="49"/>
      <c r="P132" s="48"/>
    </row>
    <row r="133" spans="1:16">
      <c r="A133" s="15">
        <v>41449.916666666664</v>
      </c>
      <c r="B133" s="12" t="s">
        <v>167</v>
      </c>
      <c r="C133" s="12" t="s">
        <v>180</v>
      </c>
      <c r="D133" s="66">
        <v>41449.952777777777</v>
      </c>
      <c r="E133" s="81">
        <v>41449.916666666664</v>
      </c>
      <c r="F133" s="19" t="s">
        <v>167</v>
      </c>
      <c r="G133" s="19" t="s">
        <v>180</v>
      </c>
      <c r="H133" s="74" t="s">
        <v>105</v>
      </c>
      <c r="I133" s="3"/>
      <c r="M133" s="74"/>
      <c r="O133" s="49"/>
      <c r="P133" s="48"/>
    </row>
    <row r="134" spans="1:16">
      <c r="A134" s="15">
        <v>41474.75277777778</v>
      </c>
      <c r="B134" s="12" t="s">
        <v>204</v>
      </c>
      <c r="C134" s="12" t="s">
        <v>205</v>
      </c>
      <c r="D134" s="66">
        <v>41474.770138888889</v>
      </c>
      <c r="E134" s="81">
        <v>41474.75277777778</v>
      </c>
      <c r="F134" s="19" t="s">
        <v>204</v>
      </c>
      <c r="G134" s="19" t="s">
        <v>205</v>
      </c>
      <c r="H134" s="74" t="s">
        <v>105</v>
      </c>
      <c r="I134" s="3"/>
      <c r="M134" s="74"/>
      <c r="N134" s="75"/>
      <c r="O134" s="51"/>
      <c r="P134" s="52"/>
    </row>
    <row r="135" spans="1:16">
      <c r="A135" s="15">
        <v>41474.75277777778</v>
      </c>
      <c r="B135" s="12" t="s">
        <v>206</v>
      </c>
      <c r="C135" s="12" t="s">
        <v>207</v>
      </c>
      <c r="D135" s="66">
        <v>41474.771527777775</v>
      </c>
      <c r="E135" s="81">
        <v>41474.75277777778</v>
      </c>
      <c r="F135" s="19" t="s">
        <v>206</v>
      </c>
      <c r="G135" s="19" t="s">
        <v>207</v>
      </c>
      <c r="H135" s="74" t="s">
        <v>105</v>
      </c>
      <c r="I135" s="3"/>
      <c r="J135" s="3"/>
      <c r="M135" s="76"/>
    </row>
    <row r="136" spans="1:16">
      <c r="A136" s="15">
        <v>41474.75277777778</v>
      </c>
      <c r="B136" s="12" t="s">
        <v>206</v>
      </c>
      <c r="C136" s="12" t="s">
        <v>208</v>
      </c>
      <c r="D136" s="66">
        <v>41474.771527777775</v>
      </c>
      <c r="E136" s="81">
        <v>41474.75277777778</v>
      </c>
      <c r="F136" s="19" t="s">
        <v>206</v>
      </c>
      <c r="G136" s="19" t="s">
        <v>208</v>
      </c>
      <c r="H136" s="74" t="s">
        <v>105</v>
      </c>
      <c r="I136" s="3"/>
      <c r="J136" s="3"/>
      <c r="M136" s="76"/>
    </row>
    <row r="137" spans="1:16">
      <c r="A137" s="15">
        <v>41474.76666666667</v>
      </c>
      <c r="B137" s="12" t="s">
        <v>209</v>
      </c>
      <c r="C137" s="12" t="s">
        <v>210</v>
      </c>
      <c r="D137" s="66">
        <v>41474.795138888891</v>
      </c>
      <c r="E137" s="81">
        <v>41474.76666666667</v>
      </c>
      <c r="F137" s="19" t="s">
        <v>209</v>
      </c>
      <c r="G137" s="19" t="s">
        <v>210</v>
      </c>
      <c r="H137" s="74" t="s">
        <v>105</v>
      </c>
      <c r="I137" s="3"/>
      <c r="J137" s="3"/>
      <c r="M137" s="76"/>
    </row>
    <row r="138" spans="1:16">
      <c r="A138" s="15">
        <v>41474.847222222219</v>
      </c>
      <c r="B138" s="12" t="s">
        <v>209</v>
      </c>
      <c r="C138" s="12" t="s">
        <v>210</v>
      </c>
      <c r="D138" s="66">
        <v>41474.877083333333</v>
      </c>
      <c r="E138" s="81">
        <v>41474.847222222219</v>
      </c>
      <c r="F138" s="19" t="s">
        <v>209</v>
      </c>
      <c r="G138" s="19" t="s">
        <v>210</v>
      </c>
      <c r="H138" s="74" t="s">
        <v>105</v>
      </c>
      <c r="I138" s="3"/>
      <c r="M138" s="74"/>
    </row>
    <row r="139" spans="1:16">
      <c r="A139" s="15">
        <v>41474.847222222219</v>
      </c>
      <c r="B139" s="12" t="s">
        <v>146</v>
      </c>
      <c r="C139" s="12" t="s">
        <v>163</v>
      </c>
      <c r="D139" s="66">
        <v>41474.877083333333</v>
      </c>
      <c r="E139" s="81">
        <v>41474.847222222219</v>
      </c>
      <c r="F139" s="19" t="s">
        <v>146</v>
      </c>
      <c r="G139" s="19" t="s">
        <v>163</v>
      </c>
      <c r="H139" s="74" t="s">
        <v>105</v>
      </c>
      <c r="I139" s="3"/>
      <c r="M139" s="74"/>
    </row>
    <row r="140" spans="1:16">
      <c r="A140" s="15">
        <v>41474.76666666667</v>
      </c>
      <c r="B140" s="12" t="s">
        <v>209</v>
      </c>
      <c r="C140" s="12" t="s">
        <v>211</v>
      </c>
      <c r="D140" s="66">
        <v>41474.835416666669</v>
      </c>
      <c r="E140" s="81">
        <v>41474.76666666667</v>
      </c>
      <c r="F140" s="19" t="s">
        <v>209</v>
      </c>
      <c r="G140" s="19" t="s">
        <v>211</v>
      </c>
      <c r="H140" s="74" t="s">
        <v>105</v>
      </c>
      <c r="I140" s="3"/>
      <c r="M140" s="74"/>
    </row>
    <row r="141" spans="1:16">
      <c r="A141" s="15">
        <v>41474.847222222219</v>
      </c>
      <c r="B141" s="12" t="s">
        <v>209</v>
      </c>
      <c r="C141" s="12" t="s">
        <v>211</v>
      </c>
      <c r="D141" s="66">
        <v>41474.877083333333</v>
      </c>
      <c r="E141" s="81">
        <v>41474.847222222219</v>
      </c>
      <c r="F141" s="19" t="s">
        <v>209</v>
      </c>
      <c r="G141" s="19" t="s">
        <v>211</v>
      </c>
      <c r="H141" s="74" t="s">
        <v>105</v>
      </c>
      <c r="I141" s="3"/>
      <c r="M141" s="74"/>
    </row>
    <row r="142" spans="1:16">
      <c r="A142" s="15">
        <v>41474.809027777781</v>
      </c>
      <c r="B142" s="12" t="s">
        <v>209</v>
      </c>
      <c r="C142" s="12" t="s">
        <v>212</v>
      </c>
      <c r="D142" s="66">
        <v>41474.835416666669</v>
      </c>
      <c r="E142" s="81">
        <v>41474.809027777781</v>
      </c>
      <c r="F142" s="19" t="s">
        <v>209</v>
      </c>
      <c r="G142" s="19" t="s">
        <v>212</v>
      </c>
      <c r="H142" s="74" t="s">
        <v>105</v>
      </c>
      <c r="I142" s="3"/>
      <c r="M142" s="74"/>
    </row>
    <row r="143" spans="1:16">
      <c r="A143" s="15">
        <v>41474.847222222219</v>
      </c>
      <c r="B143" s="12" t="s">
        <v>209</v>
      </c>
      <c r="C143" s="12" t="s">
        <v>212</v>
      </c>
      <c r="D143" s="66">
        <v>41474.877083333333</v>
      </c>
      <c r="E143" s="81">
        <v>41474.847222222219</v>
      </c>
      <c r="F143" s="19" t="s">
        <v>209</v>
      </c>
      <c r="G143" s="19" t="s">
        <v>212</v>
      </c>
      <c r="H143" s="74" t="s">
        <v>105</v>
      </c>
      <c r="I143" s="3"/>
      <c r="M143" s="74"/>
    </row>
    <row r="144" spans="1:16">
      <c r="A144" s="15">
        <v>41474.847222222219</v>
      </c>
      <c r="B144" s="12" t="s">
        <v>209</v>
      </c>
      <c r="C144" s="12" t="s">
        <v>197</v>
      </c>
      <c r="D144" s="66">
        <v>41474.877083333333</v>
      </c>
      <c r="E144" s="81">
        <v>41474.847222222219</v>
      </c>
      <c r="F144" s="19" t="s">
        <v>209</v>
      </c>
      <c r="G144" s="19" t="s">
        <v>197</v>
      </c>
      <c r="H144" s="74" t="s">
        <v>105</v>
      </c>
      <c r="I144" s="3"/>
      <c r="M144" s="74"/>
    </row>
    <row r="145" spans="1:16">
      <c r="A145" s="15">
        <v>41474.779861111114</v>
      </c>
      <c r="B145" s="12" t="s">
        <v>202</v>
      </c>
      <c r="C145" s="12" t="s">
        <v>203</v>
      </c>
      <c r="D145" s="66">
        <v>41474.835416666669</v>
      </c>
      <c r="E145" s="81">
        <v>41474.779861111114</v>
      </c>
      <c r="F145" s="19" t="s">
        <v>202</v>
      </c>
      <c r="G145" s="19" t="s">
        <v>203</v>
      </c>
      <c r="H145" s="74" t="s">
        <v>105</v>
      </c>
      <c r="I145" s="3"/>
      <c r="J145" s="3"/>
      <c r="M145" s="76"/>
    </row>
    <row r="146" spans="1:16">
      <c r="A146" s="15">
        <v>41474.936111111114</v>
      </c>
      <c r="B146" s="12" t="s">
        <v>213</v>
      </c>
      <c r="C146" s="12" t="s">
        <v>214</v>
      </c>
      <c r="D146" s="66">
        <v>41474.961111111108</v>
      </c>
      <c r="E146" s="81">
        <v>41474.936111111114</v>
      </c>
      <c r="F146" s="19" t="s">
        <v>213</v>
      </c>
      <c r="G146" s="19" t="s">
        <v>214</v>
      </c>
      <c r="H146" s="74" t="s">
        <v>105</v>
      </c>
      <c r="I146" s="3"/>
      <c r="M146" s="74"/>
    </row>
    <row r="147" spans="1:16">
      <c r="A147" s="15">
        <v>41474.936111111114</v>
      </c>
      <c r="B147" s="12" t="s">
        <v>146</v>
      </c>
      <c r="C147" s="12" t="s">
        <v>215</v>
      </c>
      <c r="D147" s="66">
        <v>41474.981249999997</v>
      </c>
      <c r="E147" s="81">
        <v>41474.936111111114</v>
      </c>
      <c r="F147" s="19" t="s">
        <v>146</v>
      </c>
      <c r="G147" s="19" t="s">
        <v>215</v>
      </c>
      <c r="H147" s="74" t="s">
        <v>105</v>
      </c>
      <c r="I147" s="3"/>
      <c r="M147" s="74"/>
    </row>
    <row r="148" spans="1:16">
      <c r="A148" s="15">
        <v>41474.936111111114</v>
      </c>
      <c r="B148" s="12" t="s">
        <v>216</v>
      </c>
      <c r="C148" s="12" t="s">
        <v>183</v>
      </c>
      <c r="D148" s="66">
        <v>41474.995833333334</v>
      </c>
      <c r="E148" s="81">
        <v>41474.936111111114</v>
      </c>
      <c r="F148" s="19" t="s">
        <v>216</v>
      </c>
      <c r="G148" s="19" t="s">
        <v>183</v>
      </c>
      <c r="H148" s="74" t="s">
        <v>105</v>
      </c>
      <c r="I148" s="3"/>
      <c r="M148" s="74"/>
    </row>
    <row r="149" spans="1:16">
      <c r="A149" s="15">
        <v>41494.056250000001</v>
      </c>
      <c r="B149" s="12" t="s">
        <v>204</v>
      </c>
      <c r="C149" s="12" t="s">
        <v>205</v>
      </c>
      <c r="D149" s="66">
        <v>41494.104861111111</v>
      </c>
      <c r="E149" s="81">
        <v>41494.056250000001</v>
      </c>
      <c r="F149" s="19" t="s">
        <v>204</v>
      </c>
      <c r="G149" s="19" t="s">
        <v>205</v>
      </c>
      <c r="H149" s="74" t="s">
        <v>105</v>
      </c>
      <c r="I149" s="3"/>
      <c r="M149" s="74"/>
    </row>
    <row r="150" spans="1:16">
      <c r="A150" s="15">
        <v>41494.081250000003</v>
      </c>
      <c r="B150" s="12" t="s">
        <v>206</v>
      </c>
      <c r="C150" s="12" t="s">
        <v>207</v>
      </c>
      <c r="D150" s="68">
        <v>41494.136111111111</v>
      </c>
      <c r="E150" s="81">
        <v>41494.081250000003</v>
      </c>
      <c r="F150" s="19" t="s">
        <v>206</v>
      </c>
      <c r="G150" s="19" t="s">
        <v>207</v>
      </c>
      <c r="H150" s="74" t="s">
        <v>105</v>
      </c>
      <c r="I150" s="3"/>
      <c r="M150" s="74"/>
    </row>
    <row r="151" spans="1:16">
      <c r="A151" s="15">
        <v>41494.104861111111</v>
      </c>
      <c r="B151" s="12" t="s">
        <v>206</v>
      </c>
      <c r="C151" s="12" t="s">
        <v>217</v>
      </c>
      <c r="D151" s="69">
        <v>41494.136111111111</v>
      </c>
      <c r="E151" s="81">
        <v>41494.104861111111</v>
      </c>
      <c r="F151" s="19" t="s">
        <v>206</v>
      </c>
      <c r="G151" s="19" t="s">
        <v>217</v>
      </c>
      <c r="H151" s="74" t="s">
        <v>105</v>
      </c>
      <c r="I151" s="3"/>
      <c r="M151" s="74"/>
    </row>
    <row r="152" spans="1:16">
      <c r="D152" s="62"/>
      <c r="E152" s="81">
        <v>41785.864583333336</v>
      </c>
      <c r="F152" s="19" t="s">
        <v>167</v>
      </c>
      <c r="G152" s="19" t="s">
        <v>183</v>
      </c>
      <c r="H152" s="74" t="s">
        <v>140</v>
      </c>
      <c r="I152" s="3">
        <v>41785.864583333336</v>
      </c>
      <c r="J152" s="19" t="s">
        <v>167</v>
      </c>
      <c r="K152" s="19" t="s">
        <v>183</v>
      </c>
      <c r="L152" s="19" t="s">
        <v>77</v>
      </c>
      <c r="M152" s="117" t="s">
        <v>74</v>
      </c>
      <c r="N152" s="24">
        <v>41785.722222222219</v>
      </c>
      <c r="O152" s="116">
        <v>41785.799305555556</v>
      </c>
      <c r="P152" s="20" t="s">
        <v>145</v>
      </c>
    </row>
    <row r="153" spans="1:16">
      <c r="A153" s="24"/>
      <c r="B153" s="19"/>
      <c r="C153" s="19"/>
      <c r="D153" s="62"/>
      <c r="E153" s="81">
        <v>41820.9375</v>
      </c>
      <c r="F153" s="18" t="s">
        <v>233</v>
      </c>
      <c r="G153" s="18" t="s">
        <v>234</v>
      </c>
      <c r="H153" s="74" t="s">
        <v>140</v>
      </c>
      <c r="I153" s="3">
        <v>41820.9375</v>
      </c>
      <c r="J153" s="18" t="s">
        <v>233</v>
      </c>
      <c r="K153" s="18" t="s">
        <v>234</v>
      </c>
      <c r="L153" s="21" t="s">
        <v>78</v>
      </c>
      <c r="M153" s="77" t="s">
        <v>74</v>
      </c>
      <c r="N153" s="24">
        <v>41820.56527777778</v>
      </c>
      <c r="O153" s="20" t="s">
        <v>193</v>
      </c>
      <c r="P153" s="20" t="s">
        <v>193</v>
      </c>
    </row>
    <row r="154" spans="1:16">
      <c r="A154" s="17">
        <v>41829.197222222225</v>
      </c>
      <c r="B154" s="23" t="s">
        <v>216</v>
      </c>
      <c r="C154" s="23" t="s">
        <v>181</v>
      </c>
      <c r="D154" s="70">
        <v>41829.223611111112</v>
      </c>
      <c r="E154" s="81">
        <v>41829.194444444445</v>
      </c>
      <c r="F154" s="110" t="s">
        <v>216</v>
      </c>
      <c r="G154" s="110" t="s">
        <v>181</v>
      </c>
      <c r="H154" s="74" t="s">
        <v>148</v>
      </c>
      <c r="I154" s="3">
        <v>41829.194444444445</v>
      </c>
      <c r="J154" s="18" t="s">
        <v>167</v>
      </c>
      <c r="K154" s="18" t="s">
        <v>181</v>
      </c>
      <c r="L154" s="21" t="s">
        <v>79</v>
      </c>
      <c r="M154" s="77" t="s">
        <v>80</v>
      </c>
      <c r="N154" s="22">
        <v>41828.62777777778</v>
      </c>
      <c r="O154" s="116">
        <v>41829.145138888889</v>
      </c>
      <c r="P154" s="20" t="s">
        <v>11</v>
      </c>
    </row>
    <row r="155" spans="1:16">
      <c r="A155" s="17">
        <v>41829.206944444442</v>
      </c>
      <c r="B155" s="18" t="s">
        <v>221</v>
      </c>
      <c r="C155" s="18" t="s">
        <v>229</v>
      </c>
      <c r="D155" s="70">
        <v>41829.243750000001</v>
      </c>
      <c r="E155" s="81">
        <v>41829.206944444442</v>
      </c>
      <c r="F155" s="19" t="s">
        <v>221</v>
      </c>
      <c r="G155" s="19" t="s">
        <v>229</v>
      </c>
      <c r="H155" s="74" t="s">
        <v>105</v>
      </c>
      <c r="I155" s="3"/>
      <c r="J155" s="19"/>
      <c r="K155" s="19"/>
      <c r="L155" s="19"/>
      <c r="M155" s="74"/>
      <c r="N155" s="20"/>
    </row>
    <row r="156" spans="1:16">
      <c r="A156" s="17">
        <v>41829.206944444442</v>
      </c>
      <c r="B156" s="23" t="s">
        <v>216</v>
      </c>
      <c r="C156" s="23" t="s">
        <v>180</v>
      </c>
      <c r="D156" s="70">
        <v>41829.223611111112</v>
      </c>
      <c r="E156" s="81">
        <v>41829.206944444442</v>
      </c>
      <c r="F156" s="110" t="s">
        <v>216</v>
      </c>
      <c r="G156" s="110" t="s">
        <v>180</v>
      </c>
      <c r="H156" s="74" t="s">
        <v>105</v>
      </c>
      <c r="I156" s="3"/>
      <c r="J156" s="18"/>
      <c r="K156" s="18"/>
      <c r="L156" s="21"/>
      <c r="M156" s="77"/>
      <c r="N156" s="20"/>
    </row>
    <row r="157" spans="1:16">
      <c r="A157" s="17">
        <v>41829.223611111112</v>
      </c>
      <c r="B157" s="18" t="s">
        <v>221</v>
      </c>
      <c r="C157" s="18" t="s">
        <v>177</v>
      </c>
      <c r="D157" s="70">
        <v>41829.277777777781</v>
      </c>
      <c r="E157" s="81">
        <v>41829.223611111112</v>
      </c>
      <c r="F157" s="19" t="s">
        <v>222</v>
      </c>
      <c r="G157" s="19" t="s">
        <v>188</v>
      </c>
      <c r="H157" s="74" t="s">
        <v>105</v>
      </c>
      <c r="I157" s="3"/>
      <c r="J157" s="19"/>
      <c r="K157" s="19"/>
      <c r="L157" s="19"/>
      <c r="M157" s="74"/>
      <c r="N157" s="20"/>
    </row>
    <row r="158" spans="1:16">
      <c r="A158" s="17">
        <v>41829.261111111111</v>
      </c>
      <c r="B158" s="18" t="s">
        <v>223</v>
      </c>
      <c r="C158" s="18" t="s">
        <v>224</v>
      </c>
      <c r="D158" s="70">
        <v>41829.277777777781</v>
      </c>
      <c r="E158" s="81">
        <v>41829.239583333336</v>
      </c>
      <c r="F158" s="20" t="s">
        <v>223</v>
      </c>
      <c r="G158" s="20" t="s">
        <v>224</v>
      </c>
      <c r="H158" s="74" t="s">
        <v>148</v>
      </c>
      <c r="I158" s="3">
        <v>41829.239583333336</v>
      </c>
      <c r="J158" s="18" t="s">
        <v>225</v>
      </c>
      <c r="K158" s="18" t="s">
        <v>224</v>
      </c>
      <c r="L158" s="21" t="s">
        <v>81</v>
      </c>
      <c r="M158" s="77" t="s">
        <v>226</v>
      </c>
      <c r="N158" s="22">
        <v>41829.237500000003</v>
      </c>
      <c r="O158" s="20" t="s">
        <v>193</v>
      </c>
      <c r="P158" s="20" t="s">
        <v>193</v>
      </c>
    </row>
    <row r="159" spans="1:16">
      <c r="A159" s="17">
        <v>41829.261111111111</v>
      </c>
      <c r="B159" s="18" t="s">
        <v>223</v>
      </c>
      <c r="C159" s="18" t="s">
        <v>224</v>
      </c>
      <c r="D159" s="70">
        <v>41829.277777777781</v>
      </c>
      <c r="E159" s="81">
        <v>41829.239583333336</v>
      </c>
      <c r="F159" s="20" t="s">
        <v>223</v>
      </c>
      <c r="G159" s="20" t="s">
        <v>224</v>
      </c>
      <c r="H159" s="74" t="s">
        <v>148</v>
      </c>
      <c r="I159" s="3">
        <v>41829.263888888891</v>
      </c>
      <c r="J159" s="110" t="s">
        <v>225</v>
      </c>
      <c r="K159" s="114" t="s">
        <v>224</v>
      </c>
      <c r="L159" s="110" t="s">
        <v>83</v>
      </c>
      <c r="M159" s="115" t="s">
        <v>80</v>
      </c>
      <c r="N159" s="22">
        <v>41829.237500000003</v>
      </c>
      <c r="O159" s="20" t="s">
        <v>142</v>
      </c>
      <c r="P159" s="20" t="s">
        <v>142</v>
      </c>
    </row>
    <row r="160" spans="1:16">
      <c r="D160" s="62"/>
      <c r="E160" s="81">
        <v>41851.850694444445</v>
      </c>
      <c r="F160" s="110" t="s">
        <v>169</v>
      </c>
      <c r="G160" s="110" t="s">
        <v>236</v>
      </c>
      <c r="H160" s="74" t="s">
        <v>140</v>
      </c>
      <c r="I160" s="3">
        <v>41851.850694444445</v>
      </c>
      <c r="J160" s="110" t="s">
        <v>169</v>
      </c>
      <c r="K160" s="110" t="s">
        <v>236</v>
      </c>
      <c r="L160" s="110" t="s">
        <v>84</v>
      </c>
      <c r="M160" s="115" t="s">
        <v>80</v>
      </c>
      <c r="N160" s="24">
        <v>41851.791666666664</v>
      </c>
      <c r="O160" s="116">
        <v>41851.814583333333</v>
      </c>
      <c r="P160" s="20" t="s">
        <v>145</v>
      </c>
    </row>
    <row r="161" spans="1:14">
      <c r="A161" s="17">
        <v>41877.977083333331</v>
      </c>
      <c r="B161" s="18" t="s">
        <v>219</v>
      </c>
      <c r="C161" s="18" t="s">
        <v>220</v>
      </c>
      <c r="D161" s="70">
        <v>41877.990972222222</v>
      </c>
      <c r="E161" s="81">
        <v>41877.977083333331</v>
      </c>
      <c r="F161" s="19" t="s">
        <v>219</v>
      </c>
      <c r="G161" s="19" t="s">
        <v>220</v>
      </c>
      <c r="H161" s="74" t="s">
        <v>105</v>
      </c>
      <c r="I161" s="3"/>
      <c r="J161" s="19"/>
      <c r="K161" s="19"/>
      <c r="L161" s="19"/>
      <c r="M161" s="74"/>
      <c r="N161" s="20"/>
    </row>
    <row r="162" spans="1:14">
      <c r="A162" s="17">
        <v>41877.977083333331</v>
      </c>
      <c r="B162" s="18" t="s">
        <v>227</v>
      </c>
      <c r="C162" s="18" t="s">
        <v>228</v>
      </c>
      <c r="D162" s="70">
        <v>41878.044444444444</v>
      </c>
      <c r="E162" s="81">
        <v>41877.977083333331</v>
      </c>
      <c r="F162" s="19" t="s">
        <v>227</v>
      </c>
      <c r="G162" s="19" t="s">
        <v>228</v>
      </c>
      <c r="H162" s="74" t="s">
        <v>105</v>
      </c>
      <c r="I162" s="3"/>
      <c r="J162" s="19"/>
      <c r="K162" s="19"/>
      <c r="L162" s="19"/>
      <c r="M162" s="74"/>
      <c r="N162" s="20"/>
    </row>
    <row r="163" spans="1:14">
      <c r="A163" s="17">
        <v>41877.977083333331</v>
      </c>
      <c r="B163" s="18" t="s">
        <v>227</v>
      </c>
      <c r="C163" s="18" t="s">
        <v>232</v>
      </c>
      <c r="D163" s="70">
        <v>41878.044444444444</v>
      </c>
      <c r="E163" s="81">
        <v>41877.977083333331</v>
      </c>
      <c r="F163" s="18" t="s">
        <v>227</v>
      </c>
      <c r="G163" s="18" t="s">
        <v>232</v>
      </c>
      <c r="H163" s="74" t="s">
        <v>105</v>
      </c>
      <c r="I163" s="3"/>
      <c r="J163" s="19"/>
      <c r="K163" s="19"/>
      <c r="L163" s="19"/>
      <c r="M163" s="74"/>
      <c r="N163" s="20"/>
    </row>
    <row r="164" spans="1:14">
      <c r="A164" s="17">
        <v>41877.977083333331</v>
      </c>
      <c r="B164" s="18" t="s">
        <v>204</v>
      </c>
      <c r="C164" s="18" t="s">
        <v>205</v>
      </c>
      <c r="D164" s="70">
        <v>41877.990972222222</v>
      </c>
      <c r="E164" s="81">
        <v>41877.977083333331</v>
      </c>
      <c r="F164" s="19" t="s">
        <v>204</v>
      </c>
      <c r="G164" s="19" t="s">
        <v>205</v>
      </c>
      <c r="H164" s="74" t="s">
        <v>105</v>
      </c>
      <c r="I164" s="3"/>
      <c r="J164" s="19"/>
      <c r="K164" s="19"/>
      <c r="L164" s="19"/>
      <c r="M164" s="74"/>
      <c r="N164" s="20"/>
    </row>
    <row r="165" spans="1:14">
      <c r="A165" s="17">
        <v>41877.990972222222</v>
      </c>
      <c r="B165" s="18" t="s">
        <v>206</v>
      </c>
      <c r="C165" s="18" t="s">
        <v>207</v>
      </c>
      <c r="D165" s="70">
        <v>41878.044444444444</v>
      </c>
      <c r="E165" s="81">
        <v>41877.990972222222</v>
      </c>
      <c r="F165" s="19" t="s">
        <v>206</v>
      </c>
      <c r="G165" s="19" t="s">
        <v>207</v>
      </c>
      <c r="H165" s="74" t="s">
        <v>105</v>
      </c>
      <c r="I165" s="3"/>
      <c r="J165" s="19"/>
      <c r="K165" s="19"/>
      <c r="L165" s="19"/>
      <c r="M165" s="74"/>
      <c r="N165" s="20"/>
    </row>
    <row r="166" spans="1:14">
      <c r="A166" s="17">
        <v>41878.003472222219</v>
      </c>
      <c r="B166" s="25" t="s">
        <v>206</v>
      </c>
      <c r="C166" s="25" t="s">
        <v>208</v>
      </c>
      <c r="D166" s="71">
        <v>41878.044444444444</v>
      </c>
      <c r="E166" s="81">
        <v>41878.003472222219</v>
      </c>
      <c r="F166" s="19" t="s">
        <v>206</v>
      </c>
      <c r="G166" s="19" t="s">
        <v>208</v>
      </c>
      <c r="H166" s="74" t="s">
        <v>105</v>
      </c>
      <c r="I166" s="3"/>
      <c r="J166" s="19"/>
      <c r="K166" s="19"/>
      <c r="L166" s="19"/>
      <c r="M166" s="74"/>
      <c r="N166" s="20"/>
    </row>
    <row r="167" spans="1:14">
      <c r="A167" s="17">
        <v>41878.003472222219</v>
      </c>
      <c r="B167" s="25" t="s">
        <v>206</v>
      </c>
      <c r="C167" s="25" t="s">
        <v>235</v>
      </c>
      <c r="D167" s="71">
        <v>41878.044444444444</v>
      </c>
      <c r="E167" s="81">
        <v>41878.003472222219</v>
      </c>
      <c r="F167" s="19" t="s">
        <v>206</v>
      </c>
      <c r="G167" s="19" t="s">
        <v>235</v>
      </c>
      <c r="H167" s="74" t="s">
        <v>105</v>
      </c>
      <c r="I167" s="3"/>
      <c r="J167" s="19"/>
      <c r="K167" s="19"/>
      <c r="L167" s="19"/>
      <c r="M167" s="74"/>
      <c r="N167" s="20"/>
    </row>
    <row r="168" spans="1:14">
      <c r="A168" s="17">
        <v>41878.01666666667</v>
      </c>
      <c r="B168" s="18" t="s">
        <v>206</v>
      </c>
      <c r="C168" s="18" t="s">
        <v>217</v>
      </c>
      <c r="D168" s="70">
        <v>41878.044444444444</v>
      </c>
      <c r="E168" s="81">
        <v>41878.01666666667</v>
      </c>
      <c r="F168" s="19" t="s">
        <v>206</v>
      </c>
      <c r="G168" s="19" t="s">
        <v>217</v>
      </c>
      <c r="H168" s="74" t="s">
        <v>105</v>
      </c>
      <c r="I168" s="3"/>
      <c r="J168" s="19"/>
      <c r="K168" s="19"/>
      <c r="L168" s="19"/>
      <c r="M168" s="74"/>
      <c r="N168" s="20"/>
    </row>
    <row r="169" spans="1:14">
      <c r="A169" s="17">
        <v>41878.032638888886</v>
      </c>
      <c r="B169" s="18" t="s">
        <v>206</v>
      </c>
      <c r="C169" s="18" t="s">
        <v>218</v>
      </c>
      <c r="D169" s="70">
        <v>41878.044444444444</v>
      </c>
      <c r="E169" s="81">
        <v>41878.032638888886</v>
      </c>
      <c r="F169" s="19" t="s">
        <v>206</v>
      </c>
      <c r="G169" s="19" t="s">
        <v>218</v>
      </c>
      <c r="H169" s="74" t="s">
        <v>105</v>
      </c>
      <c r="I169" s="3"/>
      <c r="J169" s="19"/>
      <c r="K169" s="19"/>
      <c r="L169" s="19"/>
      <c r="M169" s="74"/>
      <c r="N169" s="20"/>
    </row>
    <row r="170" spans="1:14">
      <c r="A170" s="17">
        <v>41878.032638888886</v>
      </c>
      <c r="B170" s="18" t="s">
        <v>230</v>
      </c>
      <c r="C170" s="18" t="s">
        <v>231</v>
      </c>
      <c r="D170" s="70">
        <v>41878.044444444444</v>
      </c>
      <c r="E170" s="81">
        <v>41878.032638888886</v>
      </c>
      <c r="F170" s="19" t="s">
        <v>221</v>
      </c>
      <c r="G170" s="19" t="s">
        <v>229</v>
      </c>
      <c r="H170" s="74" t="s">
        <v>105</v>
      </c>
      <c r="I170" s="3"/>
      <c r="J170" s="19"/>
      <c r="K170" s="19"/>
      <c r="L170" s="19"/>
      <c r="M170" s="74"/>
      <c r="N170" s="20"/>
    </row>
    <row r="171" spans="1:14">
      <c r="A171" s="3">
        <v>42143.81527777778</v>
      </c>
      <c r="B171" s="4" t="s">
        <v>209</v>
      </c>
      <c r="C171" s="4" t="s">
        <v>211</v>
      </c>
      <c r="D171" s="62">
        <v>42143.845138888886</v>
      </c>
      <c r="E171" s="81">
        <v>42143.81527777778</v>
      </c>
      <c r="F171" s="4" t="s">
        <v>209</v>
      </c>
      <c r="G171" s="4" t="s">
        <v>211</v>
      </c>
      <c r="H171" s="74" t="s">
        <v>105</v>
      </c>
      <c r="I171" s="3"/>
      <c r="M171" s="74"/>
    </row>
    <row r="172" spans="1:14">
      <c r="A172" s="3">
        <v>42143.81527777778</v>
      </c>
      <c r="B172" s="4" t="s">
        <v>209</v>
      </c>
      <c r="C172" s="4" t="s">
        <v>197</v>
      </c>
      <c r="D172" s="62">
        <v>42143.845138888886</v>
      </c>
      <c r="E172" s="81">
        <v>42143.81527777778</v>
      </c>
      <c r="F172" s="4" t="s">
        <v>209</v>
      </c>
      <c r="G172" s="4" t="s">
        <v>197</v>
      </c>
      <c r="H172" s="74" t="s">
        <v>105</v>
      </c>
      <c r="I172" s="3"/>
      <c r="M172" s="74"/>
    </row>
    <row r="173" spans="1:14">
      <c r="A173" s="3">
        <v>42143.81527777778</v>
      </c>
      <c r="B173" s="4" t="s">
        <v>209</v>
      </c>
      <c r="C173" s="4" t="s">
        <v>210</v>
      </c>
      <c r="D173" s="62">
        <v>42143.845138888886</v>
      </c>
      <c r="E173" s="81">
        <v>42143.81527777778</v>
      </c>
      <c r="F173" s="4" t="s">
        <v>209</v>
      </c>
      <c r="G173" s="4" t="s">
        <v>210</v>
      </c>
      <c r="H173" s="74" t="s">
        <v>105</v>
      </c>
      <c r="I173" s="3"/>
      <c r="M173" s="74"/>
    </row>
    <row r="174" spans="1:14">
      <c r="A174" s="3">
        <v>42143.81527777778</v>
      </c>
      <c r="B174" s="4" t="s">
        <v>209</v>
      </c>
      <c r="C174" s="4" t="s">
        <v>212</v>
      </c>
      <c r="D174" s="62">
        <v>42143.873611111114</v>
      </c>
      <c r="E174" s="81">
        <v>42143.81527777778</v>
      </c>
      <c r="F174" s="4" t="s">
        <v>209</v>
      </c>
      <c r="G174" s="4" t="s">
        <v>212</v>
      </c>
      <c r="H174" s="74" t="s">
        <v>105</v>
      </c>
      <c r="I174" s="3"/>
      <c r="M174" s="74"/>
    </row>
    <row r="175" spans="1:14">
      <c r="A175" s="3">
        <v>42143.88958333333</v>
      </c>
      <c r="B175" s="4" t="s">
        <v>202</v>
      </c>
      <c r="C175" s="4" t="s">
        <v>236</v>
      </c>
      <c r="D175" s="62">
        <v>42143.943055555559</v>
      </c>
      <c r="E175" s="81">
        <v>42143.88958333333</v>
      </c>
      <c r="F175" s="4" t="s">
        <v>202</v>
      </c>
      <c r="G175" s="4" t="s">
        <v>236</v>
      </c>
      <c r="H175" s="74" t="s">
        <v>105</v>
      </c>
      <c r="I175" s="3"/>
      <c r="M175" s="74"/>
    </row>
    <row r="176" spans="1:14">
      <c r="A176" s="3">
        <v>42143.88958333333</v>
      </c>
      <c r="B176" s="4" t="s">
        <v>202</v>
      </c>
      <c r="C176" s="4" t="s">
        <v>237</v>
      </c>
      <c r="D176" s="62">
        <v>42143.943055555559</v>
      </c>
      <c r="E176" s="81">
        <v>42143.88958333333</v>
      </c>
      <c r="F176" s="4" t="s">
        <v>202</v>
      </c>
      <c r="G176" s="4" t="s">
        <v>237</v>
      </c>
      <c r="H176" s="74" t="s">
        <v>105</v>
      </c>
      <c r="I176" s="3"/>
      <c r="M176" s="74"/>
    </row>
    <row r="177" spans="1:16">
      <c r="D177" s="62"/>
      <c r="E177" s="81">
        <v>42219.802083333336</v>
      </c>
      <c r="F177" s="4" t="s">
        <v>238</v>
      </c>
      <c r="G177" s="4" t="s">
        <v>239</v>
      </c>
      <c r="H177" s="74" t="s">
        <v>140</v>
      </c>
      <c r="I177" s="3">
        <v>42219.802083333336</v>
      </c>
      <c r="J177" s="4" t="s">
        <v>238</v>
      </c>
      <c r="K177" s="4" t="s">
        <v>239</v>
      </c>
      <c r="L177" s="3" t="s">
        <v>240</v>
      </c>
      <c r="M177" s="74" t="s">
        <v>74</v>
      </c>
      <c r="N177" s="3">
        <v>42219.727083333331</v>
      </c>
      <c r="O177" s="4" t="s">
        <v>142</v>
      </c>
      <c r="P177" s="3" t="s">
        <v>142</v>
      </c>
    </row>
    <row r="178" spans="1:16">
      <c r="D178" s="62"/>
      <c r="E178" s="81">
        <v>42555.802083333336</v>
      </c>
      <c r="F178" s="4" t="s">
        <v>241</v>
      </c>
      <c r="G178" s="4" t="s">
        <v>242</v>
      </c>
      <c r="H178" s="74" t="s">
        <v>140</v>
      </c>
      <c r="I178" s="3">
        <v>42555.802083333336</v>
      </c>
      <c r="J178" s="4" t="s">
        <v>241</v>
      </c>
      <c r="K178" s="4" t="s">
        <v>242</v>
      </c>
      <c r="L178" s="3" t="s">
        <v>243</v>
      </c>
      <c r="M178" s="74" t="s">
        <v>74</v>
      </c>
      <c r="N178" s="7">
        <v>42555.634722222225</v>
      </c>
      <c r="O178" s="26" t="s">
        <v>148</v>
      </c>
      <c r="P178" s="20" t="s">
        <v>142</v>
      </c>
    </row>
    <row r="179" spans="1:16">
      <c r="D179" s="62"/>
      <c r="E179" s="81">
        <v>42523.916666666664</v>
      </c>
      <c r="F179" s="4" t="s">
        <v>206</v>
      </c>
      <c r="G179" s="4" t="s">
        <v>208</v>
      </c>
      <c r="H179" s="74" t="s">
        <v>140</v>
      </c>
      <c r="I179" s="3">
        <v>42523.916666666664</v>
      </c>
      <c r="J179" s="4" t="s">
        <v>206</v>
      </c>
      <c r="K179" s="4" t="s">
        <v>208</v>
      </c>
      <c r="L179" s="3" t="s">
        <v>85</v>
      </c>
      <c r="M179" s="74" t="s">
        <v>74</v>
      </c>
      <c r="N179" s="3">
        <v>42541.636805555558</v>
      </c>
      <c r="O179" s="4" t="s">
        <v>142</v>
      </c>
      <c r="P179" s="3" t="s">
        <v>142</v>
      </c>
    </row>
    <row r="180" spans="1:16">
      <c r="D180" s="62"/>
      <c r="E180" s="81">
        <v>42542.052083333336</v>
      </c>
      <c r="F180" s="4" t="s">
        <v>227</v>
      </c>
      <c r="G180" s="4" t="s">
        <v>232</v>
      </c>
      <c r="H180" s="74" t="s">
        <v>140</v>
      </c>
      <c r="I180" s="3">
        <v>42542.052083333336</v>
      </c>
      <c r="J180" s="4" t="s">
        <v>227</v>
      </c>
      <c r="K180" s="4" t="s">
        <v>232</v>
      </c>
      <c r="L180" s="3" t="s">
        <v>86</v>
      </c>
      <c r="M180" s="74" t="s">
        <v>82</v>
      </c>
      <c r="N180" s="3">
        <v>42541.636805555558</v>
      </c>
      <c r="O180" s="3">
        <v>42541.824305555558</v>
      </c>
      <c r="P180" s="3" t="s">
        <v>145</v>
      </c>
    </row>
    <row r="181" spans="1:16">
      <c r="D181" s="62"/>
      <c r="E181" s="81">
        <v>42569.652777777781</v>
      </c>
      <c r="F181" s="4" t="s">
        <v>216</v>
      </c>
      <c r="G181" s="4" t="s">
        <v>168</v>
      </c>
      <c r="H181" s="74" t="s">
        <v>140</v>
      </c>
      <c r="I181" s="3">
        <v>42569.652777777781</v>
      </c>
      <c r="J181" s="4" t="s">
        <v>216</v>
      </c>
      <c r="K181" s="4" t="s">
        <v>168</v>
      </c>
      <c r="L181" s="3" t="s">
        <v>244</v>
      </c>
      <c r="M181" s="74" t="s">
        <v>80</v>
      </c>
      <c r="N181" s="7">
        <v>42569.574999999997</v>
      </c>
      <c r="O181" s="7">
        <v>42569.634027777778</v>
      </c>
      <c r="P181" s="3" t="s">
        <v>142</v>
      </c>
    </row>
    <row r="182" spans="1:16">
      <c r="A182" s="53">
        <v>42573.709027777775</v>
      </c>
      <c r="B182" s="19" t="s">
        <v>221</v>
      </c>
      <c r="C182" s="19" t="s">
        <v>229</v>
      </c>
      <c r="D182" s="72">
        <v>42573.777777777781</v>
      </c>
      <c r="E182" s="81">
        <f>A182</f>
        <v>42573.709027777775</v>
      </c>
      <c r="F182" s="4" t="s">
        <v>221</v>
      </c>
      <c r="G182" s="4" t="s">
        <v>229</v>
      </c>
      <c r="H182" s="74" t="s">
        <v>105</v>
      </c>
      <c r="I182" s="3"/>
      <c r="M182" s="74"/>
    </row>
    <row r="183" spans="1:16">
      <c r="D183" s="62"/>
      <c r="E183" s="81">
        <v>42904.819444444445</v>
      </c>
      <c r="F183" s="4" t="s">
        <v>241</v>
      </c>
      <c r="G183" s="4" t="s">
        <v>242</v>
      </c>
      <c r="H183" s="74" t="s">
        <v>140</v>
      </c>
      <c r="I183" s="3">
        <v>42904.819444444445</v>
      </c>
      <c r="J183" s="4" t="s">
        <v>241</v>
      </c>
      <c r="K183" s="4" t="s">
        <v>242</v>
      </c>
      <c r="L183" s="3" t="s">
        <v>93</v>
      </c>
      <c r="M183" s="74" t="s">
        <v>82</v>
      </c>
    </row>
    <row r="184" spans="1:16">
      <c r="D184" s="62"/>
      <c r="E184" s="81">
        <v>42904.854166666664</v>
      </c>
      <c r="F184" s="4" t="s">
        <v>241</v>
      </c>
      <c r="G184" s="4" t="s">
        <v>242</v>
      </c>
      <c r="H184" s="74" t="s">
        <v>140</v>
      </c>
      <c r="I184" s="3">
        <v>42904.854166666664</v>
      </c>
      <c r="J184" s="4" t="s">
        <v>241</v>
      </c>
      <c r="K184" s="4" t="s">
        <v>242</v>
      </c>
      <c r="L184" s="3" t="s">
        <v>95</v>
      </c>
      <c r="M184" s="74" t="s">
        <v>80</v>
      </c>
      <c r="N184" s="3">
        <v>42904.84097222222</v>
      </c>
      <c r="O184" s="4" t="s">
        <v>142</v>
      </c>
      <c r="P184" s="3" t="s">
        <v>142</v>
      </c>
    </row>
    <row r="185" spans="1:16">
      <c r="D185" s="62"/>
      <c r="E185" s="81">
        <v>42904.756944444445</v>
      </c>
      <c r="F185" s="4" t="s">
        <v>174</v>
      </c>
      <c r="G185" s="4" t="s">
        <v>245</v>
      </c>
      <c r="H185" s="74" t="s">
        <v>140</v>
      </c>
      <c r="I185" s="3">
        <v>42904.756944444445</v>
      </c>
      <c r="J185" s="4" t="s">
        <v>174</v>
      </c>
      <c r="K185" s="4" t="s">
        <v>245</v>
      </c>
      <c r="L185" s="3" t="s">
        <v>90</v>
      </c>
      <c r="M185" s="74" t="s">
        <v>82</v>
      </c>
      <c r="N185" s="4" t="s">
        <v>142</v>
      </c>
      <c r="O185" s="4" t="s">
        <v>142</v>
      </c>
      <c r="P185" s="3" t="s">
        <v>142</v>
      </c>
    </row>
    <row r="186" spans="1:16">
      <c r="D186" s="62"/>
      <c r="E186" s="81">
        <v>42904.809027777781</v>
      </c>
      <c r="F186" s="4" t="s">
        <v>222</v>
      </c>
      <c r="G186" s="4" t="s">
        <v>188</v>
      </c>
      <c r="H186" s="74" t="s">
        <v>140</v>
      </c>
      <c r="I186" s="3">
        <v>42904.809027777781</v>
      </c>
      <c r="J186" s="4" t="s">
        <v>222</v>
      </c>
      <c r="K186" s="4" t="s">
        <v>188</v>
      </c>
      <c r="L186" s="3" t="s">
        <v>246</v>
      </c>
      <c r="M186" s="74" t="s">
        <v>74</v>
      </c>
      <c r="N186" s="4" t="s">
        <v>142</v>
      </c>
      <c r="O186" s="4" t="s">
        <v>142</v>
      </c>
      <c r="P186" s="3" t="s">
        <v>142</v>
      </c>
    </row>
    <row r="187" spans="1:16">
      <c r="D187" s="62"/>
      <c r="E187" s="81">
        <v>42969.923611111109</v>
      </c>
      <c r="F187" s="4" t="s">
        <v>191</v>
      </c>
      <c r="G187" s="4" t="s">
        <v>152</v>
      </c>
      <c r="H187" s="74" t="s">
        <v>140</v>
      </c>
      <c r="I187" s="3">
        <v>42969.923611111109</v>
      </c>
      <c r="J187" s="4" t="s">
        <v>191</v>
      </c>
      <c r="K187" s="4" t="s">
        <v>152</v>
      </c>
      <c r="L187" s="3" t="s">
        <v>99</v>
      </c>
      <c r="M187" s="74" t="s">
        <v>80</v>
      </c>
      <c r="N187" s="7">
        <v>42969.336111111108</v>
      </c>
      <c r="O187" s="3">
        <v>42969.919444444444</v>
      </c>
      <c r="P187" s="3" t="s">
        <v>145</v>
      </c>
    </row>
    <row r="188" spans="1:16">
      <c r="D188" s="62"/>
      <c r="E188" s="81">
        <v>42904.881944444445</v>
      </c>
      <c r="F188" s="4" t="s">
        <v>138</v>
      </c>
      <c r="G188" s="4" t="s">
        <v>139</v>
      </c>
      <c r="H188" s="74" t="s">
        <v>140</v>
      </c>
      <c r="I188" s="3">
        <v>42904.881944444445</v>
      </c>
      <c r="J188" s="4" t="s">
        <v>138</v>
      </c>
      <c r="K188" s="4" t="s">
        <v>139</v>
      </c>
      <c r="L188" s="3" t="s">
        <v>97</v>
      </c>
      <c r="M188" s="74" t="s">
        <v>82</v>
      </c>
      <c r="N188" s="3">
        <v>42904.84097222222</v>
      </c>
      <c r="O188" s="3">
        <v>42904.841666666667</v>
      </c>
      <c r="P188" s="3" t="s">
        <v>142</v>
      </c>
    </row>
    <row r="189" spans="1:16">
      <c r="D189" s="62"/>
      <c r="E189" s="81">
        <v>42904.715277777781</v>
      </c>
      <c r="F189" s="4" t="s">
        <v>230</v>
      </c>
      <c r="G189" s="4" t="s">
        <v>173</v>
      </c>
      <c r="H189" s="74" t="s">
        <v>140</v>
      </c>
      <c r="I189" s="3">
        <v>42904.715277777781</v>
      </c>
      <c r="J189" s="4" t="s">
        <v>230</v>
      </c>
      <c r="K189" s="4" t="s">
        <v>173</v>
      </c>
      <c r="L189" s="3" t="s">
        <v>87</v>
      </c>
      <c r="M189" s="74" t="s">
        <v>88</v>
      </c>
      <c r="N189" s="7">
        <v>42904.597222222219</v>
      </c>
      <c r="O189" s="4" t="s">
        <v>142</v>
      </c>
      <c r="P189" s="3" t="s">
        <v>142</v>
      </c>
    </row>
    <row r="190" spans="1:16">
      <c r="D190" s="62"/>
      <c r="E190" s="81">
        <v>42904.729166666664</v>
      </c>
      <c r="F190" s="4" t="s">
        <v>230</v>
      </c>
      <c r="G190" s="4" t="s">
        <v>173</v>
      </c>
      <c r="H190" s="74" t="s">
        <v>140</v>
      </c>
      <c r="I190" s="3">
        <v>42904.729166666664</v>
      </c>
      <c r="J190" s="4" t="s">
        <v>230</v>
      </c>
      <c r="K190" s="4" t="s">
        <v>173</v>
      </c>
      <c r="L190" s="3" t="s">
        <v>89</v>
      </c>
      <c r="M190" s="74" t="s">
        <v>80</v>
      </c>
      <c r="N190" s="7">
        <v>42904.597222222219</v>
      </c>
      <c r="O190" s="4" t="s">
        <v>142</v>
      </c>
      <c r="P190" s="3" t="s">
        <v>142</v>
      </c>
    </row>
    <row r="191" spans="1:16">
      <c r="D191" s="62"/>
      <c r="E191" s="81">
        <v>43023.833333333336</v>
      </c>
      <c r="F191" s="4" t="s">
        <v>230</v>
      </c>
      <c r="G191" s="4" t="s">
        <v>173</v>
      </c>
      <c r="H191" s="74" t="s">
        <v>140</v>
      </c>
      <c r="I191" s="3">
        <v>43023.833333333336</v>
      </c>
      <c r="J191" s="4" t="s">
        <v>230</v>
      </c>
      <c r="K191" s="4" t="s">
        <v>173</v>
      </c>
      <c r="L191" s="3" t="s">
        <v>100</v>
      </c>
      <c r="M191" s="74" t="s">
        <v>74</v>
      </c>
      <c r="N191" s="4" t="s">
        <v>142</v>
      </c>
      <c r="O191" s="4" t="s">
        <v>142</v>
      </c>
      <c r="P191" s="3" t="s">
        <v>142</v>
      </c>
    </row>
    <row r="192" spans="1:16">
      <c r="D192" s="62"/>
      <c r="E192" s="81">
        <v>42952.8125</v>
      </c>
      <c r="F192" s="4" t="s">
        <v>221</v>
      </c>
      <c r="G192" s="4" t="s">
        <v>229</v>
      </c>
      <c r="H192" s="74" t="s">
        <v>140</v>
      </c>
      <c r="I192" s="3">
        <v>42952.8125</v>
      </c>
      <c r="J192" s="4" t="s">
        <v>221</v>
      </c>
      <c r="K192" s="4" t="s">
        <v>229</v>
      </c>
      <c r="L192" s="3" t="s">
        <v>98</v>
      </c>
      <c r="M192" s="74" t="s">
        <v>80</v>
      </c>
      <c r="N192" s="3">
        <v>42952.638194444444</v>
      </c>
      <c r="O192" s="4" t="s">
        <v>142</v>
      </c>
      <c r="P192" s="3" t="s">
        <v>142</v>
      </c>
    </row>
    <row r="193" spans="1:19" s="16" customFormat="1">
      <c r="A193" s="3"/>
      <c r="B193" s="4"/>
      <c r="C193" s="4"/>
      <c r="D193" s="62"/>
      <c r="E193" s="81">
        <v>42904.770833333336</v>
      </c>
      <c r="F193" s="4" t="s">
        <v>247</v>
      </c>
      <c r="G193" s="4" t="s">
        <v>232</v>
      </c>
      <c r="H193" s="74" t="s">
        <v>140</v>
      </c>
      <c r="I193" s="3">
        <v>42904.770833333336</v>
      </c>
      <c r="J193" s="4" t="s">
        <v>247</v>
      </c>
      <c r="K193" s="4" t="s">
        <v>232</v>
      </c>
      <c r="L193" s="3" t="s">
        <v>91</v>
      </c>
      <c r="M193" s="74" t="s">
        <v>80</v>
      </c>
      <c r="N193" s="16" t="s">
        <v>142</v>
      </c>
      <c r="O193" s="16" t="s">
        <v>142</v>
      </c>
      <c r="P193" s="16" t="s">
        <v>142</v>
      </c>
      <c r="Q193" s="20"/>
      <c r="R193" s="20"/>
      <c r="S193" s="20"/>
    </row>
    <row r="194" spans="1:19">
      <c r="D194" s="62"/>
      <c r="E194" s="81">
        <v>42904.805555555555</v>
      </c>
      <c r="F194" s="4" t="s">
        <v>247</v>
      </c>
      <c r="G194" s="4" t="s">
        <v>232</v>
      </c>
      <c r="H194" s="74" t="s">
        <v>140</v>
      </c>
      <c r="I194" s="3">
        <v>42904.805555555555</v>
      </c>
      <c r="J194" s="4" t="s">
        <v>247</v>
      </c>
      <c r="K194" s="4" t="s">
        <v>232</v>
      </c>
      <c r="L194" s="3" t="s">
        <v>92</v>
      </c>
      <c r="M194" s="74" t="s">
        <v>82</v>
      </c>
      <c r="N194" s="4" t="s">
        <v>142</v>
      </c>
      <c r="O194" s="4" t="s">
        <v>142</v>
      </c>
      <c r="P194" s="3" t="s">
        <v>142</v>
      </c>
    </row>
    <row r="195" spans="1:19">
      <c r="D195" s="62"/>
      <c r="E195" s="81">
        <v>42904.847222222219</v>
      </c>
      <c r="F195" s="4" t="s">
        <v>248</v>
      </c>
      <c r="G195" s="4" t="s">
        <v>175</v>
      </c>
      <c r="H195" s="74" t="s">
        <v>140</v>
      </c>
      <c r="I195" s="3">
        <v>42904.847222222219</v>
      </c>
      <c r="J195" s="4" t="s">
        <v>248</v>
      </c>
      <c r="K195" s="4" t="s">
        <v>175</v>
      </c>
      <c r="L195" s="3" t="s">
        <v>94</v>
      </c>
      <c r="M195" s="74" t="s">
        <v>82</v>
      </c>
      <c r="N195" s="3">
        <v>42904.84097222222</v>
      </c>
      <c r="O195" s="4" t="s">
        <v>142</v>
      </c>
      <c r="P195" s="3" t="s">
        <v>142</v>
      </c>
    </row>
    <row r="196" spans="1:19">
      <c r="D196" s="62"/>
      <c r="E196" s="81">
        <v>42904.868055555555</v>
      </c>
      <c r="F196" s="4" t="s">
        <v>249</v>
      </c>
      <c r="G196" s="4" t="s">
        <v>250</v>
      </c>
      <c r="H196" s="74" t="s">
        <v>140</v>
      </c>
      <c r="I196" s="3">
        <v>42904.868055555555</v>
      </c>
      <c r="J196" s="4" t="s">
        <v>249</v>
      </c>
      <c r="K196" s="4" t="s">
        <v>250</v>
      </c>
      <c r="L196" s="3" t="s">
        <v>96</v>
      </c>
      <c r="M196" s="74" t="s">
        <v>80</v>
      </c>
      <c r="N196" s="4" t="s">
        <v>142</v>
      </c>
      <c r="O196" s="4" t="s">
        <v>142</v>
      </c>
      <c r="P196" s="3" t="s">
        <v>142</v>
      </c>
    </row>
    <row r="197" spans="1:19">
      <c r="A197" s="27">
        <v>42898.945833333331</v>
      </c>
      <c r="B197" s="12" t="s">
        <v>202</v>
      </c>
      <c r="C197" s="12" t="s">
        <v>236</v>
      </c>
      <c r="D197" s="73">
        <v>42898.972916666666</v>
      </c>
      <c r="E197" s="81">
        <v>42898.945833333331</v>
      </c>
      <c r="F197" s="19" t="s">
        <v>202</v>
      </c>
      <c r="G197" s="19" t="s">
        <v>236</v>
      </c>
      <c r="H197" s="74" t="s">
        <v>105</v>
      </c>
      <c r="I197" s="3"/>
      <c r="M197" s="74"/>
    </row>
    <row r="198" spans="1:19">
      <c r="A198" s="27">
        <v>42898.945833333331</v>
      </c>
      <c r="B198" s="12" t="s">
        <v>202</v>
      </c>
      <c r="C198" s="12" t="s">
        <v>237</v>
      </c>
      <c r="D198" s="73">
        <v>42898.972916666666</v>
      </c>
      <c r="E198" s="81">
        <v>42898.945833333331</v>
      </c>
      <c r="F198" s="19" t="s">
        <v>202</v>
      </c>
      <c r="G198" s="19" t="s">
        <v>237</v>
      </c>
      <c r="H198" s="74" t="s">
        <v>105</v>
      </c>
      <c r="I198" s="3"/>
      <c r="M198" s="48"/>
    </row>
    <row r="199" spans="1:19">
      <c r="A199" s="27">
        <v>42898.945833333331</v>
      </c>
      <c r="B199" s="12" t="s">
        <v>202</v>
      </c>
      <c r="C199" s="12" t="s">
        <v>170</v>
      </c>
      <c r="D199" s="73">
        <v>42898.972916666666</v>
      </c>
      <c r="E199" s="81">
        <v>42898.945833333331</v>
      </c>
      <c r="F199" s="19" t="s">
        <v>202</v>
      </c>
      <c r="G199" s="19" t="s">
        <v>170</v>
      </c>
      <c r="H199" s="74" t="s">
        <v>105</v>
      </c>
      <c r="I199" s="3"/>
      <c r="M199" s="48"/>
    </row>
    <row r="200" spans="1:19">
      <c r="A200" s="27">
        <v>42898.945833333331</v>
      </c>
      <c r="B200" s="12" t="s">
        <v>202</v>
      </c>
      <c r="C200" s="12" t="s">
        <v>251</v>
      </c>
      <c r="D200" s="73">
        <v>42898.972916666666</v>
      </c>
      <c r="E200" s="81">
        <v>42898.945833333331</v>
      </c>
      <c r="F200" s="19" t="s">
        <v>202</v>
      </c>
      <c r="G200" s="19" t="s">
        <v>251</v>
      </c>
      <c r="H200" s="74" t="s">
        <v>105</v>
      </c>
      <c r="I200" s="3"/>
      <c r="M200" s="48"/>
    </row>
    <row r="201" spans="1:19">
      <c r="A201" s="27">
        <v>42898.945833333331</v>
      </c>
      <c r="B201" s="12" t="s">
        <v>202</v>
      </c>
      <c r="C201" s="12" t="s">
        <v>252</v>
      </c>
      <c r="D201" s="73">
        <v>42898.972916666666</v>
      </c>
      <c r="E201" s="81">
        <v>42898.945833333331</v>
      </c>
      <c r="F201" s="19" t="s">
        <v>202</v>
      </c>
      <c r="G201" s="19" t="s">
        <v>252</v>
      </c>
      <c r="H201" s="74" t="s">
        <v>105</v>
      </c>
      <c r="I201" s="3"/>
      <c r="M201" s="48"/>
      <c r="N201" s="20"/>
    </row>
    <row r="202" spans="1:19">
      <c r="A202" s="27">
        <v>42904.769444444442</v>
      </c>
      <c r="B202" s="12" t="s">
        <v>143</v>
      </c>
      <c r="C202" s="12" t="s">
        <v>253</v>
      </c>
      <c r="D202" s="73">
        <v>42904.80972222222</v>
      </c>
      <c r="E202" s="81">
        <v>42904.769444444442</v>
      </c>
      <c r="F202" s="19" t="s">
        <v>143</v>
      </c>
      <c r="G202" s="19" t="s">
        <v>253</v>
      </c>
      <c r="H202" s="74" t="s">
        <v>105</v>
      </c>
      <c r="I202" s="3"/>
      <c r="M202" s="74"/>
    </row>
    <row r="203" spans="1:19">
      <c r="A203" s="27">
        <v>42904.769444444442</v>
      </c>
      <c r="B203" s="12" t="s">
        <v>143</v>
      </c>
      <c r="C203" s="12" t="s">
        <v>144</v>
      </c>
      <c r="D203" s="73">
        <v>42904.783333333333</v>
      </c>
      <c r="E203" s="81">
        <v>42904.769444444442</v>
      </c>
      <c r="F203" s="19" t="s">
        <v>143</v>
      </c>
      <c r="G203" s="19" t="s">
        <v>144</v>
      </c>
      <c r="H203" s="74" t="s">
        <v>105</v>
      </c>
      <c r="I203" s="3"/>
      <c r="M203" s="74"/>
    </row>
    <row r="204" spans="1:19">
      <c r="A204" s="27">
        <v>42904.783333333333</v>
      </c>
      <c r="B204" s="12" t="s">
        <v>254</v>
      </c>
      <c r="C204" s="12" t="s">
        <v>255</v>
      </c>
      <c r="D204" s="73">
        <v>42904.82708333333</v>
      </c>
      <c r="E204" s="81">
        <v>42904.783333333333</v>
      </c>
      <c r="F204" s="19" t="s">
        <v>254</v>
      </c>
      <c r="G204" s="19" t="s">
        <v>255</v>
      </c>
      <c r="H204" s="74" t="s">
        <v>105</v>
      </c>
      <c r="I204" s="3"/>
      <c r="M204" s="74"/>
    </row>
    <row r="205" spans="1:19">
      <c r="A205" s="27">
        <v>42904.79791666667</v>
      </c>
      <c r="B205" s="12" t="s">
        <v>254</v>
      </c>
      <c r="C205" s="12" t="s">
        <v>256</v>
      </c>
      <c r="D205" s="73">
        <v>42904.866666666669</v>
      </c>
      <c r="E205" s="81">
        <v>42904.79791666667</v>
      </c>
      <c r="F205" s="19" t="s">
        <v>254</v>
      </c>
      <c r="G205" s="19" t="s">
        <v>256</v>
      </c>
      <c r="H205" s="74" t="s">
        <v>105</v>
      </c>
      <c r="I205" s="3"/>
      <c r="M205" s="74"/>
    </row>
    <row r="206" spans="1:19">
      <c r="A206" s="27">
        <v>42904.79791666667</v>
      </c>
      <c r="B206" s="12" t="s">
        <v>254</v>
      </c>
      <c r="C206" s="12" t="s">
        <v>190</v>
      </c>
      <c r="D206" s="73">
        <v>42904.847222222219</v>
      </c>
      <c r="E206" s="81">
        <v>42904.79791666667</v>
      </c>
      <c r="F206" s="19" t="s">
        <v>254</v>
      </c>
      <c r="G206" s="19" t="s">
        <v>190</v>
      </c>
      <c r="H206" s="74" t="s">
        <v>105</v>
      </c>
      <c r="I206" s="3"/>
      <c r="M206" s="74"/>
    </row>
    <row r="207" spans="1:19">
      <c r="A207" s="27">
        <v>42904.845138888886</v>
      </c>
      <c r="B207" s="12" t="s">
        <v>254</v>
      </c>
      <c r="C207" s="12" t="s">
        <v>257</v>
      </c>
      <c r="D207" s="73">
        <v>42904.870138888888</v>
      </c>
      <c r="E207" s="81">
        <v>42904.845138888886</v>
      </c>
      <c r="F207" s="19" t="s">
        <v>254</v>
      </c>
      <c r="G207" s="19" t="s">
        <v>257</v>
      </c>
      <c r="H207" s="74" t="s">
        <v>105</v>
      </c>
      <c r="I207" s="3"/>
      <c r="M207" s="74"/>
    </row>
    <row r="208" spans="1:19">
      <c r="A208" s="27">
        <v>42904.845138888886</v>
      </c>
      <c r="B208" s="12" t="s">
        <v>254</v>
      </c>
      <c r="C208" s="12" t="s">
        <v>198</v>
      </c>
      <c r="D208" s="73">
        <v>42904.870138888888</v>
      </c>
      <c r="E208" s="81">
        <v>42904.845138888886</v>
      </c>
      <c r="F208" s="19" t="s">
        <v>254</v>
      </c>
      <c r="G208" s="19" t="s">
        <v>198</v>
      </c>
      <c r="H208" s="74" t="s">
        <v>105</v>
      </c>
      <c r="I208" s="3"/>
      <c r="M208" s="74"/>
    </row>
    <row r="209" spans="1:19" s="16" customFormat="1">
      <c r="A209" s="27">
        <v>42951.770138888889</v>
      </c>
      <c r="B209" s="12" t="s">
        <v>213</v>
      </c>
      <c r="C209" s="12" t="s">
        <v>214</v>
      </c>
      <c r="D209" s="73">
        <v>42951.793749999997</v>
      </c>
      <c r="E209" s="81">
        <v>42951.770138888889</v>
      </c>
      <c r="F209" s="19" t="s">
        <v>213</v>
      </c>
      <c r="G209" s="19" t="s">
        <v>214</v>
      </c>
      <c r="H209" s="74" t="s">
        <v>105</v>
      </c>
      <c r="I209" s="3"/>
      <c r="J209" s="4"/>
      <c r="K209" s="4"/>
      <c r="L209" s="4"/>
      <c r="M209" s="74"/>
      <c r="N209" s="4"/>
      <c r="O209" s="20"/>
      <c r="P209" s="20"/>
      <c r="Q209" s="20"/>
      <c r="R209" s="20"/>
      <c r="S209" s="20"/>
    </row>
    <row r="210" spans="1:19">
      <c r="A210" s="27">
        <v>42951.770138888889</v>
      </c>
      <c r="B210" s="12" t="s">
        <v>258</v>
      </c>
      <c r="C210" s="12" t="s">
        <v>259</v>
      </c>
      <c r="D210" s="73">
        <v>42951.793749999997</v>
      </c>
      <c r="E210" s="81">
        <v>42951.770138888889</v>
      </c>
      <c r="F210" s="19" t="s">
        <v>258</v>
      </c>
      <c r="G210" s="19" t="s">
        <v>259</v>
      </c>
      <c r="H210" s="74" t="s">
        <v>105</v>
      </c>
      <c r="I210" s="3"/>
      <c r="M210" s="74"/>
    </row>
    <row r="211" spans="1:19">
      <c r="A211" s="27">
        <v>42951.770138888889</v>
      </c>
      <c r="B211" s="12" t="s">
        <v>146</v>
      </c>
      <c r="C211" s="12" t="s">
        <v>215</v>
      </c>
      <c r="D211" s="73">
        <v>42951.813194444447</v>
      </c>
      <c r="E211" s="81">
        <v>42951.770138888889</v>
      </c>
      <c r="F211" s="19" t="s">
        <v>146</v>
      </c>
      <c r="G211" s="19" t="s">
        <v>215</v>
      </c>
      <c r="H211" s="74" t="s">
        <v>105</v>
      </c>
      <c r="I211" s="3"/>
      <c r="M211" s="74"/>
    </row>
    <row r="212" spans="1:19">
      <c r="A212" s="27">
        <v>42951.793749999997</v>
      </c>
      <c r="B212" s="12" t="s">
        <v>146</v>
      </c>
      <c r="C212" s="12" t="s">
        <v>147</v>
      </c>
      <c r="D212" s="73">
        <v>42951.813194444447</v>
      </c>
      <c r="E212" s="81">
        <v>42951.793749999997</v>
      </c>
      <c r="F212" s="19" t="s">
        <v>146</v>
      </c>
      <c r="G212" s="19" t="s">
        <v>147</v>
      </c>
      <c r="H212" s="74" t="s">
        <v>105</v>
      </c>
      <c r="I212" s="3"/>
      <c r="M212" s="74"/>
    </row>
    <row r="213" spans="1:19">
      <c r="A213" s="27">
        <v>42951.826388888891</v>
      </c>
      <c r="B213" s="12" t="s">
        <v>258</v>
      </c>
      <c r="C213" s="12" t="s">
        <v>259</v>
      </c>
      <c r="D213" s="73">
        <v>42951.852777777778</v>
      </c>
      <c r="E213" s="81">
        <v>42951.826388888891</v>
      </c>
      <c r="F213" s="19" t="s">
        <v>258</v>
      </c>
      <c r="G213" s="19" t="s">
        <v>259</v>
      </c>
      <c r="H213" s="74" t="s">
        <v>105</v>
      </c>
      <c r="I213" s="3"/>
      <c r="M213" s="74"/>
    </row>
    <row r="214" spans="1:19">
      <c r="A214" s="27">
        <v>42951.826388888891</v>
      </c>
      <c r="B214" s="12" t="s">
        <v>258</v>
      </c>
      <c r="C214" s="12" t="s">
        <v>260</v>
      </c>
      <c r="D214" s="73">
        <v>42951.852777777778</v>
      </c>
      <c r="E214" s="81">
        <v>42951.826388888891</v>
      </c>
      <c r="F214" s="19" t="s">
        <v>258</v>
      </c>
      <c r="G214" s="19" t="s">
        <v>260</v>
      </c>
      <c r="H214" s="74" t="s">
        <v>105</v>
      </c>
      <c r="I214" s="3"/>
      <c r="M214" s="74"/>
    </row>
    <row r="215" spans="1:19">
      <c r="A215" s="27">
        <v>42951.826388888891</v>
      </c>
      <c r="B215" s="12" t="s">
        <v>146</v>
      </c>
      <c r="C215" s="12" t="s">
        <v>215</v>
      </c>
      <c r="D215" s="73">
        <v>42951.852777777778</v>
      </c>
      <c r="E215" s="81">
        <v>42951.826388888891</v>
      </c>
      <c r="F215" s="19" t="s">
        <v>146</v>
      </c>
      <c r="G215" s="19" t="s">
        <v>215</v>
      </c>
      <c r="H215" s="74" t="s">
        <v>105</v>
      </c>
      <c r="I215" s="3"/>
      <c r="M215" s="74"/>
    </row>
    <row r="216" spans="1:19">
      <c r="A216" s="27">
        <v>42951.845138888886</v>
      </c>
      <c r="B216" s="12" t="s">
        <v>146</v>
      </c>
      <c r="C216" s="12" t="s">
        <v>261</v>
      </c>
      <c r="D216" s="73">
        <v>42951.852777777778</v>
      </c>
      <c r="E216" s="81">
        <v>42951.845138888886</v>
      </c>
      <c r="F216" s="19" t="s">
        <v>146</v>
      </c>
      <c r="G216" s="19" t="s">
        <v>261</v>
      </c>
      <c r="H216" s="74" t="s">
        <v>105</v>
      </c>
      <c r="I216" s="3"/>
      <c r="J216" s="3"/>
      <c r="M216" s="76"/>
      <c r="O216" s="18"/>
      <c r="P216" s="18"/>
      <c r="Q216" s="18"/>
      <c r="R216" s="18"/>
    </row>
    <row r="217" spans="1:19">
      <c r="A217" s="27">
        <v>43005.851388888892</v>
      </c>
      <c r="B217" s="12" t="s">
        <v>254</v>
      </c>
      <c r="C217" s="12" t="s">
        <v>257</v>
      </c>
      <c r="D217" s="73">
        <v>43005.870138888888</v>
      </c>
      <c r="E217" s="81">
        <v>43005.851388888892</v>
      </c>
      <c r="F217" s="19" t="s">
        <v>254</v>
      </c>
      <c r="G217" s="19" t="s">
        <v>257</v>
      </c>
      <c r="H217" s="74" t="s">
        <v>105</v>
      </c>
      <c r="I217" s="3"/>
      <c r="M217" s="74"/>
    </row>
    <row r="218" spans="1:19">
      <c r="A218" s="27">
        <v>43005.851388888892</v>
      </c>
      <c r="B218" s="12" t="s">
        <v>254</v>
      </c>
      <c r="C218" s="12" t="s">
        <v>198</v>
      </c>
      <c r="D218" s="73">
        <v>43005.869444444441</v>
      </c>
      <c r="E218" s="81">
        <v>43005.851388888892</v>
      </c>
      <c r="F218" s="19" t="s">
        <v>254</v>
      </c>
      <c r="G218" s="19" t="s">
        <v>198</v>
      </c>
      <c r="H218" s="74" t="s">
        <v>105</v>
      </c>
      <c r="I218" s="3"/>
      <c r="M218" s="74"/>
    </row>
    <row r="219" spans="1:19">
      <c r="A219" s="27">
        <v>43005.851388888892</v>
      </c>
      <c r="B219" s="12" t="s">
        <v>202</v>
      </c>
      <c r="C219" s="12" t="s">
        <v>236</v>
      </c>
      <c r="D219" s="73">
        <v>43005.869444444441</v>
      </c>
      <c r="E219" s="81">
        <v>43005.851388888892</v>
      </c>
      <c r="F219" s="19" t="s">
        <v>202</v>
      </c>
      <c r="G219" s="19" t="s">
        <v>236</v>
      </c>
      <c r="H219" s="74" t="s">
        <v>105</v>
      </c>
      <c r="I219" s="3"/>
      <c r="M219" s="74"/>
    </row>
    <row r="220" spans="1:19">
      <c r="A220" s="27">
        <v>43005.851388888892</v>
      </c>
      <c r="B220" s="12" t="s">
        <v>202</v>
      </c>
      <c r="C220" s="12" t="s">
        <v>237</v>
      </c>
      <c r="D220" s="73">
        <v>43005.869444444441</v>
      </c>
      <c r="E220" s="81">
        <v>43005.851388888892</v>
      </c>
      <c r="F220" s="19" t="s">
        <v>202</v>
      </c>
      <c r="G220" s="19" t="s">
        <v>237</v>
      </c>
      <c r="H220" s="74" t="s">
        <v>105</v>
      </c>
      <c r="I220" s="3"/>
      <c r="M220" s="74"/>
      <c r="O220" s="4"/>
      <c r="P220" s="4"/>
    </row>
    <row r="221" spans="1:19">
      <c r="D221" s="62"/>
      <c r="E221" s="81">
        <v>43304.895833333336</v>
      </c>
      <c r="F221" s="4" t="s">
        <v>143</v>
      </c>
      <c r="G221" s="4" t="s">
        <v>253</v>
      </c>
      <c r="H221" s="74" t="s">
        <v>140</v>
      </c>
      <c r="I221" s="3">
        <v>43304.895833333336</v>
      </c>
      <c r="J221" s="4" t="s">
        <v>143</v>
      </c>
      <c r="K221" s="4" t="s">
        <v>253</v>
      </c>
      <c r="L221" s="3" t="s">
        <v>262</v>
      </c>
      <c r="M221" s="74" t="s">
        <v>74</v>
      </c>
      <c r="N221" s="4" t="s">
        <v>142</v>
      </c>
      <c r="O221" s="4" t="s">
        <v>193</v>
      </c>
      <c r="P221" s="4" t="s">
        <v>193</v>
      </c>
    </row>
    <row r="222" spans="1:19">
      <c r="A222" s="3">
        <v>43319.055555555555</v>
      </c>
      <c r="B222" s="4" t="s">
        <v>206</v>
      </c>
      <c r="C222" s="4" t="s">
        <v>218</v>
      </c>
      <c r="D222" s="62">
        <v>43319.086111111108</v>
      </c>
      <c r="E222" s="81">
        <v>43319.055555555555</v>
      </c>
      <c r="F222" s="4" t="s">
        <v>206</v>
      </c>
      <c r="G222" s="4" t="s">
        <v>218</v>
      </c>
      <c r="H222" s="74" t="s">
        <v>105</v>
      </c>
      <c r="I222" s="3"/>
      <c r="L222" s="3"/>
      <c r="M222" s="74"/>
      <c r="O222" s="4"/>
      <c r="P222" s="4"/>
    </row>
    <row r="223" spans="1:19">
      <c r="A223" s="3">
        <v>43319.055555555555</v>
      </c>
      <c r="B223" s="4" t="s">
        <v>206</v>
      </c>
      <c r="C223" s="4" t="s">
        <v>217</v>
      </c>
      <c r="D223" s="62">
        <v>43319.076388888891</v>
      </c>
      <c r="E223" s="81">
        <v>43319.055555555555</v>
      </c>
      <c r="F223" s="4" t="s">
        <v>206</v>
      </c>
      <c r="G223" s="4" t="s">
        <v>217</v>
      </c>
      <c r="H223" s="74" t="s">
        <v>105</v>
      </c>
      <c r="I223" s="3"/>
      <c r="L223" s="3"/>
      <c r="M223" s="74"/>
      <c r="O223" s="4"/>
      <c r="P223" s="4"/>
    </row>
    <row r="224" spans="1:19">
      <c r="D224" s="62"/>
      <c r="E224" s="81">
        <v>43341.729166666664</v>
      </c>
      <c r="F224" s="4" t="s">
        <v>216</v>
      </c>
      <c r="G224" s="4" t="s">
        <v>180</v>
      </c>
      <c r="H224" s="74" t="s">
        <v>140</v>
      </c>
      <c r="I224" s="3">
        <v>43341.729166666664</v>
      </c>
      <c r="J224" s="4" t="s">
        <v>216</v>
      </c>
      <c r="K224" s="4" t="s">
        <v>180</v>
      </c>
      <c r="L224" s="3" t="s">
        <v>101</v>
      </c>
      <c r="M224" s="74" t="s">
        <v>82</v>
      </c>
      <c r="N224" s="7">
        <v>43341.577777777777</v>
      </c>
      <c r="O224" s="7">
        <v>43341.713194444441</v>
      </c>
      <c r="P224" s="4" t="s">
        <v>11</v>
      </c>
    </row>
    <row r="225" spans="1:16">
      <c r="D225" s="62"/>
      <c r="E225" s="81">
        <v>43364.8125</v>
      </c>
      <c r="F225" s="4" t="s">
        <v>230</v>
      </c>
      <c r="G225" s="4" t="s">
        <v>173</v>
      </c>
      <c r="H225" s="74" t="s">
        <v>140</v>
      </c>
      <c r="I225" s="3">
        <v>43364.8125</v>
      </c>
      <c r="J225" s="4" t="s">
        <v>230</v>
      </c>
      <c r="K225" s="4" t="s">
        <v>173</v>
      </c>
      <c r="L225" s="3" t="s">
        <v>102</v>
      </c>
      <c r="M225" s="74" t="s">
        <v>80</v>
      </c>
      <c r="N225" s="3">
        <v>43364.59097222222</v>
      </c>
      <c r="O225" s="4" t="s">
        <v>193</v>
      </c>
      <c r="P225" s="4" t="s">
        <v>193</v>
      </c>
    </row>
    <row r="226" spans="1:16">
      <c r="D226" s="62"/>
      <c r="E226" s="81">
        <v>43364.833333333336</v>
      </c>
      <c r="F226" s="4" t="s">
        <v>204</v>
      </c>
      <c r="G226" s="4" t="s">
        <v>263</v>
      </c>
      <c r="H226" s="74" t="s">
        <v>140</v>
      </c>
      <c r="I226" s="3">
        <v>43364.833333333336</v>
      </c>
      <c r="J226" s="4" t="s">
        <v>204</v>
      </c>
      <c r="K226" s="4" t="s">
        <v>263</v>
      </c>
      <c r="L226" s="3" t="s">
        <v>103</v>
      </c>
      <c r="M226" s="74" t="s">
        <v>80</v>
      </c>
      <c r="N226" s="3">
        <v>43364.59097222222</v>
      </c>
      <c r="O226" s="4" t="s">
        <v>193</v>
      </c>
      <c r="P226" s="4" t="s">
        <v>193</v>
      </c>
    </row>
    <row r="227" spans="1:16">
      <c r="D227" s="62"/>
      <c r="E227" s="81">
        <v>43364.861111111109</v>
      </c>
      <c r="F227" s="4" t="s">
        <v>264</v>
      </c>
      <c r="G227" s="4" t="s">
        <v>207</v>
      </c>
      <c r="H227" s="74" t="s">
        <v>140</v>
      </c>
      <c r="I227" s="3">
        <v>43364.861111111109</v>
      </c>
      <c r="J227" s="4" t="s">
        <v>264</v>
      </c>
      <c r="K227" s="4" t="s">
        <v>207</v>
      </c>
      <c r="L227" s="3" t="s">
        <v>265</v>
      </c>
      <c r="M227" s="74" t="s">
        <v>88</v>
      </c>
      <c r="N227" s="7">
        <v>43364.59097222222</v>
      </c>
      <c r="O227" s="7">
        <v>43364.84652777778</v>
      </c>
      <c r="P227" s="4" t="s">
        <v>193</v>
      </c>
    </row>
    <row r="228" spans="1:16">
      <c r="D228" s="62"/>
      <c r="E228" s="81">
        <v>43364.875</v>
      </c>
      <c r="F228" s="4" t="s">
        <v>206</v>
      </c>
      <c r="G228" s="4" t="s">
        <v>217</v>
      </c>
      <c r="H228" s="74" t="s">
        <v>140</v>
      </c>
      <c r="I228" s="3">
        <v>43364.875</v>
      </c>
      <c r="J228" s="4" t="s">
        <v>206</v>
      </c>
      <c r="K228" s="4" t="s">
        <v>217</v>
      </c>
      <c r="L228" s="3" t="s">
        <v>104</v>
      </c>
      <c r="M228" s="74" t="s">
        <v>80</v>
      </c>
      <c r="N228" s="7">
        <v>43364.59097222222</v>
      </c>
      <c r="O228" s="3">
        <v>43364.867361111108</v>
      </c>
      <c r="P228" s="4" t="s">
        <v>193</v>
      </c>
    </row>
    <row r="229" spans="1:16">
      <c r="A229" s="3">
        <v>43364.911805555559</v>
      </c>
      <c r="B229" s="4" t="s">
        <v>206</v>
      </c>
      <c r="C229" s="4" t="s">
        <v>218</v>
      </c>
      <c r="D229" s="62">
        <v>43364.942361111112</v>
      </c>
      <c r="E229" s="81">
        <v>43364.911805555559</v>
      </c>
      <c r="F229" s="4" t="s">
        <v>206</v>
      </c>
      <c r="G229" s="4" t="s">
        <v>218</v>
      </c>
      <c r="H229" s="74" t="s">
        <v>105</v>
      </c>
      <c r="I229" s="3"/>
      <c r="L229" s="3"/>
      <c r="M229" s="74"/>
      <c r="O229" s="4"/>
      <c r="P229" s="4"/>
    </row>
    <row r="230" spans="1:16">
      <c r="A230" s="3">
        <v>43364.931250000001</v>
      </c>
      <c r="B230" s="4" t="s">
        <v>191</v>
      </c>
      <c r="C230" s="4" t="s">
        <v>156</v>
      </c>
      <c r="D230" s="62">
        <v>43364.945833333331</v>
      </c>
      <c r="E230" s="81">
        <v>43364.931250000001</v>
      </c>
      <c r="F230" s="4" t="s">
        <v>191</v>
      </c>
      <c r="G230" s="4" t="s">
        <v>156</v>
      </c>
      <c r="H230" s="74" t="s">
        <v>105</v>
      </c>
      <c r="I230" s="3"/>
      <c r="L230" s="3"/>
      <c r="M230" s="74"/>
      <c r="O230" s="4"/>
      <c r="P230" s="4"/>
    </row>
    <row r="231" spans="1:16">
      <c r="D231" s="62"/>
      <c r="H231" s="74"/>
      <c r="M231" s="48"/>
      <c r="N231" s="20"/>
    </row>
    <row r="232" spans="1:16">
      <c r="D232" s="62"/>
      <c r="H232" s="74"/>
      <c r="M232" s="74"/>
    </row>
    <row r="233" spans="1:16">
      <c r="D233" s="62"/>
      <c r="H233" s="74"/>
      <c r="M233" s="74"/>
    </row>
    <row r="253" spans="1:19" s="16" customFormat="1">
      <c r="A253" s="15"/>
      <c r="B253" s="4"/>
      <c r="C253" s="4"/>
      <c r="D253" s="15"/>
      <c r="F253" s="4"/>
      <c r="G253" s="4"/>
      <c r="H253" s="4"/>
      <c r="I253" s="4"/>
      <c r="J253" s="4"/>
      <c r="K253" s="4"/>
      <c r="L253" s="4"/>
      <c r="M253" s="4"/>
      <c r="N253" s="4"/>
      <c r="O253" s="20"/>
      <c r="P253" s="20"/>
      <c r="Q253" s="20"/>
      <c r="R253" s="20"/>
      <c r="S253" s="20"/>
    </row>
    <row r="281" spans="1:19" s="4" customFormat="1">
      <c r="A281" s="15"/>
      <c r="B281" s="14"/>
      <c r="C281" s="14"/>
      <c r="D281" s="15"/>
      <c r="E281" s="16"/>
      <c r="J281" s="3"/>
      <c r="M281" s="16"/>
      <c r="O281" s="20"/>
      <c r="P281" s="20"/>
      <c r="Q281" s="20"/>
      <c r="R281" s="20"/>
      <c r="S281" s="20"/>
    </row>
    <row r="304" spans="1:4">
      <c r="A304" s="15"/>
      <c r="D304" s="15"/>
    </row>
    <row r="305" spans="1:4">
      <c r="A305" s="15"/>
      <c r="D305" s="15"/>
    </row>
  </sheetData>
  <sortState ref="A222:AA230">
    <sortCondition ref="E222:E230"/>
  </sortState>
  <mergeCells count="4">
    <mergeCell ref="A1:D1"/>
    <mergeCell ref="E1:H1"/>
    <mergeCell ref="I1:M1"/>
    <mergeCell ref="N1:P1"/>
  </mergeCells>
  <dataValidations count="1">
    <dataValidation type="list" allowBlank="1" showInputMessage="1" showErrorMessage="1" error="Votre entrée contient une erreur. Référez-vous à l'onglet Carte." sqref="G221">
      <formula1>L_Secteurs</formula1>
    </dataValidation>
  </dataValidations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51"/>
  <sheetViews>
    <sheetView topLeftCell="E1" workbookViewId="0">
      <selection activeCell="T3" sqref="T3"/>
    </sheetView>
  </sheetViews>
  <sheetFormatPr defaultColWidth="11.42578125" defaultRowHeight="15"/>
  <cols>
    <col min="1" max="1" width="11.28515625" style="1" customWidth="1"/>
    <col min="2" max="2" width="4.5703125" style="1" customWidth="1"/>
    <col min="3" max="3" width="6.28515625" style="1" customWidth="1"/>
    <col min="4" max="4" width="5.7109375" style="1" customWidth="1"/>
    <col min="5" max="5" width="13.28515625" style="1" customWidth="1"/>
    <col min="6" max="6" width="8.7109375" style="1" customWidth="1"/>
    <col min="7" max="7" width="4" style="1" customWidth="1"/>
    <col min="8" max="8" width="4.7109375" style="1" customWidth="1"/>
    <col min="9" max="11" width="11.42578125" style="1"/>
    <col min="12" max="12" width="6.28515625" style="1" customWidth="1"/>
    <col min="13" max="20" width="5" style="1" customWidth="1"/>
    <col min="21" max="23" width="5.5703125" style="1" customWidth="1"/>
    <col min="24" max="24" width="8.28515625" style="1" customWidth="1"/>
    <col min="25" max="25" width="6.5703125" style="1" customWidth="1"/>
    <col min="26" max="29" width="5" style="1" customWidth="1"/>
    <col min="30" max="30" width="6.42578125" customWidth="1"/>
    <col min="31" max="16384" width="11.42578125" style="1"/>
  </cols>
  <sheetData>
    <row r="1" spans="1:30" ht="12.75">
      <c r="M1" s="150" t="s">
        <v>366</v>
      </c>
      <c r="N1" s="150"/>
      <c r="O1" s="150"/>
      <c r="P1" s="150"/>
      <c r="Q1" s="150"/>
      <c r="R1" s="150"/>
      <c r="S1" s="150"/>
      <c r="T1" s="123"/>
      <c r="U1" s="150" t="s">
        <v>370</v>
      </c>
      <c r="V1" s="150"/>
      <c r="W1" s="150"/>
      <c r="X1" s="145"/>
      <c r="Y1" s="145"/>
      <c r="Z1" s="145"/>
      <c r="AA1" s="150" t="s">
        <v>367</v>
      </c>
      <c r="AB1" s="150"/>
      <c r="AC1" s="150"/>
      <c r="AD1" s="150"/>
    </row>
    <row r="2" spans="1:30" ht="18.75" customHeight="1">
      <c r="A2" s="2" t="s">
        <v>107</v>
      </c>
      <c r="B2" s="1" t="e">
        <f>COUNTIF(Tornade!#REF!,1)/(YEAR(MAX(Tornade!A:A))-YEAR(MIN(Tornade!A:A)))</f>
        <v>#REF!</v>
      </c>
      <c r="C2" s="39" t="e">
        <f>B2/SUM(B$2:B$13)</f>
        <v>#REF!</v>
      </c>
      <c r="L2" s="44" t="s">
        <v>326</v>
      </c>
      <c r="M2" s="142">
        <v>0</v>
      </c>
      <c r="N2" s="142">
        <v>1</v>
      </c>
      <c r="O2" s="142">
        <v>2</v>
      </c>
      <c r="P2" s="142">
        <v>3</v>
      </c>
      <c r="Q2" s="142">
        <v>4</v>
      </c>
      <c r="R2" s="143">
        <v>5</v>
      </c>
      <c r="S2" s="143" t="s">
        <v>279</v>
      </c>
      <c r="T2" s="142"/>
      <c r="U2" s="44" t="s">
        <v>268</v>
      </c>
      <c r="V2" s="45" t="s">
        <v>5</v>
      </c>
      <c r="W2" s="44" t="s">
        <v>327</v>
      </c>
      <c r="X2" s="2" t="s">
        <v>371</v>
      </c>
      <c r="Y2" s="2" t="s">
        <v>327</v>
      </c>
      <c r="Z2" s="28" t="s">
        <v>105</v>
      </c>
      <c r="AA2" s="28" t="s">
        <v>368</v>
      </c>
      <c r="AB2" s="2" t="s">
        <v>282</v>
      </c>
      <c r="AC2" s="29" t="s">
        <v>283</v>
      </c>
      <c r="AD2" s="1" t="s">
        <v>369</v>
      </c>
    </row>
    <row r="3" spans="1:30" ht="18" customHeight="1">
      <c r="A3" s="2" t="s">
        <v>109</v>
      </c>
      <c r="B3" s="1" t="e">
        <f>COUNTIF(Tornade!#REF!,2)/(YEAR(MAX(Tornade!A:A))-YEAR(MIN(Tornade!A:A)))</f>
        <v>#REF!</v>
      </c>
      <c r="C3" s="39" t="e">
        <f t="shared" ref="C3:C13" si="0">B3/SUM(B$2:B$13)</f>
        <v>#REF!</v>
      </c>
      <c r="L3" s="43">
        <v>2001</v>
      </c>
      <c r="M3" s="28" t="e">
        <f>COUNTIFS(Tornade!#REF!,$L3,Tornade!#REF!,"T(F0)")+COUNTIFS(Tornade!#REF!,$L3,Tornade!#REF!,"T(EF0)")</f>
        <v>#REF!</v>
      </c>
      <c r="N3" s="28" t="e">
        <f>COUNTIFS(Tornade!#REF!,$L3,Tornade!#REF!,"T(F1)")+COUNTIFS(Tornade!#REF!,$L3,Tornade!#REF!,"T(EF1)")</f>
        <v>#REF!</v>
      </c>
      <c r="O3" s="28" t="e">
        <f>COUNTIFS(Tornade!#REF!,$L3,Tornade!#REF!,"T(F2)")+COUNTIFS(Tornade!#REF!,$L3,Tornade!#REF!,"T(EF2)")</f>
        <v>#REF!</v>
      </c>
      <c r="P3" s="28" t="e">
        <f>COUNTIFS(Tornade!#REF!,$L3,Tornade!#REF!,"T(F3)")+COUNTIFS(Tornade!#REF!,$L3,Tornade!#REF!,"T(EF3)")</f>
        <v>#REF!</v>
      </c>
      <c r="Q3" s="28" t="e">
        <f>COUNTIFS(Tornade!#REF!,$L3,Tornade!#REF!,"T(F4)")+COUNTIFS(Tornade!#REF!,$L3,Tornade!#REF!,"T(EF4)")</f>
        <v>#REF!</v>
      </c>
      <c r="R3" s="28" t="e">
        <f>COUNTIFS(Tornade!#REF!,$L3,Tornade!#REF!,"T(F5)")+COUNTIFS(Tornade!#REF!,$L3,Tornade!#REF!,"T(EF5)")</f>
        <v>#REF!</v>
      </c>
      <c r="S3" s="144" t="e">
        <f>SUM(M3:R3)</f>
        <v>#REF!</v>
      </c>
      <c r="T3" s="146"/>
      <c r="U3" s="28">
        <f>COUNTIFS(WFCN!N:N,"&gt;36892",WFCN!N:N,"&lt;37257")</f>
        <v>6</v>
      </c>
      <c r="V3" s="28">
        <f>COUNTIFS(WFCN!O:O,"&gt;36892",WFCN!O:O,"&lt;37257")</f>
        <v>4</v>
      </c>
      <c r="W3" s="125"/>
      <c r="X3" s="28">
        <f>COUNTIFS(WFCN!$E:$E,"&gt;36892",WFCN!$E:$E,"&lt;37257",WFCN!P:P,"oui")</f>
        <v>0</v>
      </c>
      <c r="Y3" s="125" t="e">
        <f>S3-U3</f>
        <v>#REF!</v>
      </c>
      <c r="Z3" s="28">
        <v>14</v>
      </c>
      <c r="AA3" s="125">
        <f>COUNTIFS(WFCN!A:A,"&gt;36892",WFCN!A:A,"&lt;37257")</f>
        <v>5</v>
      </c>
      <c r="AB3" s="28">
        <f>COUNTIFS(WFCN!$E:$E,"&gt;36892",WFCN!$E:$E,"&lt;37257",WFCN!$H:$H,"s")+COUNTIFS(WFCN!$E:$E,"&gt;39814",WFCN!$E:$E,"&lt;40179",WFCN!$H:$H,"MPi")</f>
        <v>0</v>
      </c>
      <c r="AC3" s="125">
        <f>COUNTIFS(WFCN!$E:$E,"&gt;36892",WFCN!$E:$E,"&lt;37257",WFCN!$H:$H,"MA")+COUNTIFS(WFCN!$E:$E,"&gt;36892",WFCN!$E:$E,"&lt;37257",WFCN!$H:$H,"Mp0")</f>
        <v>7</v>
      </c>
      <c r="AD3" s="125">
        <f>COUNTIFS(WFCN!E:E,"&gt;36892",WFCN!E:E,"&lt;37257",WFCN!H:H,"F")</f>
        <v>1</v>
      </c>
    </row>
    <row r="4" spans="1:30" ht="18" customHeight="1">
      <c r="A4" s="2" t="s">
        <v>110</v>
      </c>
      <c r="B4" s="1" t="e">
        <f>COUNTIF(Tornade!#REF!,3)/(YEAR(MAX(Tornade!A:A))-YEAR(MIN(Tornade!A:A)))</f>
        <v>#REF!</v>
      </c>
      <c r="C4" s="39" t="e">
        <f t="shared" si="0"/>
        <v>#REF!</v>
      </c>
      <c r="L4" s="43">
        <v>2002</v>
      </c>
      <c r="M4" s="28" t="e">
        <f>COUNTIFS(Tornade!#REF!,$L4,Tornade!#REF!,"T(F0)")+COUNTIFS(Tornade!#REF!,$L4,Tornade!#REF!,"T(EF0)")</f>
        <v>#REF!</v>
      </c>
      <c r="N4" s="28" t="e">
        <f>COUNTIFS(Tornade!#REF!,$L4,Tornade!#REF!,"T(F1)")+COUNTIFS(Tornade!#REF!,$L4,Tornade!#REF!,"T(EF1)")</f>
        <v>#REF!</v>
      </c>
      <c r="O4" s="28" t="e">
        <f>COUNTIFS(Tornade!#REF!,$L4,Tornade!#REF!,"T(F2)")+COUNTIFS(Tornade!#REF!,$L4,Tornade!#REF!,"T(EF2)")</f>
        <v>#REF!</v>
      </c>
      <c r="P4" s="28" t="e">
        <f>COUNTIFS(Tornade!#REF!,$L4,Tornade!#REF!,"T(F3)")+COUNTIFS(Tornade!#REF!,$L4,Tornade!#REF!,"T(EF3)")</f>
        <v>#REF!</v>
      </c>
      <c r="Q4" s="28" t="e">
        <f>COUNTIFS(Tornade!#REF!,$L4,Tornade!#REF!,"T(F4)")+COUNTIFS(Tornade!#REF!,$L4,Tornade!#REF!,"T(EF4)")</f>
        <v>#REF!</v>
      </c>
      <c r="R4" s="28" t="e">
        <f>COUNTIFS(Tornade!#REF!,$L4,Tornade!#REF!,"T(F5)")+COUNTIFS(Tornade!#REF!,$L4,Tornade!#REF!,"T(EF5)")</f>
        <v>#REF!</v>
      </c>
      <c r="S4" s="143" t="e">
        <f t="shared" ref="S4:S20" si="1">SUM(M4:R4)</f>
        <v>#REF!</v>
      </c>
      <c r="T4" s="142"/>
      <c r="U4" s="28">
        <f>COUNTIFS(WFCN!N:N,"&gt;37257",WFCN!N:N,"&lt;37622")</f>
        <v>5</v>
      </c>
      <c r="V4" s="28">
        <f>COUNTIFS(WFCN!O:O,"&gt;37257",WFCN!O:O,"&lt;37622")</f>
        <v>3</v>
      </c>
      <c r="W4" s="125"/>
      <c r="X4" s="28">
        <f>COUNTIFS(WFCN!$E:$E,"&gt;37257",WFCN!$E:$E,"&lt;37622",WFCN!P:P,"oui")</f>
        <v>0</v>
      </c>
      <c r="Y4" s="125" t="e">
        <f t="shared" ref="Y4:Y22" si="2">S4-U4</f>
        <v>#REF!</v>
      </c>
      <c r="Z4" s="28">
        <v>120</v>
      </c>
      <c r="AA4" s="125">
        <f>COUNTIFS(WFCN!A:A,"&gt;37257",WFCN!A:A,"&lt;37622")</f>
        <v>10</v>
      </c>
      <c r="AB4" s="28">
        <f>COUNTIFS(WFCN!$E:$E,"&gt;37257",WFCN!$E:$E,"&lt;37622",WFCN!$H:$H,"s")+COUNTIFS(WFCN!$E:$E,"&gt;39814",WFCN!$E:$E,"&lt;40179",WFCN!$H:$H,"mpi")</f>
        <v>0</v>
      </c>
      <c r="AC4" s="125">
        <f>COUNTIFS(WFCN!$E:$E,"&gt;37257",WFCN!$E:$E,"&lt;37622",WFCN!$H:$H,"MA")+COUNTIFS(WFCN!$E:$E,"&gt;37257",WFCN!$E:$E,"&lt;37622",WFCN!$H:$H,"MP0")</f>
        <v>6</v>
      </c>
      <c r="AD4" s="125">
        <f>COUNTIFS(WFCN!E:E,"&gt;37257",WFCN!E:E,"&lt;37622",WFCN!H:H,"f")</f>
        <v>10</v>
      </c>
    </row>
    <row r="5" spans="1:30" ht="18" customHeight="1">
      <c r="A5" s="2" t="s">
        <v>111</v>
      </c>
      <c r="B5" s="1" t="e">
        <f>COUNTIF(Tornade!#REF!,4)/(YEAR(MAX(Tornade!A:A))-YEAR(MIN(Tornade!A:A)))</f>
        <v>#REF!</v>
      </c>
      <c r="C5" s="39" t="e">
        <f t="shared" si="0"/>
        <v>#REF!</v>
      </c>
      <c r="L5" s="43">
        <v>2003</v>
      </c>
      <c r="M5" s="28" t="e">
        <f>COUNTIFS(Tornade!#REF!,$L5,Tornade!#REF!,"T(F0)")+COUNTIFS(Tornade!#REF!,$L5,Tornade!#REF!,"T(EF0)")</f>
        <v>#REF!</v>
      </c>
      <c r="N5" s="28" t="e">
        <f>COUNTIFS(Tornade!#REF!,$L5,Tornade!#REF!,"T(F1)")+COUNTIFS(Tornade!#REF!,$L5,Tornade!#REF!,"T(EF1)")</f>
        <v>#REF!</v>
      </c>
      <c r="O5" s="28" t="e">
        <f>COUNTIFS(Tornade!#REF!,$L5,Tornade!#REF!,"T(F2)")+COUNTIFS(Tornade!#REF!,$L5,Tornade!#REF!,"T(EF2)")</f>
        <v>#REF!</v>
      </c>
      <c r="P5" s="28" t="e">
        <f>COUNTIFS(Tornade!#REF!,$L5,Tornade!#REF!,"T(F3)")+COUNTIFS(Tornade!#REF!,$L5,Tornade!#REF!,"T(EF3)")</f>
        <v>#REF!</v>
      </c>
      <c r="Q5" s="28" t="e">
        <f>COUNTIFS(Tornade!#REF!,$L5,Tornade!#REF!,"T(F4)")+COUNTIFS(Tornade!#REF!,$L5,Tornade!#REF!,"T(EF4)")</f>
        <v>#REF!</v>
      </c>
      <c r="R5" s="28" t="e">
        <f>COUNTIFS(Tornade!#REF!,$L5,Tornade!#REF!,"T(F5)")+COUNTIFS(Tornade!#REF!,$L5,Tornade!#REF!,"T(EF5)")</f>
        <v>#REF!</v>
      </c>
      <c r="S5" s="144" t="e">
        <f t="shared" si="1"/>
        <v>#REF!</v>
      </c>
      <c r="T5" s="146"/>
      <c r="U5" s="28">
        <f>COUNTIFS(WFCN!N:N,"&gt;37622",WFCN!N:N,"&lt;37987")</f>
        <v>3</v>
      </c>
      <c r="V5" s="28">
        <f>COUNTIFS(WFCN!O:O,"&gt;37622",WFCN!O:O,"&lt;37987")</f>
        <v>2</v>
      </c>
      <c r="W5" s="125"/>
      <c r="X5" s="28">
        <f>COUNTIFS(WFCN!$E:$E,"&gt;37622",WFCN!$E:$E,"&lt;37987",WFCN!P:P,"oui")</f>
        <v>0</v>
      </c>
      <c r="Y5" s="125" t="e">
        <f t="shared" si="2"/>
        <v>#REF!</v>
      </c>
      <c r="Z5" s="28">
        <v>45</v>
      </c>
      <c r="AA5" s="125">
        <f>COUNTIFS(WFCN!A:A,"&gt;37622",WFCN!A:A,"&lt;37987")</f>
        <v>0</v>
      </c>
      <c r="AB5" s="28">
        <f>COUNTIFS(WFCN!$E:$E,"&gt;37622",WFCN!$E:$E,"&lt;37987",WFCN!$H:$H,"s")+COUNTIFS(WFCN!$E:$E,"&gt;39814",WFCN!$E:$E,"&lt;40179",WFCN!$H:$H,"mpi")</f>
        <v>0</v>
      </c>
      <c r="AC5" s="125">
        <f>COUNTIFS(WFCN!$E:$E,"&gt;37622",WFCN!$E:$E,"&lt;37987",WFCN!$H:$H,"MA")+COUNTIFS(WFCN!$E:$E,"&gt;37622",WFCN!$E:$E,"&lt;37987",WFCN!$H:$H,"MP0")</f>
        <v>8</v>
      </c>
      <c r="AD5" s="125">
        <f>COUNTIFS(WFCN!E:E,"&gt;37622",WFCN!E:E,"&lt;37987",WFCN!H:H,"f")</f>
        <v>0</v>
      </c>
    </row>
    <row r="6" spans="1:30" ht="18" customHeight="1">
      <c r="A6" s="2" t="s">
        <v>112</v>
      </c>
      <c r="B6" s="1" t="e">
        <f>COUNTIF(Tornade!#REF!,5)/(YEAR(MAX(Tornade!A:A))-YEAR(MIN(Tornade!A:A)))</f>
        <v>#REF!</v>
      </c>
      <c r="C6" s="39" t="e">
        <f t="shared" si="0"/>
        <v>#REF!</v>
      </c>
      <c r="L6" s="43">
        <v>2004</v>
      </c>
      <c r="M6" s="28" t="e">
        <f>COUNTIFS(Tornade!#REF!,$L6,Tornade!#REF!,"T(F0)")+COUNTIFS(Tornade!#REF!,$L6,Tornade!#REF!,"T(EF0)")</f>
        <v>#REF!</v>
      </c>
      <c r="N6" s="28" t="e">
        <f>COUNTIFS(Tornade!#REF!,$L6,Tornade!#REF!,"T(F1)")+COUNTIFS(Tornade!#REF!,$L6,Tornade!#REF!,"T(EF1)")</f>
        <v>#REF!</v>
      </c>
      <c r="O6" s="28" t="e">
        <f>COUNTIFS(Tornade!#REF!,$L6,Tornade!#REF!,"T(F2)")+COUNTIFS(Tornade!#REF!,$L6,Tornade!#REF!,"T(EF2)")</f>
        <v>#REF!</v>
      </c>
      <c r="P6" s="28" t="e">
        <f>COUNTIFS(Tornade!#REF!,$L6,Tornade!#REF!,"T(F3)")+COUNTIFS(Tornade!#REF!,$L6,Tornade!#REF!,"T(EF3)")</f>
        <v>#REF!</v>
      </c>
      <c r="Q6" s="28" t="e">
        <f>COUNTIFS(Tornade!#REF!,$L6,Tornade!#REF!,"T(F4)")+COUNTIFS(Tornade!#REF!,$L6,Tornade!#REF!,"T(EF4)")</f>
        <v>#REF!</v>
      </c>
      <c r="R6" s="28" t="e">
        <f>COUNTIFS(Tornade!#REF!,$L6,Tornade!#REF!,"T(F5)")+COUNTIFS(Tornade!#REF!,$L6,Tornade!#REF!,"T(EF5)")</f>
        <v>#REF!</v>
      </c>
      <c r="S6" s="144" t="e">
        <f t="shared" si="1"/>
        <v>#REF!</v>
      </c>
      <c r="T6" s="146"/>
      <c r="U6" s="28">
        <f>COUNTIFS(WFCN!N:N,"&gt;37987",WFCN!N:N,"&lt;38353")</f>
        <v>6</v>
      </c>
      <c r="V6" s="28">
        <f>COUNTIFS(WFCN!O:O,"&gt;37987",WFCN!O:O,"&lt;38353")</f>
        <v>5</v>
      </c>
      <c r="W6" s="125"/>
      <c r="X6" s="28">
        <f>COUNTIFS(WFCN!$E:$E,"&gt;37987",WFCN!$E:$E,"&lt;38353",WFCN!P:P,"oui")</f>
        <v>0</v>
      </c>
      <c r="Y6" s="125" t="e">
        <f t="shared" si="2"/>
        <v>#REF!</v>
      </c>
      <c r="Z6" s="28">
        <v>79</v>
      </c>
      <c r="AA6" s="125">
        <f>COUNTIFS(WFCN!A:A,"&gt;37987",WFCN!A:A,"&lt;38353")</f>
        <v>0</v>
      </c>
      <c r="AB6" s="28">
        <f>COUNTIFS(WFCN!$E:$E,"&gt;37987",WFCN!$E:$E,"&lt;38353",WFCN!$H:$H,"s")+COUNTIFS(WFCN!$E:$E,"&gt;39814",WFCN!$E:$E,"&lt;40179",WFCN!$H:$H,"mpi")</f>
        <v>0</v>
      </c>
      <c r="AC6" s="125">
        <f>COUNTIFS(WFCN!$E:$E,"&gt;37987",WFCN!$E:$E,"&lt;38353",WFCN!$H:$H,"MA")+COUNTIFS(WFCN!$E:$E,"&gt;37987",WFCN!$E:$E,"&lt;38353",WFCN!$H:$H,"MP0")</f>
        <v>8</v>
      </c>
      <c r="AD6" s="125">
        <f>COUNTIFS(WFCN!E:E,"&gt;37987",WFCN!E:E,"&lt;38353",WFCN!H:H,"f")</f>
        <v>0</v>
      </c>
    </row>
    <row r="7" spans="1:30" ht="18" customHeight="1">
      <c r="A7" s="2" t="s">
        <v>113</v>
      </c>
      <c r="B7" s="41" t="e">
        <f>COUNTIF(Tornade!#REF!,6)/(YEAR(MAX(Tornade!A:A))-YEAR(MIN(Tornade!A:A)))</f>
        <v>#REF!</v>
      </c>
      <c r="C7" s="39" t="e">
        <f t="shared" si="0"/>
        <v>#REF!</v>
      </c>
      <c r="L7" s="43">
        <v>2005</v>
      </c>
      <c r="M7" s="33" t="e">
        <f>COUNTIFS(Tornade!#REF!,$L7,Tornade!#REF!,"T(F0)")+COUNTIFS(Tornade!#REF!,$L7,Tornade!#REF!,"T(EF0)")</f>
        <v>#REF!</v>
      </c>
      <c r="N7" s="28" t="e">
        <f>COUNTIFS(Tornade!#REF!,$L7,Tornade!#REF!,"T(F1)")+COUNTIFS(Tornade!#REF!,$L7,Tornade!#REF!,"T(EF1)")</f>
        <v>#REF!</v>
      </c>
      <c r="O7" s="33" t="e">
        <f>COUNTIFS(Tornade!#REF!,$L7,Tornade!#REF!,"T(F2)")+COUNTIFS(Tornade!#REF!,$L7,Tornade!#REF!,"T(EF2)")</f>
        <v>#REF!</v>
      </c>
      <c r="P7" s="28" t="e">
        <f>COUNTIFS(Tornade!#REF!,$L7,Tornade!#REF!,"T(F3)")+COUNTIFS(Tornade!#REF!,$L7,Tornade!#REF!,"T(EF3)")</f>
        <v>#REF!</v>
      </c>
      <c r="Q7" s="28" t="e">
        <f>COUNTIFS(Tornade!#REF!,$L7,Tornade!#REF!,"T(F4)")+COUNTIFS(Tornade!#REF!,$L7,Tornade!#REF!,"T(EF4)")</f>
        <v>#REF!</v>
      </c>
      <c r="R7" s="28" t="e">
        <f>COUNTIFS(Tornade!#REF!,$L7,Tornade!#REF!,"T(F5)")+COUNTIFS(Tornade!#REF!,$L7,Tornade!#REF!,"T(EF5)")</f>
        <v>#REF!</v>
      </c>
      <c r="S7" s="143" t="e">
        <f t="shared" si="1"/>
        <v>#REF!</v>
      </c>
      <c r="T7" s="142"/>
      <c r="U7" s="28">
        <f>COUNTIFS(WFCN!N:N,"&gt;38353",WFCN!N:N,"&lt;38718")</f>
        <v>2</v>
      </c>
      <c r="V7" s="28">
        <f>COUNTIFS(WFCN!O:O,"&gt;38353",WFCN!O:O,"&lt;38718")</f>
        <v>1</v>
      </c>
      <c r="W7" s="125"/>
      <c r="X7" s="28">
        <f>COUNTIFS(WFCN!$E:$E,"&gt;38353",WFCN!$E:$E,"&lt;38718",WFCN!P:P,"oui")</f>
        <v>0</v>
      </c>
      <c r="Y7" s="125" t="e">
        <f t="shared" si="2"/>
        <v>#REF!</v>
      </c>
      <c r="Z7" s="28">
        <v>95</v>
      </c>
      <c r="AA7" s="125">
        <f>COUNTIFS(WFCN!A:A,"&gt;38353",WFCN!A:A,"&lt;38718")</f>
        <v>0</v>
      </c>
      <c r="AB7" s="28">
        <f>COUNTIFS(WFCN!$E:$E,"&gt;38353",WFCN!$E:$E,"&lt;38718",WFCN!$H:$H,"s")+COUNTIFS(WFCN!$E:$E,"&gt;39814",WFCN!$E:$E,"&lt;40179",WFCN!$H:$H,"mpi")</f>
        <v>0</v>
      </c>
      <c r="AC7" s="125">
        <f>COUNTIFS(WFCN!$E:$E,"&gt;38353",WFCN!$E:$E,"&lt;38718",WFCN!$H:$H,"MA")+COUNTIFS(WFCN!$E:$E,"&gt;383353",WFCN!$E:$E,"&lt;38718",WFCN!$H:$H,"MP0")</f>
        <v>2</v>
      </c>
      <c r="AD7" s="125">
        <f>COUNTIFS(WFCN!E:E,"&gt;38353",WFCN!E:E,"&lt;38718",WFCN!H:H,"f")</f>
        <v>0</v>
      </c>
    </row>
    <row r="8" spans="1:30" ht="18" customHeight="1">
      <c r="A8" s="2" t="s">
        <v>114</v>
      </c>
      <c r="B8" s="1" t="e">
        <f>COUNTIF(Tornade!#REF!,7)/(YEAR(MAX(Tornade!A:A))-YEAR(MIN(Tornade!A:A)))</f>
        <v>#REF!</v>
      </c>
      <c r="C8" s="39" t="e">
        <f t="shared" si="0"/>
        <v>#REF!</v>
      </c>
      <c r="L8" s="43">
        <v>2006</v>
      </c>
      <c r="M8" s="28" t="e">
        <f>COUNTIFS(Tornade!#REF!,$L8,Tornade!#REF!,"T(F0)")+COUNTIFS(Tornade!#REF!,$L8,Tornade!#REF!,"T(EF0)")</f>
        <v>#REF!</v>
      </c>
      <c r="N8" s="28" t="e">
        <f>COUNTIFS(Tornade!#REF!,$L8,Tornade!#REF!,"T(F1)")+COUNTIFS(Tornade!#REF!,$L8,Tornade!#REF!,"T(EF1)")</f>
        <v>#REF!</v>
      </c>
      <c r="O8" s="28" t="e">
        <f>COUNTIFS(Tornade!#REF!,$L8,Tornade!#REF!,"T(F2)")+COUNTIFS(Tornade!#REF!,$L8,Tornade!#REF!,"T(EF2)")</f>
        <v>#REF!</v>
      </c>
      <c r="P8" s="28" t="e">
        <f>COUNTIFS(Tornade!#REF!,$L8,Tornade!#REF!,"T(F3)")+COUNTIFS(Tornade!#REF!,$L8,Tornade!#REF!,"T(EF3)")</f>
        <v>#REF!</v>
      </c>
      <c r="Q8" s="28" t="e">
        <f>COUNTIFS(Tornade!#REF!,$L8,Tornade!#REF!,"T(F4)")+COUNTIFS(Tornade!#REF!,$L8,Tornade!#REF!,"T(EF4)")</f>
        <v>#REF!</v>
      </c>
      <c r="R8" s="28" t="e">
        <f>COUNTIFS(Tornade!#REF!,$L8,Tornade!#REF!,"T(F5)")+COUNTIFS(Tornade!#REF!,$L8,Tornade!#REF!,"T(EF5)")</f>
        <v>#REF!</v>
      </c>
      <c r="S8" s="143" t="e">
        <f t="shared" si="1"/>
        <v>#REF!</v>
      </c>
      <c r="T8" s="142"/>
      <c r="U8" s="28">
        <f>COUNTIFS(WFCN!N:N,"&gt;38718",WFCN!N:N,"&lt;39083")</f>
        <v>3</v>
      </c>
      <c r="V8" s="28">
        <f>COUNTIFS(WFCN!O:O,"&gt;38718",WFCN!O:O,"&lt;39083")</f>
        <v>2</v>
      </c>
      <c r="W8" s="125"/>
      <c r="X8" s="28">
        <f>COUNTIFS(WFCN!$E:$E,"&gt;38718",WFCN!$E:$E,"&lt;39083",WFCN!P:P,"oui")</f>
        <v>0</v>
      </c>
      <c r="Y8" s="125" t="e">
        <f t="shared" si="2"/>
        <v>#REF!</v>
      </c>
      <c r="Z8" s="28">
        <v>235</v>
      </c>
      <c r="AA8" s="125">
        <f>COUNTIFS(WFCN!A:A,"&gt;38718",WFCN!A:A,"&lt;39083")</f>
        <v>0</v>
      </c>
      <c r="AB8" s="28">
        <f>COUNTIFS(WFCN!$E:$E,"&gt;38718",WFCN!$E:$E,"&lt;39083",WFCN!$H:$H,"s")+COUNTIFS(WFCN!$E:$E,"&gt;39814",WFCN!$E:$E,"&lt;40179",WFCN!$H:$H,"mpi")</f>
        <v>0</v>
      </c>
      <c r="AC8" s="125">
        <f>COUNTIFS(WFCN!$E:$E,"&gt;38718",WFCN!$E:$E,"&lt;39083",WFCN!$H:$H,"MA")+COUNTIFS(WFCN!$E:$E,"&gt;38718",WFCN!$E:$E,"&lt;39083",WFCN!$H:$H,"MP0")</f>
        <v>4</v>
      </c>
      <c r="AD8" s="125">
        <f>COUNTIFS(WFCN!E:E,"&gt;38718",WFCN!E:E,"&lt;39083",WFCN!H:H,"f")</f>
        <v>0</v>
      </c>
    </row>
    <row r="9" spans="1:30" ht="18" customHeight="1">
      <c r="A9" s="2" t="s">
        <v>115</v>
      </c>
      <c r="B9" s="42" t="e">
        <f>COUNTIF(Tornade!#REF!,8)/(YEAR(MAX(Tornade!A:A))-YEAR(MIN(Tornade!A:A)))</f>
        <v>#REF!</v>
      </c>
      <c r="C9" s="39" t="e">
        <f t="shared" si="0"/>
        <v>#REF!</v>
      </c>
      <c r="L9" s="43">
        <v>2007</v>
      </c>
      <c r="M9" s="28" t="e">
        <f>COUNTIFS(Tornade!#REF!,$L9,Tornade!#REF!,"T(F0)")+COUNTIFS(Tornade!#REF!,$L9,Tornade!#REF!,"T(EF0)")</f>
        <v>#REF!</v>
      </c>
      <c r="N9" s="28" t="e">
        <f>COUNTIFS(Tornade!#REF!,$L9,Tornade!#REF!,"T(F1)")+COUNTIFS(Tornade!#REF!,$L9,Tornade!#REF!,"T(EF1)")</f>
        <v>#REF!</v>
      </c>
      <c r="O9" s="28" t="e">
        <f>COUNTIFS(Tornade!#REF!,$L9,Tornade!#REF!,"T(F2)")+COUNTIFS(Tornade!#REF!,$L9,Tornade!#REF!,"T(EF2)")</f>
        <v>#REF!</v>
      </c>
      <c r="P9" s="28" t="e">
        <f>COUNTIFS(Tornade!#REF!,$L9,Tornade!#REF!,"T(F3)")+COUNTIFS(Tornade!#REF!,$L9,Tornade!#REF!,"T(EF3)")</f>
        <v>#REF!</v>
      </c>
      <c r="Q9" s="28" t="e">
        <f>COUNTIFS(Tornade!#REF!,$L9,Tornade!#REF!,"T(F4)")+COUNTIFS(Tornade!#REF!,$L9,Tornade!#REF!,"T(EF4)")</f>
        <v>#REF!</v>
      </c>
      <c r="R9" s="28" t="e">
        <f>COUNTIFS(Tornade!#REF!,$L9,Tornade!#REF!,"T(F5)")+COUNTIFS(Tornade!#REF!,$L9,Tornade!#REF!,"T(EF5)")</f>
        <v>#REF!</v>
      </c>
      <c r="S9" s="143" t="e">
        <f t="shared" si="1"/>
        <v>#REF!</v>
      </c>
      <c r="T9" s="142"/>
      <c r="U9" s="28">
        <f>COUNTIFS(WFCN!N:N,"&gt;39083",WFCN!N:N,"&lt;39448")</f>
        <v>2</v>
      </c>
      <c r="V9" s="28">
        <f>COUNTIFS(WFCN!O:O,"&gt;39083",WFCN!O:O,"&lt;39448")</f>
        <v>0</v>
      </c>
      <c r="W9" s="125"/>
      <c r="X9" s="28">
        <f>COUNTIFS(WFCN!$E:$E,"&gt;39083",WFCN!$E:$E,"&lt;39448",WFCN!P:P,"oui")</f>
        <v>0</v>
      </c>
      <c r="Y9" s="125" t="e">
        <f t="shared" si="2"/>
        <v>#REF!</v>
      </c>
      <c r="Z9" s="28">
        <v>122</v>
      </c>
      <c r="AA9" s="125">
        <f>COUNTIFS(WFCN!A:A,"&gt;39083",WFCN!A:A,"&lt;39448")</f>
        <v>1</v>
      </c>
      <c r="AB9" s="28">
        <f>COUNTIFS(WFCN!$E:$E,"&gt;39083",WFCN!$E:$E,"&lt;39448",WFCN!$H:$H,"s")+COUNTIFS(WFCN!$E:$E,"&gt;39814",WFCN!$E:$E,"&lt;40179",WFCN!$H:$H,"mpi")</f>
        <v>0</v>
      </c>
      <c r="AC9" s="125">
        <f>COUNTIFS(WFCN!$E:$E,"&gt;39083",WFCN!$E:$E,"&lt;39448",WFCN!$H:$H,"MA")+COUNTIFS(WFCN!$E:$E,"&gt;39083",WFCN!$E:$E,"&lt;39448",WFCN!$H:$H,"MP0")</f>
        <v>4</v>
      </c>
      <c r="AD9" s="125">
        <f>COUNTIFS(WFCN!E:E,"&gt;39083",WFCN!E:E,"&lt;39448",WFCN!H:H,"f")</f>
        <v>1</v>
      </c>
    </row>
    <row r="10" spans="1:30" ht="18" customHeight="1">
      <c r="A10" s="2" t="s">
        <v>116</v>
      </c>
      <c r="B10" s="1" t="e">
        <f>COUNTIF(Tornade!#REF!,9)/(YEAR(MAX(Tornade!A:A))-YEAR(MIN(Tornade!A:A)))</f>
        <v>#REF!</v>
      </c>
      <c r="C10" s="39" t="e">
        <f t="shared" si="0"/>
        <v>#REF!</v>
      </c>
      <c r="L10" s="43">
        <v>2008</v>
      </c>
      <c r="M10" s="28" t="e">
        <f>COUNTIFS(Tornade!#REF!,$L10,Tornade!#REF!,"T(F0)")+COUNTIFS(Tornade!#REF!,$L10,Tornade!#REF!,"T(EF0)")</f>
        <v>#REF!</v>
      </c>
      <c r="N10" s="28" t="e">
        <f>COUNTIFS(Tornade!#REF!,$L10,Tornade!#REF!,"T(F1)")+COUNTIFS(Tornade!#REF!,$L10,Tornade!#REF!,"T(EF1)")</f>
        <v>#REF!</v>
      </c>
      <c r="O10" s="28" t="e">
        <f>COUNTIFS(Tornade!#REF!,$L10,Tornade!#REF!,"T(F2)")+COUNTIFS(Tornade!#REF!,$L10,Tornade!#REF!,"T(EF2)")</f>
        <v>#REF!</v>
      </c>
      <c r="P10" s="28" t="e">
        <f>COUNTIFS(Tornade!#REF!,$L10,Tornade!#REF!,"T(F3)")+COUNTIFS(Tornade!#REF!,$L10,Tornade!#REF!,"T(EF3)")</f>
        <v>#REF!</v>
      </c>
      <c r="Q10" s="28" t="e">
        <f>COUNTIFS(Tornade!#REF!,$L10,Tornade!#REF!,"T(F4)")+COUNTIFS(Tornade!#REF!,$L10,Tornade!#REF!,"T(EF4)")</f>
        <v>#REF!</v>
      </c>
      <c r="R10" s="28" t="e">
        <f>COUNTIFS(Tornade!#REF!,$L10,Tornade!#REF!,"T(F5)")+COUNTIFS(Tornade!#REF!,$L10,Tornade!#REF!,"T(EF5)")</f>
        <v>#REF!</v>
      </c>
      <c r="S10" s="143" t="e">
        <f t="shared" si="1"/>
        <v>#REF!</v>
      </c>
      <c r="T10" s="142"/>
      <c r="U10" s="28">
        <f>COUNTIFS(WFCN!N:N,"&gt;39448",WFCN!N:N,"&lt;39814")</f>
        <v>2</v>
      </c>
      <c r="V10" s="28">
        <f>COUNTIFS(WFCN!O:O,"&gt;39448",WFCN!O:O,"&lt;39814")</f>
        <v>2</v>
      </c>
      <c r="W10" s="125"/>
      <c r="X10" s="28">
        <f>COUNTIFS(WFCN!$E:$E,"&gt;39448",WFCN!$E:$E,"&lt;39814",WFCN!P:P,"oui")</f>
        <v>1</v>
      </c>
      <c r="Y10" s="125" t="e">
        <f t="shared" si="2"/>
        <v>#REF!</v>
      </c>
      <c r="Z10" s="28">
        <v>218</v>
      </c>
      <c r="AA10" s="125">
        <f>COUNTIFS(WFCN!A:A,"&gt;39448",WFCN!A:A,"&lt;39814")</f>
        <v>0</v>
      </c>
      <c r="AB10" s="28">
        <f>COUNTIFS(WFCN!$E:$E,"&gt;39448",WFCN!$E:$E,"&lt;39814",WFCN!$H:$H,"s")+COUNTIFS(WFCN!$E:$E,"&gt;39814",WFCN!$E:$E,"&lt;40179",WFCN!$H:$H,"mpi")</f>
        <v>0</v>
      </c>
      <c r="AC10" s="125">
        <f>COUNTIFS(WFCN!$E:$E,"&gt;39448",WFCN!$E:$E,"&lt;39814",WFCN!$H:$H,"MA")+COUNTIFS(WFCN!$E:$E,"&gt;39448",WFCN!$E:$E,"&lt;39814",WFCN!$H:$H,"MP0")</f>
        <v>4</v>
      </c>
      <c r="AD10" s="125">
        <f>COUNTIFS(WFCN!E:E,"&gt;39448",WFCN!E:E,"&lt;39814",WFCN!H:H,"f")</f>
        <v>0</v>
      </c>
    </row>
    <row r="11" spans="1:30" ht="18" customHeight="1">
      <c r="A11" s="2" t="s">
        <v>117</v>
      </c>
      <c r="B11" s="1" t="e">
        <f>COUNTIF(Tornade!#REF!,10)/(YEAR(MAX(Tornade!A:A))-YEAR(MIN(Tornade!A:A)))</f>
        <v>#REF!</v>
      </c>
      <c r="C11" s="39" t="e">
        <f t="shared" si="0"/>
        <v>#REF!</v>
      </c>
      <c r="L11" s="43">
        <v>2009</v>
      </c>
      <c r="M11" s="28" t="e">
        <f>COUNTIFS(Tornade!#REF!,$L11,Tornade!#REF!,"T(F0)")+COUNTIFS(Tornade!#REF!,$L11,Tornade!#REF!,"T(EF0)")</f>
        <v>#REF!</v>
      </c>
      <c r="N11" s="28" t="e">
        <f>COUNTIFS(Tornade!#REF!,$L11,Tornade!#REF!,"T(F1)")+COUNTIFS(Tornade!#REF!,$L11,Tornade!#REF!,"T(EF1)")</f>
        <v>#REF!</v>
      </c>
      <c r="O11" s="28" t="e">
        <f>COUNTIFS(Tornade!#REF!,$L11,Tornade!#REF!,"T(F2)")+COUNTIFS(Tornade!#REF!,$L11,Tornade!#REF!,"T(EF2)")</f>
        <v>#REF!</v>
      </c>
      <c r="P11" s="28" t="e">
        <f>COUNTIFS(Tornade!#REF!,$L11,Tornade!#REF!,"T(F3)")+COUNTIFS(Tornade!#REF!,$L11,Tornade!#REF!,"T(EF3)")</f>
        <v>#REF!</v>
      </c>
      <c r="Q11" s="28" t="e">
        <f>COUNTIFS(Tornade!#REF!,$L11,Tornade!#REF!,"T(F4)")+COUNTIFS(Tornade!#REF!,$L11,Tornade!#REF!,"T(EF4)")</f>
        <v>#REF!</v>
      </c>
      <c r="R11" s="28" t="e">
        <f>COUNTIFS(Tornade!#REF!,$L11,Tornade!#REF!,"T(F5)")+COUNTIFS(Tornade!#REF!,$L11,Tornade!#REF!,"T(EF5)")</f>
        <v>#REF!</v>
      </c>
      <c r="S11" s="143" t="e">
        <f t="shared" si="1"/>
        <v>#REF!</v>
      </c>
      <c r="T11" s="142"/>
      <c r="U11" s="28">
        <f>COUNTIFS(WFCN!N:N,"&gt;39814",WFCN!N:N,"&lt;40179")</f>
        <v>5</v>
      </c>
      <c r="V11" s="28">
        <f>COUNTIFS(WFCN!O:O,"&gt;39814",WFCN!O:O,"&lt;40179")</f>
        <v>4</v>
      </c>
      <c r="W11" s="125"/>
      <c r="X11" s="28">
        <f>COUNTIFS(WFCN!$E:$E,"&gt;39814",WFCN!$E:$E,"&lt;40179",WFCN!P:P,"oui")</f>
        <v>1</v>
      </c>
      <c r="Y11" s="125" t="e">
        <f t="shared" si="2"/>
        <v>#REF!</v>
      </c>
      <c r="Z11" s="28">
        <v>19</v>
      </c>
      <c r="AA11" s="125">
        <f>COUNTIFS(WFCN!A:A,"&gt;39814",WFCN!A:A,"&lt;40179")</f>
        <v>12</v>
      </c>
      <c r="AB11" s="28">
        <f>COUNTIFS(WFCN!$E:$E,"&gt;39814",WFCN!$E:$E,"&lt;40179",WFCN!$H:$H,"s")+COUNTIFS(WFCN!$E:$E,"&gt;39814",WFCN!$E:$E,"&lt;40179",WFCN!$H:$H,"mpi")</f>
        <v>0</v>
      </c>
      <c r="AC11" s="125">
        <f>COUNTIFS(WFCN!$E:$E,"&gt;39814",WFCN!$E:$E,"&lt;40179",WFCN!$H:$H,"MA")+COUNTIFS(WFCN!$E:$E,"&gt;39814",WFCN!$E:$E,"&lt;40179",WFCN!$H:$H,"MP0")</f>
        <v>8</v>
      </c>
      <c r="AD11" s="125">
        <f>COUNTIFS(WFCN!E:E,"&gt;39814",WFCN!E:E,"&lt;40179",WFCN!H:H,"f")</f>
        <v>10</v>
      </c>
    </row>
    <row r="12" spans="1:30" ht="18" customHeight="1">
      <c r="A12" s="2" t="s">
        <v>118</v>
      </c>
      <c r="B12" s="1" t="e">
        <f>COUNTIF(Tornade!#REF!,11)/(YEAR(MAX(Tornade!A:A))-YEAR(MIN(Tornade!A:A)))</f>
        <v>#REF!</v>
      </c>
      <c r="C12" s="39" t="e">
        <f t="shared" si="0"/>
        <v>#REF!</v>
      </c>
      <c r="L12" s="43">
        <v>2010</v>
      </c>
      <c r="M12" s="28" t="e">
        <f>COUNTIFS(Tornade!#REF!,$L12,Tornade!#REF!,"T(F0)")+COUNTIFS(Tornade!#REF!,$L12,Tornade!#REF!,"T(EF0)")</f>
        <v>#REF!</v>
      </c>
      <c r="N12" s="28" t="e">
        <f>COUNTIFS(Tornade!#REF!,$L12,Tornade!#REF!,"T(F1)")+COUNTIFS(Tornade!#REF!,$L12,Tornade!#REF!,"T(EF1)")</f>
        <v>#REF!</v>
      </c>
      <c r="O12" s="28" t="e">
        <f>COUNTIFS(Tornade!#REF!,$L12,Tornade!#REF!,"T(F2)")+COUNTIFS(Tornade!#REF!,$L12,Tornade!#REF!,"T(EF2)")</f>
        <v>#REF!</v>
      </c>
      <c r="P12" s="28" t="e">
        <f>COUNTIFS(Tornade!#REF!,$L12,Tornade!#REF!,"T(F3)")+COUNTIFS(Tornade!#REF!,$L12,Tornade!#REF!,"T(EF3)")</f>
        <v>#REF!</v>
      </c>
      <c r="Q12" s="28" t="e">
        <f>COUNTIFS(Tornade!#REF!,$L12,Tornade!#REF!,"T(F4)")+COUNTIFS(Tornade!#REF!,$L12,Tornade!#REF!,"T(EF4)")</f>
        <v>#REF!</v>
      </c>
      <c r="R12" s="28" t="e">
        <f>COUNTIFS(Tornade!#REF!,$L12,Tornade!#REF!,"T(F5)")+COUNTIFS(Tornade!#REF!,$L12,Tornade!#REF!,"T(EF5)")</f>
        <v>#REF!</v>
      </c>
      <c r="S12" s="143" t="e">
        <f t="shared" si="1"/>
        <v>#REF!</v>
      </c>
      <c r="T12" s="142"/>
      <c r="U12" s="28">
        <f>COUNTIFS(WFCN!N:N,"&gt;40179",WFCN!N:N,"&lt;40544")</f>
        <v>3</v>
      </c>
      <c r="V12" s="28">
        <f>COUNTIFS(WFCN!O:O,"&gt;40179",WFCN!O:O,"&lt;40544")</f>
        <v>1</v>
      </c>
      <c r="W12" s="125"/>
      <c r="X12" s="28">
        <f>COUNTIFS(WFCN!$E:$E,"&gt;40179",WFCN!$E:$E,"&lt;40544",WFCN!P:P,"oui")</f>
        <v>2</v>
      </c>
      <c r="Y12" s="125" t="e">
        <f t="shared" si="2"/>
        <v>#REF!</v>
      </c>
      <c r="Z12" s="28">
        <v>254</v>
      </c>
      <c r="AA12" s="125">
        <f>COUNTIFS(WFCN!A:A,"&gt;40179",WFCN!A:A,"&lt;40544")</f>
        <v>3</v>
      </c>
      <c r="AB12" s="28">
        <f>COUNTIFS(WFCN!$E:$E,"&gt;40179",WFCN!$E:$E,"&lt;40544",WFCN!$H:$H,"s")+COUNTIFS(WFCN!$E:$E,"&gt;39814",WFCN!$E:$E,"&lt;40179",WFCN!$H:$H,"mpi")</f>
        <v>0</v>
      </c>
      <c r="AC12" s="125">
        <f>COUNTIFS(WFCN!$E:$E,"&gt;40179",WFCN!$E:$E,"&lt;40544",WFCN!$H:$H,"MA")+COUNTIFS(WFCN!$E:$E,"&gt;40179",WFCN!$E:$E,"&lt;40544",WFCN!$H:$H,"MP0")</f>
        <v>5</v>
      </c>
      <c r="AD12" s="125">
        <f>COUNTIFS(WFCN!E:E,"&gt;40179",WFCN!E:E,"&lt;40544",WFCN!H:H,"f")</f>
        <v>3</v>
      </c>
    </row>
    <row r="13" spans="1:30" ht="18" customHeight="1">
      <c r="A13" s="2" t="s">
        <v>119</v>
      </c>
      <c r="B13" s="1" t="e">
        <f>COUNTIF(Tornade!#REF!,12)/(YEAR(MAX(Tornade!A:A))-YEAR(MIN(Tornade!A:A)))</f>
        <v>#REF!</v>
      </c>
      <c r="C13" s="39" t="e">
        <f t="shared" si="0"/>
        <v>#REF!</v>
      </c>
      <c r="L13" s="43">
        <v>2011</v>
      </c>
      <c r="M13" s="28" t="e">
        <f>COUNTIFS(Tornade!#REF!,$L13,Tornade!#REF!,"T(F0)")+COUNTIFS(Tornade!#REF!,$L13,Tornade!#REF!,"T(EF0)")</f>
        <v>#REF!</v>
      </c>
      <c r="N13" s="28" t="e">
        <f>COUNTIFS(Tornade!#REF!,$L13,Tornade!#REF!,"T(F1)")+COUNTIFS(Tornade!#REF!,$L13,Tornade!#REF!,"T(EF1)")</f>
        <v>#REF!</v>
      </c>
      <c r="O13" s="28" t="e">
        <f>COUNTIFS(Tornade!#REF!,$L13,Tornade!#REF!,"T(F2)")+COUNTIFS(Tornade!#REF!,$L13,Tornade!#REF!,"T(EF2)")</f>
        <v>#REF!</v>
      </c>
      <c r="P13" s="28" t="e">
        <f>COUNTIFS(Tornade!#REF!,$L13,Tornade!#REF!,"T(F3)")+COUNTIFS(Tornade!#REF!,$L13,Tornade!#REF!,"T(EF3)")</f>
        <v>#REF!</v>
      </c>
      <c r="Q13" s="28" t="e">
        <f>COUNTIFS(Tornade!#REF!,$L13,Tornade!#REF!,"T(F4)")+COUNTIFS(Tornade!#REF!,$L13,Tornade!#REF!,"T(EF4)")</f>
        <v>#REF!</v>
      </c>
      <c r="R13" s="28" t="e">
        <f>COUNTIFS(Tornade!#REF!,$L13,Tornade!#REF!,"T(F5)")+COUNTIFS(Tornade!#REF!,$L13,Tornade!#REF!,"T(EF5)")</f>
        <v>#REF!</v>
      </c>
      <c r="S13" s="143" t="e">
        <f t="shared" si="1"/>
        <v>#REF!</v>
      </c>
      <c r="T13" s="142"/>
      <c r="U13" s="28">
        <f>COUNTIFS(WFCN!N:N,"&gt;40544",WFCN!N:N,"&lt;40909")</f>
        <v>4</v>
      </c>
      <c r="V13" s="28">
        <f>COUNTIFS(WFCN!O:O,"&gt;40544",WFCN!O:O,"&lt;40909")</f>
        <v>3</v>
      </c>
      <c r="W13" s="125"/>
      <c r="X13" s="28">
        <f>COUNTIFS(WFCN!$E:$E,"&gt;40544",WFCN!$E:$E,"&lt;40909",WFCN!P:P,"oui")</f>
        <v>2</v>
      </c>
      <c r="Y13" s="125" t="e">
        <f t="shared" si="2"/>
        <v>#REF!</v>
      </c>
      <c r="Z13" s="28">
        <v>505</v>
      </c>
      <c r="AA13" s="125">
        <f>COUNTIFS(WFCN!A:A,"&gt;40544",WFCN!A:A,"&lt;40909")</f>
        <v>5</v>
      </c>
      <c r="AB13" s="28">
        <f>COUNTIFS(WFCN!$E:$E,"&gt;40544",WFCN!$E:$E,"&lt;40909",WFCN!$H:$H,"s")+COUNTIFS(WFCN!$E:$E,"&gt;39814",WFCN!$E:$E,"&lt;40179",WFCN!$H:$H,"mpi")</f>
        <v>0</v>
      </c>
      <c r="AC13" s="125">
        <f>COUNTIFS(WFCN!$E:$E,"&gt;40544",WFCN!$E:$E,"&lt;40909",WFCN!$H:$H,"MA")+COUNTIFS(WFCN!$E:$E,"&gt;40544",WFCN!$E:$E,"&lt;40909",WFCN!$H:$H,"MP0")</f>
        <v>4</v>
      </c>
      <c r="AD13" s="125">
        <f>COUNTIFS(WFCN!E:E,"&gt;40544",WFCN!E:E,"&lt;40909",WFCN!H:H,"f")</f>
        <v>5</v>
      </c>
    </row>
    <row r="14" spans="1:30" ht="12.75">
      <c r="A14" s="1" t="s">
        <v>279</v>
      </c>
      <c r="B14" s="1" t="e">
        <f>SUM(B2:B13)</f>
        <v>#REF!</v>
      </c>
      <c r="L14" s="43">
        <v>2012</v>
      </c>
      <c r="M14" s="28" t="e">
        <f>COUNTIFS(Tornade!#REF!,$L14,Tornade!#REF!,"T(F0)")+COUNTIFS(Tornade!#REF!,$L14,Tornade!#REF!,"T(EF0)")</f>
        <v>#REF!</v>
      </c>
      <c r="N14" s="28" t="e">
        <f>COUNTIFS(Tornade!#REF!,$L14,Tornade!#REF!,"T(F1)")+COUNTIFS(Tornade!#REF!,$L14,Tornade!#REF!,"T(EF1)")</f>
        <v>#REF!</v>
      </c>
      <c r="O14" s="28" t="e">
        <f>COUNTIFS(Tornade!#REF!,$L14,Tornade!#REF!,"T(F2)")+COUNTIFS(Tornade!#REF!,$L14,Tornade!#REF!,"T(EF2)")</f>
        <v>#REF!</v>
      </c>
      <c r="P14" s="28" t="e">
        <f>COUNTIFS(Tornade!#REF!,$L14,Tornade!#REF!,"T(F3)")+COUNTIFS(Tornade!#REF!,$L14,Tornade!#REF!,"T(EF3)")</f>
        <v>#REF!</v>
      </c>
      <c r="Q14" s="28" t="e">
        <f>COUNTIFS(Tornade!#REF!,$L14,Tornade!#REF!,"T(F4)")+COUNTIFS(Tornade!#REF!,$L14,Tornade!#REF!,"T(EF4)")</f>
        <v>#REF!</v>
      </c>
      <c r="R14" s="28" t="e">
        <f>COUNTIFS(Tornade!#REF!,$L14,Tornade!#REF!,"T(F5)")+COUNTIFS(Tornade!#REF!,$L14,Tornade!#REF!,"T(EF5)")</f>
        <v>#REF!</v>
      </c>
      <c r="S14" s="143" t="e">
        <f t="shared" si="1"/>
        <v>#REF!</v>
      </c>
      <c r="T14" s="142"/>
      <c r="U14" s="28">
        <f>COUNTIFS(WFCN!N:N,"&gt;40909",WFCN!N:N,"&lt;41275")</f>
        <v>5</v>
      </c>
      <c r="V14" s="28">
        <f>COUNTIFS(WFCN!O:O,"&gt;40909",WFCN!O:O,"&lt;41275")</f>
        <v>4</v>
      </c>
      <c r="W14" s="125"/>
      <c r="X14" s="28">
        <f>COUNTIFS(WFCN!$E:$E,"&gt;40909",WFCN!$E:$E,"&lt;41275",WFCN!P:P,"oui")</f>
        <v>3</v>
      </c>
      <c r="Y14" s="125" t="e">
        <f t="shared" si="2"/>
        <v>#REF!</v>
      </c>
      <c r="Z14" s="28">
        <v>323</v>
      </c>
      <c r="AA14" s="125">
        <f>COUNTIFS(WFCN!A:A,"&gt;40909",WFCN!A:A,"&lt;41275")</f>
        <v>29</v>
      </c>
      <c r="AB14" s="28">
        <f>COUNTIFS(WFCN!$E:$E,"&gt;40909",WFCN!$E:$E,"&lt;41275",WFCN!$H:$H,"s")+COUNTIFS(WFCN!$E:$E,"&gt;39814",WFCN!$E:$E,"&lt;40179",WFCN!$H:$H,"mpi")</f>
        <v>1</v>
      </c>
      <c r="AC14" s="125">
        <f>COUNTIFS(WFCN!$E:$E,"&gt;40909",WFCN!$E:$E,"&lt;41275",WFCN!$H:$H,"MA")+COUNTIFS(WFCN!$E:$E,"&gt;40909",WFCN!$E:$E,"&lt;41275",WFCN!$H:$H,"MP0")</f>
        <v>5</v>
      </c>
      <c r="AD14" s="125">
        <f>COUNTIFS(WFCN!E:E,"&gt;40909",WFCN!E:E,"&lt;41275",WFCN!H:H,"f")</f>
        <v>28</v>
      </c>
    </row>
    <row r="15" spans="1:30" ht="12.75">
      <c r="L15" s="43">
        <v>2013</v>
      </c>
      <c r="M15" s="28" t="e">
        <f>COUNTIFS(Tornade!#REF!,$L15,Tornade!#REF!,"T(F0)")+COUNTIFS(Tornade!#REF!,$L15,Tornade!#REF!,"T(EF0)")</f>
        <v>#REF!</v>
      </c>
      <c r="N15" s="28" t="e">
        <f>COUNTIFS(Tornade!#REF!,$L15,Tornade!#REF!,"T(F1)")+COUNTIFS(Tornade!#REF!,$L15,Tornade!#REF!,"T(EF1)")</f>
        <v>#REF!</v>
      </c>
      <c r="O15" s="28" t="e">
        <f>COUNTIFS(Tornade!#REF!,$L15,Tornade!#REF!,"T(F2)")+COUNTIFS(Tornade!#REF!,$L15,Tornade!#REF!,"T(EF2)")</f>
        <v>#REF!</v>
      </c>
      <c r="P15" s="28" t="e">
        <f>COUNTIFS(Tornade!#REF!,$L15,Tornade!#REF!,"T(F3)")+COUNTIFS(Tornade!#REF!,$L15,Tornade!#REF!,"T(EF3)")</f>
        <v>#REF!</v>
      </c>
      <c r="Q15" s="28" t="e">
        <f>COUNTIFS(Tornade!#REF!,$L15,Tornade!#REF!,"T(F4)")+COUNTIFS(Tornade!#REF!,$L15,Tornade!#REF!,"T(EF4)")</f>
        <v>#REF!</v>
      </c>
      <c r="R15" s="28" t="e">
        <f>COUNTIFS(Tornade!#REF!,$L15,Tornade!#REF!,"T(F5)")+COUNTIFS(Tornade!#REF!,$L15,Tornade!#REF!,"T(EF5)")</f>
        <v>#REF!</v>
      </c>
      <c r="S15" s="143" t="e">
        <f t="shared" si="1"/>
        <v>#REF!</v>
      </c>
      <c r="T15" s="142"/>
      <c r="U15" s="28">
        <f>COUNTIFS(WFCN!N:N,"&gt;41275",WFCN!N:N,"&lt;41640")</f>
        <v>2</v>
      </c>
      <c r="V15" s="28">
        <f>COUNTIFS(WFCN!O:O,"&gt;41275",WFCN!O:O,"&lt;41640")</f>
        <v>1</v>
      </c>
      <c r="W15" s="125"/>
      <c r="X15" s="28">
        <f>COUNTIFS(WFCN!$E:$E,"&gt;41275",WFCN!$E:$E,"&lt;41640",WFCN!P:P,"oui")</f>
        <v>1</v>
      </c>
      <c r="Y15" s="125" t="e">
        <f t="shared" si="2"/>
        <v>#REF!</v>
      </c>
      <c r="Z15" s="28">
        <v>426</v>
      </c>
      <c r="AA15" s="125">
        <f>COUNTIFS(WFCN!A:A,"&gt;41275",WFCN!A:A,"&lt;41640")</f>
        <v>20</v>
      </c>
      <c r="AB15" s="28">
        <f>COUNTIFS(WFCN!$E:$E,"&gt;41275",WFCN!$E:$E,"&lt;41640",WFCN!$H:$H,"s")+COUNTIFS(WFCN!$E:$E,"&gt;39814",WFCN!$E:$E,"&lt;40179",WFCN!$H:$H,"mpi")</f>
        <v>0</v>
      </c>
      <c r="AC15" s="125">
        <f>COUNTIFS(WFCN!$E:$E,"&gt;41275",WFCN!$E:$E,"&lt;41640",WFCN!$H:$H,"MA")+COUNTIFS(WFCN!$E:$E,"&gt;41275",WFCN!$E:$E,"&lt;41640",WFCN!$H:$H,"MP0")</f>
        <v>4</v>
      </c>
      <c r="AD15" s="125">
        <f>COUNTIFS(WFCN!E:E,"&gt;41275",WFCN!E:E,"&lt;41640",WFCN!H:H,"f")</f>
        <v>20</v>
      </c>
    </row>
    <row r="16" spans="1:30" ht="12.75">
      <c r="A16" s="1" t="s">
        <v>2</v>
      </c>
      <c r="B16" s="2" t="s">
        <v>105</v>
      </c>
      <c r="C16" s="2" t="s">
        <v>106</v>
      </c>
      <c r="L16" s="43">
        <v>2014</v>
      </c>
      <c r="M16" s="28" t="e">
        <f>COUNTIFS(Tornade!#REF!,$L16,Tornade!#REF!,"T(F0)")+COUNTIFS(Tornade!#REF!,$L16,Tornade!#REF!,"T(EF0)")</f>
        <v>#REF!</v>
      </c>
      <c r="N16" s="28" t="e">
        <f>COUNTIFS(Tornade!#REF!,$L16,Tornade!#REF!,"T(F1)")+COUNTIFS(Tornade!#REF!,$L16,Tornade!#REF!,"T(EF1)")</f>
        <v>#REF!</v>
      </c>
      <c r="O16" s="28" t="e">
        <f>COUNTIFS(Tornade!#REF!,$L16,Tornade!#REF!,"T(F2)")+COUNTIFS(Tornade!#REF!,$L16,Tornade!#REF!,"T(EF2)")</f>
        <v>#REF!</v>
      </c>
      <c r="P16" s="28" t="e">
        <f>COUNTIFS(Tornade!#REF!,$L16,Tornade!#REF!,"T(F3)")+COUNTIFS(Tornade!#REF!,$L16,Tornade!#REF!,"T(EF3)")</f>
        <v>#REF!</v>
      </c>
      <c r="Q16" s="28" t="e">
        <f>COUNTIFS(Tornade!#REF!,$L16,Tornade!#REF!,"T(F4)")+COUNTIFS(Tornade!#REF!,$L16,Tornade!#REF!,"T(EF4)")</f>
        <v>#REF!</v>
      </c>
      <c r="R16" s="28" t="e">
        <f>COUNTIFS(Tornade!#REF!,$L16,Tornade!#REF!,"T(F5)")+COUNTIFS(Tornade!#REF!,$L16,Tornade!#REF!,"T(EF5)")</f>
        <v>#REF!</v>
      </c>
      <c r="S16" s="143" t="e">
        <f t="shared" si="1"/>
        <v>#REF!</v>
      </c>
      <c r="T16" s="142"/>
      <c r="U16" s="28">
        <f>COUNTIFS(WFCN!N:N,"&gt;41640",WFCN!N:N,"&lt;42005")</f>
        <v>6</v>
      </c>
      <c r="V16" s="28">
        <f>COUNTIFS(WFCN!O:O,"&gt;41640",WFCN!O:O,"&lt;42005")</f>
        <v>3</v>
      </c>
      <c r="W16" s="125"/>
      <c r="X16" s="28">
        <f>COUNTIFS(WFCN!$E:$E,"&gt;41640",WFCN!$E:$E,"&lt;42005",WFCN!P:P,"oui")</f>
        <v>3</v>
      </c>
      <c r="Y16" s="125" t="e">
        <f t="shared" si="2"/>
        <v>#REF!</v>
      </c>
      <c r="Z16" s="28">
        <v>263</v>
      </c>
      <c r="AA16" s="125">
        <f>COUNTIFS(WFCN!A:A,"&gt;41640",WFCN!A:A,"&lt;42005")</f>
        <v>16</v>
      </c>
      <c r="AB16" s="28">
        <f>COUNTIFS(WFCN!$E:$E,"&gt;41640",WFCN!$E:$E,"&lt;42005",WFCN!$H:$H,"s")+COUNTIFS(WFCN!$E:$E,"&gt;39814",WFCN!$E:$E,"&lt;40179",WFCN!$H:$H,"mpi")</f>
        <v>0</v>
      </c>
      <c r="AC16" s="125">
        <f>COUNTIFS(WFCN!$E:$E,"&gt;41640",WFCN!$E:$E,"&lt;42005",WFCN!$H:$H,"MA")+COUNTIFS(WFCN!$E:$E,"&gt;41640",WFCN!$E:$E,"&lt;42005",WFCN!$H:$H,"MP0")</f>
        <v>6</v>
      </c>
      <c r="AD16" s="125">
        <f>COUNTIFS(WFCN!E:E,"&gt;41640",WFCN!E:E,"&lt;42005",WFCN!H:H,"f")</f>
        <v>13</v>
      </c>
    </row>
    <row r="17" spans="1:30" ht="12.75">
      <c r="A17" s="1">
        <v>0</v>
      </c>
      <c r="B17" s="1" t="e">
        <f>COUNTIF(Tornade!#REF!,"T(F0)")</f>
        <v>#REF!</v>
      </c>
      <c r="C17" s="1" t="e">
        <f>COUNTIF(Tornade!#REF!,"T(EF0)")</f>
        <v>#REF!</v>
      </c>
      <c r="L17" s="43">
        <v>2015</v>
      </c>
      <c r="M17" s="28" t="e">
        <f>COUNTIFS(Tornade!#REF!,$L17,Tornade!#REF!,"T(F0)")+COUNTIFS(Tornade!#REF!,$L17,Tornade!#REF!,"T(EF0)")</f>
        <v>#REF!</v>
      </c>
      <c r="N17" s="28" t="e">
        <f>COUNTIFS(Tornade!#REF!,$L17,Tornade!#REF!,"T(F1)")+COUNTIFS(Tornade!#REF!,$L17,Tornade!#REF!,"T(EF1)")</f>
        <v>#REF!</v>
      </c>
      <c r="O17" s="28" t="e">
        <f>COUNTIFS(Tornade!#REF!,$L17,Tornade!#REF!,"T(F2)")+COUNTIFS(Tornade!#REF!,$L17,Tornade!#REF!,"T(EF2)")</f>
        <v>#REF!</v>
      </c>
      <c r="P17" s="28" t="e">
        <f>COUNTIFS(Tornade!#REF!,$L17,Tornade!#REF!,"T(F3)")+COUNTIFS(Tornade!#REF!,$L17,Tornade!#REF!,"T(EF3)")</f>
        <v>#REF!</v>
      </c>
      <c r="Q17" s="28" t="e">
        <f>COUNTIFS(Tornade!#REF!,$L17,Tornade!#REF!,"T(F4)")+COUNTIFS(Tornade!#REF!,$L17,Tornade!#REF!,"T(EF4)")</f>
        <v>#REF!</v>
      </c>
      <c r="R17" s="28" t="e">
        <f>COUNTIFS(Tornade!#REF!,$L17,Tornade!#REF!,"T(F5)")+COUNTIFS(Tornade!#REF!,$L17,Tornade!#REF!,"T(EF5)")</f>
        <v>#REF!</v>
      </c>
      <c r="S17" s="143" t="e">
        <f t="shared" si="1"/>
        <v>#REF!</v>
      </c>
      <c r="T17" s="142"/>
      <c r="U17" s="28">
        <f>COUNTIFS(WFCN!N:N,"&gt;42005",WFCN!N:N,"&lt;42370")</f>
        <v>1</v>
      </c>
      <c r="V17" s="28">
        <f>COUNTIFS(WFCN!O:O,"&gt;42005",WFCN!O:O,"&lt;42370")</f>
        <v>0</v>
      </c>
      <c r="W17" s="125"/>
      <c r="X17" s="28">
        <f>COUNTIFS(WFCN!$E:$E,"&gt;42005",WFCN!$E:$E,"&lt;42370",WFCN!P:P,"oui")</f>
        <v>0</v>
      </c>
      <c r="Y17" s="125" t="e">
        <f t="shared" si="2"/>
        <v>#REF!</v>
      </c>
      <c r="Z17" s="28">
        <v>403</v>
      </c>
      <c r="AA17" s="125">
        <f>COUNTIFS(WFCN!A:A,"&gt;42005",WFCN!A:A,"&lt;42370")</f>
        <v>6</v>
      </c>
      <c r="AB17" s="28">
        <f>COUNTIFS(WFCN!$E:$E,"&gt;42005",WFCN!$E:$E,"&lt;42370",WFCN!$H:$H,"s")+COUNTIFS(WFCN!$E:$E,"&gt;39814",WFCN!$E:$E,"&lt;40179",WFCN!$H:$H,"mpi")</f>
        <v>0</v>
      </c>
      <c r="AC17" s="125">
        <f>COUNTIFS(WFCN!$E:$E,"&gt;42005",WFCN!$E:$E,"&lt;42370",WFCN!$H:$H,"MA")+COUNTIFS(WFCN!$E:$E,"&gt;42005",WFCN!$E:$E,"&lt;42370",WFCN!$H:$H,"MP0")</f>
        <v>1</v>
      </c>
      <c r="AD17" s="125">
        <f>COUNTIFS(WFCN!E:E,"&gt;42005",WFCN!E:E,"&lt;42370",WFCN!H:H,"f")</f>
        <v>6</v>
      </c>
    </row>
    <row r="18" spans="1:30" ht="12.75">
      <c r="A18" s="1">
        <v>1</v>
      </c>
      <c r="B18" s="1" t="e">
        <f>COUNTIF(Tornade!#REF!,"T(F1)")</f>
        <v>#REF!</v>
      </c>
      <c r="C18" s="1" t="e">
        <f>COUNTIF(Tornade!#REF!,"T(EF1)")</f>
        <v>#REF!</v>
      </c>
      <c r="L18" s="43">
        <v>2016</v>
      </c>
      <c r="M18" s="28" t="e">
        <f>COUNTIFS(Tornade!#REF!,$L18,Tornade!#REF!,"T(F0)")+COUNTIFS(Tornade!#REF!,$L18,Tornade!#REF!,"T(EF0)")</f>
        <v>#REF!</v>
      </c>
      <c r="N18" s="28" t="e">
        <f>COUNTIFS(Tornade!#REF!,$L18,Tornade!#REF!,"T(F1)")+COUNTIFS(Tornade!#REF!,$L18,Tornade!#REF!,"T(EF1)")</f>
        <v>#REF!</v>
      </c>
      <c r="O18" s="28" t="e">
        <f>COUNTIFS(Tornade!#REF!,$L18,Tornade!#REF!,"T(F2)")+COUNTIFS(Tornade!#REF!,$L18,Tornade!#REF!,"T(EF2)")</f>
        <v>#REF!</v>
      </c>
      <c r="P18" s="28" t="e">
        <f>COUNTIFS(Tornade!#REF!,$L18,Tornade!#REF!,"T(F3)")+COUNTIFS(Tornade!#REF!,$L18,Tornade!#REF!,"T(EF3)")</f>
        <v>#REF!</v>
      </c>
      <c r="Q18" s="28" t="e">
        <f>COUNTIFS(Tornade!#REF!,$L18,Tornade!#REF!,"T(F4)")+COUNTIFS(Tornade!#REF!,$L18,Tornade!#REF!,"T(EF4)")</f>
        <v>#REF!</v>
      </c>
      <c r="R18" s="28" t="e">
        <f>COUNTIFS(Tornade!#REF!,$L18,Tornade!#REF!,"T(F5)")+COUNTIFS(Tornade!#REF!,$L18,Tornade!#REF!,"T(EF5)")</f>
        <v>#REF!</v>
      </c>
      <c r="S18" s="143" t="e">
        <f t="shared" si="1"/>
        <v>#REF!</v>
      </c>
      <c r="T18" s="142"/>
      <c r="U18" s="28">
        <f>COUNTIFS(WFCN!N:N,"&gt;42370",WFCN!N:N,"&lt;42736")</f>
        <v>4</v>
      </c>
      <c r="V18" s="28">
        <f>COUNTIFS(WFCN!O:O,"&gt;42370",WFCN!O:O,"&lt;42736")</f>
        <v>2</v>
      </c>
      <c r="W18" s="125"/>
      <c r="X18" s="28">
        <f>COUNTIFS(WFCN!$E:$E,"&gt;42370",WFCN!$E:$E,"&lt;42736",WFCN!P:P,"oui")</f>
        <v>1</v>
      </c>
      <c r="Y18" s="125" t="e">
        <f t="shared" si="2"/>
        <v>#REF!</v>
      </c>
      <c r="Z18" s="28"/>
      <c r="AA18" s="125">
        <f>COUNTIFS(WFCN!A:A,"&gt;42370",WFCN!A:A,"&lt;42736")</f>
        <v>1</v>
      </c>
      <c r="AB18" s="28">
        <f>COUNTIFS(WFCN!$E:$E,"&gt;42370",WFCN!$E:$E,"&lt;42736",WFCN!$H:$H,"s")+COUNTIFS(WFCN!$E:$E,"&gt;39814",WFCN!$E:$E,"&lt;40179",WFCN!$H:$H,"mpi")</f>
        <v>0</v>
      </c>
      <c r="AC18" s="125">
        <f>COUNTIFS(WFCN!$E:$E,"&gt;42370",WFCN!$E:$E,"&lt;42736",WFCN!$H:$H,"MA")+COUNTIFS(WFCN!$E:$E,"&gt;42370",WFCN!$E:$E,"&lt;42736",WFCN!$H:$H,"MP0")</f>
        <v>4</v>
      </c>
      <c r="AD18" s="125">
        <f>COUNTIFS(WFCN!E:E,"&gt;42370",WFCN!E:E,"&lt;42736",WFCN!H:H,"f")</f>
        <v>1</v>
      </c>
    </row>
    <row r="19" spans="1:30" ht="12.75">
      <c r="A19" s="1">
        <v>2</v>
      </c>
      <c r="B19" s="1" t="e">
        <f>COUNTIF(Tornade!#REF!,"T(F2)")</f>
        <v>#REF!</v>
      </c>
      <c r="C19" s="1" t="e">
        <f>COUNTIF(Tornade!#REF!,"T(EF2)")</f>
        <v>#REF!</v>
      </c>
      <c r="L19" s="43">
        <v>2017</v>
      </c>
      <c r="M19" s="28" t="e">
        <f>COUNTIFS(Tornade!#REF!,$L19,Tornade!#REF!,"T(F0)")+COUNTIFS(Tornade!#REF!,$L19,Tornade!#REF!,"T(EF0)")</f>
        <v>#REF!</v>
      </c>
      <c r="N19" s="28" t="e">
        <f>COUNTIFS(Tornade!#REF!,$L19,Tornade!#REF!,"T(F1)")+COUNTIFS(Tornade!#REF!,$L19,Tornade!#REF!,"T(EF1)")</f>
        <v>#REF!</v>
      </c>
      <c r="O19" s="28" t="e">
        <f>COUNTIFS(Tornade!#REF!,$L19,Tornade!#REF!,"T(F2)")+COUNTIFS(Tornade!#REF!,$L19,Tornade!#REF!,"T(EF2)")</f>
        <v>#REF!</v>
      </c>
      <c r="P19" s="28" t="e">
        <f>COUNTIFS(Tornade!#REF!,$L19,Tornade!#REF!,"T(F3)")+COUNTIFS(Tornade!#REF!,$L19,Tornade!#REF!,"T(EF3)")</f>
        <v>#REF!</v>
      </c>
      <c r="Q19" s="28" t="e">
        <f>COUNTIFS(Tornade!#REF!,$L19,Tornade!#REF!,"T(F4)")+COUNTIFS(Tornade!#REF!,$L19,Tornade!#REF!,"T(EF4)")</f>
        <v>#REF!</v>
      </c>
      <c r="R19" s="28" t="e">
        <f>COUNTIFS(Tornade!#REF!,$L19,Tornade!#REF!,"T(F5)")+COUNTIFS(Tornade!#REF!,$L19,Tornade!#REF!,"T(EF5)")</f>
        <v>#REF!</v>
      </c>
      <c r="S19" s="143" t="e">
        <f t="shared" si="1"/>
        <v>#REF!</v>
      </c>
      <c r="T19" s="142"/>
      <c r="U19" s="28">
        <f>COUNTIFS(WFCN!N:N,"&gt;42736",WFCN!N:N,"&lt;43101")</f>
        <v>7</v>
      </c>
      <c r="V19" s="28">
        <f>COUNTIFS(WFCN!O:O,"&gt;42736",WFCN!O:O,"&lt;43101")</f>
        <v>2</v>
      </c>
      <c r="W19" s="125"/>
      <c r="X19" s="28">
        <f>COUNTIFS(WFCN!$E:$E,"&gt;42736",WFCN!$E:$E,"&lt;43101",WFCN!P:P,"oui")</f>
        <v>1</v>
      </c>
      <c r="Y19" s="125" t="e">
        <f t="shared" si="2"/>
        <v>#REF!</v>
      </c>
      <c r="Z19" s="28"/>
      <c r="AA19" s="126">
        <f>COUNTIFS(WFCN!A:A,"&gt;42736",WFCN!A:A,"&lt;43101")</f>
        <v>24</v>
      </c>
      <c r="AB19" s="28">
        <f>COUNTIFS(WFCN!$E:$E,"&gt;42736",WFCN!$E:$E,"&lt;43101",WFCN!$H:$H,"s")+COUNTIFS(WFCN!$E:$E,"&gt;39814",WFCN!$E:$E,"&lt;40179",WFCN!$H:$H,"mpi")</f>
        <v>0</v>
      </c>
      <c r="AC19" s="125">
        <f>COUNTIFS(WFCN!$E:$E,"&gt;42736",WFCN!$E:$E,"&lt;43101",WFCN!$H:$H,"MA")+COUNTIFS(WFCN!$E:$E,"&gt;42736",WFCN!$E:$E,"&lt;43101",WFCN!$H:$H,"MP0")</f>
        <v>14</v>
      </c>
      <c r="AD19" s="125">
        <f>COUNTIFS(WFCN!E:E,"&gt;42736",WFCN!E:E,"&lt;43101",WFCN!H:H,"f")</f>
        <v>24</v>
      </c>
    </row>
    <row r="20" spans="1:30" ht="12.75">
      <c r="A20" s="1">
        <v>3</v>
      </c>
      <c r="B20" s="1" t="e">
        <f>COUNTIF(Tornade!#REF!,"T(F3)")</f>
        <v>#REF!</v>
      </c>
      <c r="C20" s="1" t="e">
        <f>COUNTIF(Tornade!#REF!,"T(EF3)")</f>
        <v>#REF!</v>
      </c>
      <c r="L20" s="43">
        <v>2018</v>
      </c>
      <c r="M20" s="28" t="e">
        <f>COUNTIFS(Tornade!#REF!,$L20,Tornade!#REF!,"T(F0)")+COUNTIFS(Tornade!#REF!,$L20,Tornade!#REF!,"T(EF0)")</f>
        <v>#REF!</v>
      </c>
      <c r="N20" s="28" t="e">
        <f>COUNTIFS(Tornade!#REF!,$L20,Tornade!#REF!,"T(F1)")+COUNTIFS(Tornade!#REF!,$L20,Tornade!#REF!,"T(EF1)")</f>
        <v>#REF!</v>
      </c>
      <c r="O20" s="28" t="e">
        <f>COUNTIFS(Tornade!#REF!,$L20,Tornade!#REF!,"T(F2)")+COUNTIFS(Tornade!#REF!,$L20,Tornade!#REF!,"T(EF2)")</f>
        <v>#REF!</v>
      </c>
      <c r="P20" s="28" t="e">
        <f>COUNTIFS(Tornade!#REF!,$L20,Tornade!#REF!,"T(F3)")+COUNTIFS(Tornade!#REF!,$L20,Tornade!#REF!,"T(EF3)")</f>
        <v>#REF!</v>
      </c>
      <c r="Q20" s="28" t="e">
        <f>COUNTIFS(Tornade!#REF!,$L20,Tornade!#REF!,"T(F4)")+COUNTIFS(Tornade!#REF!,$L20,Tornade!#REF!,"T(EF4)")</f>
        <v>#REF!</v>
      </c>
      <c r="R20" s="28" t="e">
        <f>COUNTIFS(Tornade!#REF!,$L20,Tornade!#REF!,"T(F5)")+COUNTIFS(Tornade!#REF!,$L20,Tornade!#REF!,"T(EF5)")</f>
        <v>#REF!</v>
      </c>
      <c r="S20" s="143" t="e">
        <f t="shared" si="1"/>
        <v>#REF!</v>
      </c>
      <c r="T20" s="142"/>
      <c r="U20" s="28">
        <f>COUNTIFS(WFCN!N:N,"&gt;43101",WFCN!N:N,"&lt;43466")</f>
        <v>5</v>
      </c>
      <c r="V20" s="28">
        <f>COUNTIFS(WFCN!O:O,"&gt;43101",WFCN!O:O,"&lt;43466")</f>
        <v>3</v>
      </c>
      <c r="W20" s="125"/>
      <c r="X20" s="28">
        <f>COUNTIFS(WFCN!$E:$E,"&gt;43101",WFCN!$E:$E,"&lt;43466",WFCN!P:P,"oui")</f>
        <v>1</v>
      </c>
      <c r="Y20" s="125" t="e">
        <f t="shared" si="2"/>
        <v>#REF!</v>
      </c>
      <c r="Z20" s="28"/>
      <c r="AA20" s="126">
        <f>COUNTIFS(WFCN!A:A,"&gt;43101",WFCN!A:A,"&lt;43466")</f>
        <v>4</v>
      </c>
      <c r="AB20" s="28">
        <f>COUNTIFS(WFCN!$E:$E,"&gt;43101",WFCN!$E:$E,"&lt;43466",WFCN!$H:$H,"s")+COUNTIFS(WFCN!$E:$E,"&gt;39814",WFCN!$E:$E,"&lt;40179",WFCN!$H:$H,"mpi")</f>
        <v>0</v>
      </c>
      <c r="AC20" s="125">
        <f>COUNTIFS(WFCN!$E:$E,"&gt;43101",WFCN!$E:$E,"&lt;43466",WFCN!$H:$H,"MA")+COUNTIFS(WFCN!$E:$E,"&gt;43101",WFCN!$E:$E,"&lt;43466",WFCN!$H:$H,"MP0")</f>
        <v>6</v>
      </c>
      <c r="AD20" s="125">
        <f>COUNTIFS(WFCN!E:E,"&gt;43101",WFCN!E:E,"&lt;43466",WFCN!H:H,"f")</f>
        <v>4</v>
      </c>
    </row>
    <row r="21" spans="1:30" ht="12.75">
      <c r="A21" s="1">
        <v>4</v>
      </c>
      <c r="B21" s="1" t="e">
        <f>COUNTIF(Tornade!#REF!,"T(F4)")</f>
        <v>#REF!</v>
      </c>
      <c r="C21" s="1" t="e">
        <f>COUNTIF(Tornade!#REF!,"T(EF4)")</f>
        <v>#REF!</v>
      </c>
      <c r="L21" s="43">
        <v>2019</v>
      </c>
      <c r="M21" s="28"/>
      <c r="N21" s="28"/>
      <c r="O21" s="28"/>
      <c r="P21" s="28"/>
      <c r="Q21" s="28"/>
      <c r="R21" s="28"/>
      <c r="S21" s="143"/>
      <c r="T21" s="142"/>
      <c r="U21" s="28">
        <f>COUNTIFS(WFCN!N:N,"&gt;43466",WFCN!N:N,"&lt;43831")</f>
        <v>0</v>
      </c>
      <c r="V21" s="28">
        <f>COUNTIFS(WFCN!O:O,"&gt;43466",WFCN!O:O,"&lt;43831")</f>
        <v>0</v>
      </c>
      <c r="W21" s="125"/>
      <c r="X21" s="28">
        <f>COUNTIFS(WFCN!$E:$E,"&gt;43466",WFCN!$E:$E,"&lt;43831",WFCN!P:P,"oui")</f>
        <v>0</v>
      </c>
      <c r="Y21" s="125">
        <f t="shared" si="2"/>
        <v>0</v>
      </c>
      <c r="Z21" s="28"/>
      <c r="AA21" s="125">
        <f>COUNTIFS(WFCN!A:A,"&gt;43466",WFCN!A:A,"&lt;43831")</f>
        <v>0</v>
      </c>
      <c r="AB21" s="28">
        <f>COUNTIFS(WFCN!$E:$E,"&gt;43466",WFCN!$E:$E,"&lt;43831",WFCN!$H:$H,"s")+COUNTIFS(WFCN!$E:$E,"&gt;43466",WFCN!$E:$E,"&lt;43831",WFCN!$H:$H,"mpi")</f>
        <v>0</v>
      </c>
      <c r="AC21" s="125">
        <f>COUNTIFS(WFCN!$E:$E,"&gt;43466",WFCN!$E:$E,"&lt;43831",WFCN!$H:$H,"MA")+COUNTIFS(WFCN!$E:$E,"&gt;43466",WFCN!$E:$E,"&lt;43831",WFCN!$H:$H,"MP0")</f>
        <v>0</v>
      </c>
      <c r="AD21" s="125">
        <f>COUNTIFS(WFCN!E:E,"&gt;43466",WFCN!E:E,"&lt;43831",WFCN!H:H,"f")</f>
        <v>0</v>
      </c>
    </row>
    <row r="22" spans="1:30" ht="12.75">
      <c r="A22" s="1">
        <v>5</v>
      </c>
      <c r="B22" s="1" t="e">
        <f>COUNTIF(Tornade!#REF!,"T(F5)")</f>
        <v>#REF!</v>
      </c>
      <c r="C22" s="1" t="e">
        <f>COUNTIF(Tornade!#REF!,"T(EF5)")</f>
        <v>#REF!</v>
      </c>
      <c r="L22" s="43">
        <v>2020</v>
      </c>
      <c r="M22" s="28"/>
      <c r="N22" s="28"/>
      <c r="O22" s="28"/>
      <c r="P22" s="28"/>
      <c r="Q22" s="28"/>
      <c r="R22" s="28"/>
      <c r="S22" s="143"/>
      <c r="T22" s="142"/>
      <c r="U22" s="28">
        <f>COUNTIFS(WFCN!N:N,"&gt;43831",WFCN!N:N,"&lt;44196")</f>
        <v>0</v>
      </c>
      <c r="V22" s="28">
        <f>COUNTIFS(WFCN!O:O,"&gt;43831",WFCN!O:O,"&lt;44196")</f>
        <v>0</v>
      </c>
      <c r="W22" s="125"/>
      <c r="X22" s="28">
        <v>0</v>
      </c>
      <c r="Y22" s="125">
        <f t="shared" si="2"/>
        <v>0</v>
      </c>
      <c r="Z22" s="28">
        <v>0</v>
      </c>
      <c r="AA22" s="125">
        <f>COUNTIFS(WFCN!A:A,"&gt;43831",WFCN!A:A,"&lt;44196")</f>
        <v>0</v>
      </c>
      <c r="AB22" s="28">
        <f>COUNTIFS(WFCN!$E:$E,"&gt;43831",WFCN!$E:$E,"&lt;44196",WFCN!$H:$H,"s")+COUNTIFS(WFCN!$E:$E,"&gt;43831",WFCN!$E:$E,"&lt;44196",WFCN!$H:$H,"mpi")</f>
        <v>0</v>
      </c>
      <c r="AC22" s="125">
        <f>COUNTIFS(WFCN!$E:$E,"&gt;43831",WFCN!$E:$E,"&lt;44196",WFCN!$H:$H,"MA")+COUNTIFS(WFCN!$E:$E,"&gt;43831",WFCN!$E:$E,"&lt;44196",WFCN!$H:$H,"MP0")</f>
        <v>0</v>
      </c>
      <c r="AD22" s="125">
        <f>COUNTIFS(WFCN!E:E,"&gt;43831",WFCN!E:E,"&lt;44196",WFCN!H:H,"f")</f>
        <v>0</v>
      </c>
    </row>
    <row r="23" spans="1:30" ht="12.75">
      <c r="L23" s="28" t="s">
        <v>108</v>
      </c>
      <c r="M23" s="28" t="e">
        <f>SUM(M3:M22)</f>
        <v>#REF!</v>
      </c>
      <c r="N23" s="125" t="e">
        <f t="shared" ref="N23:R23" si="3">SUM(N3:N22)</f>
        <v>#REF!</v>
      </c>
      <c r="O23" s="125" t="e">
        <f t="shared" si="3"/>
        <v>#REF!</v>
      </c>
      <c r="P23" s="125" t="e">
        <f t="shared" si="3"/>
        <v>#REF!</v>
      </c>
      <c r="Q23" s="125" t="e">
        <f t="shared" si="3"/>
        <v>#REF!</v>
      </c>
      <c r="R23" s="125" t="e">
        <f t="shared" si="3"/>
        <v>#REF!</v>
      </c>
      <c r="S23" s="124" t="e">
        <f t="shared" ref="S23:V23" si="4">SUM(S3:S22)</f>
        <v>#REF!</v>
      </c>
      <c r="T23" s="124"/>
      <c r="U23" s="124">
        <f t="shared" si="4"/>
        <v>71</v>
      </c>
      <c r="V23" s="124">
        <f t="shared" si="4"/>
        <v>42</v>
      </c>
      <c r="W23" s="124"/>
      <c r="X23" s="29">
        <f>SUM(X3:X22)</f>
        <v>16</v>
      </c>
      <c r="Y23" s="124"/>
      <c r="Z23" s="124">
        <f t="shared" ref="Z23:AD23" si="5">SUM(Z3:Z22)</f>
        <v>3121</v>
      </c>
      <c r="AA23" s="124">
        <f t="shared" si="5"/>
        <v>136</v>
      </c>
      <c r="AB23" s="124">
        <f t="shared" si="5"/>
        <v>1</v>
      </c>
      <c r="AC23" s="124">
        <f t="shared" si="5"/>
        <v>100</v>
      </c>
      <c r="AD23" s="124">
        <f t="shared" si="5"/>
        <v>126</v>
      </c>
    </row>
    <row r="24" spans="1:30" ht="12.75">
      <c r="L24" s="28"/>
      <c r="M24" s="34" t="e">
        <f>M23/$S23</f>
        <v>#REF!</v>
      </c>
      <c r="N24" s="34" t="e">
        <f t="shared" ref="N24:R24" si="6">N23/$S23</f>
        <v>#REF!</v>
      </c>
      <c r="O24" s="34" t="e">
        <f t="shared" si="6"/>
        <v>#REF!</v>
      </c>
      <c r="P24" s="34" t="e">
        <f t="shared" si="6"/>
        <v>#REF!</v>
      </c>
      <c r="Q24" s="34" t="e">
        <f t="shared" si="6"/>
        <v>#REF!</v>
      </c>
      <c r="R24" s="34" t="e">
        <f t="shared" si="6"/>
        <v>#REF!</v>
      </c>
      <c r="S24" s="28" t="s">
        <v>285</v>
      </c>
      <c r="T24" s="125"/>
      <c r="U24" s="34" t="e">
        <f>U23/S23</f>
        <v>#REF!</v>
      </c>
      <c r="V24" s="34" t="e">
        <f>V23/$S23</f>
        <v>#REF!</v>
      </c>
      <c r="W24" s="34"/>
      <c r="X24" s="34" t="e">
        <f>X23/$S23</f>
        <v>#REF!</v>
      </c>
      <c r="Y24" s="34"/>
      <c r="Z24" s="28"/>
      <c r="AA24" s="28"/>
      <c r="AB24" s="34" t="e">
        <f>AB23/$S23</f>
        <v>#REF!</v>
      </c>
      <c r="AC24" s="28"/>
      <c r="AD24" s="1"/>
    </row>
    <row r="25" spans="1:30" ht="12.75">
      <c r="A25" s="150" t="s">
        <v>325</v>
      </c>
      <c r="B25" s="150"/>
      <c r="C25" s="150"/>
      <c r="AD25" s="1"/>
    </row>
    <row r="26" spans="1:30" ht="12.75">
      <c r="A26" s="1" t="s">
        <v>322</v>
      </c>
      <c r="B26" s="1" t="s">
        <v>323</v>
      </c>
      <c r="C26" s="1" t="s">
        <v>324</v>
      </c>
      <c r="AD26" s="1"/>
    </row>
    <row r="27" spans="1:30" ht="12.75">
      <c r="A27" s="1">
        <v>0</v>
      </c>
      <c r="B27" s="1" t="e">
        <f>COUNTIFS(Tornade!#REF!,A27,Tornade!A:A,"&gt;32143")</f>
        <v>#REF!</v>
      </c>
      <c r="C27" s="40" t="e">
        <f>B27/SUM(B$27:B$50)</f>
        <v>#REF!</v>
      </c>
      <c r="AD27" s="1"/>
    </row>
    <row r="28" spans="1:30" ht="12.75">
      <c r="A28" s="1">
        <v>1</v>
      </c>
      <c r="B28" s="1" t="e">
        <f>COUNTIFS(Tornade!#REF!,A28,Tornade!A:A,"&gt;32143")</f>
        <v>#REF!</v>
      </c>
      <c r="C28" s="40" t="e">
        <f t="shared" ref="C28:C50" si="7">B28/SUM(B$27:B$50)</f>
        <v>#REF!</v>
      </c>
      <c r="AD28" s="1"/>
    </row>
    <row r="29" spans="1:30" ht="12.75">
      <c r="A29" s="1">
        <v>2</v>
      </c>
      <c r="B29" s="1" t="e">
        <f>COUNTIFS(Tornade!#REF!,A29,Tornade!A:A,"&gt;32143")</f>
        <v>#REF!</v>
      </c>
      <c r="C29" s="40" t="e">
        <f t="shared" si="7"/>
        <v>#REF!</v>
      </c>
      <c r="AD29" s="1"/>
    </row>
    <row r="30" spans="1:30" ht="12.75">
      <c r="A30" s="1">
        <v>3</v>
      </c>
      <c r="B30" s="1" t="e">
        <f>COUNTIFS(Tornade!#REF!,A30,Tornade!A:A,"&gt;32143")</f>
        <v>#REF!</v>
      </c>
      <c r="C30" s="40" t="e">
        <f t="shared" si="7"/>
        <v>#REF!</v>
      </c>
      <c r="AD30" s="1"/>
    </row>
    <row r="31" spans="1:30" ht="12.75">
      <c r="A31" s="1">
        <v>4</v>
      </c>
      <c r="B31" s="1" t="e">
        <f>COUNTIFS(Tornade!#REF!,A31,Tornade!A:A,"&gt;32143")</f>
        <v>#REF!</v>
      </c>
      <c r="C31" s="40" t="e">
        <f t="shared" si="7"/>
        <v>#REF!</v>
      </c>
      <c r="AD31" s="1"/>
    </row>
    <row r="32" spans="1:30" ht="12.75">
      <c r="A32" s="1">
        <v>5</v>
      </c>
      <c r="B32" s="1" t="e">
        <f>COUNTIFS(Tornade!#REF!,A32,Tornade!A:A,"&gt;32143")</f>
        <v>#REF!</v>
      </c>
      <c r="C32" s="40" t="e">
        <f t="shared" si="7"/>
        <v>#REF!</v>
      </c>
      <c r="AD32" s="1"/>
    </row>
    <row r="33" spans="1:30" ht="12.75">
      <c r="A33" s="1">
        <v>6</v>
      </c>
      <c r="B33" s="1" t="e">
        <f>COUNTIFS(Tornade!#REF!,A33,Tornade!A:A,"&gt;32143")</f>
        <v>#REF!</v>
      </c>
      <c r="C33" s="40" t="e">
        <f t="shared" si="7"/>
        <v>#REF!</v>
      </c>
      <c r="AD33" s="1"/>
    </row>
    <row r="34" spans="1:30" ht="12.75">
      <c r="A34" s="1">
        <v>7</v>
      </c>
      <c r="B34" s="1" t="e">
        <f>COUNTIFS(Tornade!#REF!,A34,Tornade!A:A,"&gt;32143")</f>
        <v>#REF!</v>
      </c>
      <c r="C34" s="40" t="e">
        <f t="shared" si="7"/>
        <v>#REF!</v>
      </c>
      <c r="AD34" s="1"/>
    </row>
    <row r="35" spans="1:30" ht="12.75">
      <c r="A35" s="1">
        <v>8</v>
      </c>
      <c r="B35" s="1" t="e">
        <f>COUNTIFS(Tornade!#REF!,A35,Tornade!A:A,"&gt;32143")</f>
        <v>#REF!</v>
      </c>
      <c r="C35" s="40" t="e">
        <f t="shared" si="7"/>
        <v>#REF!</v>
      </c>
      <c r="AD35" s="1"/>
    </row>
    <row r="36" spans="1:30" ht="12.75">
      <c r="A36" s="1">
        <v>9</v>
      </c>
      <c r="B36" s="1" t="e">
        <f>COUNTIFS(Tornade!#REF!,A36,Tornade!A:A,"&gt;32143")</f>
        <v>#REF!</v>
      </c>
      <c r="C36" s="40" t="e">
        <f t="shared" si="7"/>
        <v>#REF!</v>
      </c>
      <c r="AD36" s="1"/>
    </row>
    <row r="37" spans="1:30" ht="12.75">
      <c r="A37" s="1">
        <v>10</v>
      </c>
      <c r="B37" s="1" t="e">
        <f>COUNTIFS(Tornade!#REF!,A37,Tornade!A:A,"&gt;32143")</f>
        <v>#REF!</v>
      </c>
      <c r="C37" s="40" t="e">
        <f t="shared" si="7"/>
        <v>#REF!</v>
      </c>
      <c r="AD37" s="1"/>
    </row>
    <row r="38" spans="1:30" ht="12.75">
      <c r="A38" s="1">
        <v>11</v>
      </c>
      <c r="B38" s="1" t="e">
        <f>COUNTIFS(Tornade!#REF!,A38,Tornade!A:A,"&gt;32143")</f>
        <v>#REF!</v>
      </c>
      <c r="C38" s="40" t="e">
        <f t="shared" si="7"/>
        <v>#REF!</v>
      </c>
      <c r="AD38" s="1"/>
    </row>
    <row r="39" spans="1:30" ht="12.75">
      <c r="A39" s="1">
        <v>12</v>
      </c>
      <c r="B39" s="1" t="e">
        <f>COUNTIFS(Tornade!#REF!,A39,Tornade!A:A,"&gt;32143")</f>
        <v>#REF!</v>
      </c>
      <c r="C39" s="40" t="e">
        <f t="shared" si="7"/>
        <v>#REF!</v>
      </c>
      <c r="AD39" s="1"/>
    </row>
    <row r="40" spans="1:30" ht="12.75">
      <c r="A40" s="1">
        <v>13</v>
      </c>
      <c r="B40" s="1" t="e">
        <f>COUNTIFS(Tornade!#REF!,A40,Tornade!A:A,"&gt;32143")</f>
        <v>#REF!</v>
      </c>
      <c r="C40" s="40" t="e">
        <f t="shared" si="7"/>
        <v>#REF!</v>
      </c>
      <c r="AD40" s="1"/>
    </row>
    <row r="41" spans="1:30" ht="12.75">
      <c r="A41" s="1">
        <v>14</v>
      </c>
      <c r="B41" s="1" t="e">
        <f>COUNTIFS(Tornade!#REF!,A41,Tornade!A:A,"&gt;32143")</f>
        <v>#REF!</v>
      </c>
      <c r="C41" s="40" t="e">
        <f t="shared" si="7"/>
        <v>#REF!</v>
      </c>
      <c r="AD41" s="1"/>
    </row>
    <row r="42" spans="1:30" ht="12.75">
      <c r="A42" s="1">
        <v>15</v>
      </c>
      <c r="B42" s="1" t="e">
        <f>COUNTIFS(Tornade!#REF!,A42,Tornade!A:A,"&gt;32143")</f>
        <v>#REF!</v>
      </c>
      <c r="C42" s="40" t="e">
        <f t="shared" si="7"/>
        <v>#REF!</v>
      </c>
      <c r="AD42" s="1"/>
    </row>
    <row r="43" spans="1:30" ht="12.75">
      <c r="A43" s="1">
        <v>16</v>
      </c>
      <c r="B43" s="1" t="e">
        <f>COUNTIFS(Tornade!#REF!,A43,Tornade!A:A,"&gt;32143")</f>
        <v>#REF!</v>
      </c>
      <c r="C43" s="40" t="e">
        <f t="shared" si="7"/>
        <v>#REF!</v>
      </c>
      <c r="AD43" s="1"/>
    </row>
    <row r="44" spans="1:30" ht="12.75">
      <c r="A44" s="1">
        <v>17</v>
      </c>
      <c r="B44" s="1" t="e">
        <f>COUNTIFS(Tornade!#REF!,A44,Tornade!A:A,"&gt;32143")</f>
        <v>#REF!</v>
      </c>
      <c r="C44" s="40" t="e">
        <f t="shared" si="7"/>
        <v>#REF!</v>
      </c>
      <c r="AD44" s="1"/>
    </row>
    <row r="45" spans="1:30" ht="12.75">
      <c r="A45" s="1">
        <v>18</v>
      </c>
      <c r="B45" s="1" t="e">
        <f>COUNTIFS(Tornade!#REF!,A45,Tornade!A:A,"&gt;32143")</f>
        <v>#REF!</v>
      </c>
      <c r="C45" s="40" t="e">
        <f t="shared" si="7"/>
        <v>#REF!</v>
      </c>
      <c r="AD45" s="1"/>
    </row>
    <row r="46" spans="1:30" ht="12.75">
      <c r="A46" s="1">
        <v>19</v>
      </c>
      <c r="B46" s="1" t="e">
        <f>COUNTIFS(Tornade!#REF!,A46,Tornade!A:A,"&gt;32143")</f>
        <v>#REF!</v>
      </c>
      <c r="C46" s="40" t="e">
        <f t="shared" si="7"/>
        <v>#REF!</v>
      </c>
      <c r="AD46" s="1"/>
    </row>
    <row r="47" spans="1:30" ht="12.75">
      <c r="A47" s="1">
        <v>20</v>
      </c>
      <c r="B47" s="1" t="e">
        <f>COUNTIFS(Tornade!#REF!,A47,Tornade!A:A,"&gt;32143")</f>
        <v>#REF!</v>
      </c>
      <c r="C47" s="40" t="e">
        <f t="shared" si="7"/>
        <v>#REF!</v>
      </c>
      <c r="AD47" s="1"/>
    </row>
    <row r="48" spans="1:30" ht="12.75">
      <c r="A48" s="1">
        <v>21</v>
      </c>
      <c r="B48" s="1" t="e">
        <f>COUNTIFS(Tornade!#REF!,A48,Tornade!A:A,"&gt;32143")</f>
        <v>#REF!</v>
      </c>
      <c r="C48" s="40" t="e">
        <f t="shared" si="7"/>
        <v>#REF!</v>
      </c>
      <c r="AD48" s="1"/>
    </row>
    <row r="49" spans="1:30" ht="12.75">
      <c r="A49" s="1">
        <v>22</v>
      </c>
      <c r="B49" s="1" t="e">
        <f>COUNTIFS(Tornade!#REF!,A49,Tornade!A:A,"&gt;32143")</f>
        <v>#REF!</v>
      </c>
      <c r="C49" s="40" t="e">
        <f t="shared" si="7"/>
        <v>#REF!</v>
      </c>
      <c r="AD49" s="1"/>
    </row>
    <row r="50" spans="1:30" ht="12.75">
      <c r="A50" s="1">
        <v>23</v>
      </c>
      <c r="B50" s="1" t="e">
        <f>COUNTIFS(Tornade!#REF!,A50,Tornade!A:A,"&gt;32143")</f>
        <v>#REF!</v>
      </c>
      <c r="C50" s="40" t="e">
        <f t="shared" si="7"/>
        <v>#REF!</v>
      </c>
      <c r="AD50" s="1"/>
    </row>
    <row r="51" spans="1:30" ht="12.75">
      <c r="A51" s="1" t="s">
        <v>279</v>
      </c>
      <c r="B51" s="1" t="e">
        <f>SUM(B27:B50)</f>
        <v>#REF!</v>
      </c>
      <c r="AD51" s="1"/>
    </row>
  </sheetData>
  <mergeCells count="4">
    <mergeCell ref="A25:C25"/>
    <mergeCell ref="M1:S1"/>
    <mergeCell ref="AA1:AD1"/>
    <mergeCell ref="U1:W1"/>
  </mergeCells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83"/>
  <sheetViews>
    <sheetView workbookViewId="0">
      <selection activeCell="C3" sqref="C3"/>
    </sheetView>
  </sheetViews>
  <sheetFormatPr defaultColWidth="11.42578125" defaultRowHeight="11.25"/>
  <cols>
    <col min="1" max="1" width="6.42578125" style="28" customWidth="1"/>
    <col min="2" max="7" width="3" style="28" customWidth="1"/>
    <col min="8" max="8" width="5.28515625" style="28" customWidth="1"/>
    <col min="9" max="10" width="5.42578125" style="28" customWidth="1"/>
    <col min="11" max="14" width="6.140625" style="28" customWidth="1"/>
    <col min="15" max="18" width="6.42578125" style="28" customWidth="1"/>
    <col min="19" max="19" width="1.28515625" style="28" customWidth="1"/>
    <col min="20" max="22" width="11.42578125" style="28"/>
    <col min="23" max="23" width="6.140625" style="28" customWidth="1"/>
    <col min="24" max="26" width="6.7109375" style="28" customWidth="1"/>
    <col min="27" max="27" width="6.140625" style="28" customWidth="1"/>
    <col min="28" max="28" width="6" style="28" customWidth="1"/>
    <col min="29" max="36" width="11.42578125" style="28"/>
    <col min="37" max="37" width="6.5703125" style="28" customWidth="1"/>
    <col min="38" max="38" width="9.140625" style="28" customWidth="1"/>
    <col min="39" max="39" width="8.5703125" style="28" customWidth="1"/>
    <col min="40" max="255" width="11.42578125" style="28"/>
    <col min="256" max="256" width="6.42578125" style="28" customWidth="1"/>
    <col min="257" max="257" width="3.42578125" style="28" customWidth="1"/>
    <col min="258" max="263" width="3" style="28" customWidth="1"/>
    <col min="264" max="264" width="5.28515625" style="28" customWidth="1"/>
    <col min="265" max="266" width="5.42578125" style="28" customWidth="1"/>
    <col min="267" max="270" width="6.140625" style="28" customWidth="1"/>
    <col min="271" max="274" width="6.42578125" style="28" customWidth="1"/>
    <col min="275" max="275" width="1.28515625" style="28" customWidth="1"/>
    <col min="276" max="278" width="11.42578125" style="28"/>
    <col min="279" max="279" width="6.140625" style="28" customWidth="1"/>
    <col min="280" max="282" width="6.7109375" style="28" customWidth="1"/>
    <col min="283" max="283" width="6.140625" style="28" customWidth="1"/>
    <col min="284" max="284" width="6" style="28" customWidth="1"/>
    <col min="285" max="292" width="11.42578125" style="28"/>
    <col min="293" max="293" width="6.5703125" style="28" customWidth="1"/>
    <col min="294" max="294" width="9.140625" style="28" customWidth="1"/>
    <col min="295" max="295" width="8.5703125" style="28" customWidth="1"/>
    <col min="296" max="511" width="11.42578125" style="28"/>
    <col min="512" max="512" width="6.42578125" style="28" customWidth="1"/>
    <col min="513" max="513" width="3.42578125" style="28" customWidth="1"/>
    <col min="514" max="519" width="3" style="28" customWidth="1"/>
    <col min="520" max="520" width="5.28515625" style="28" customWidth="1"/>
    <col min="521" max="522" width="5.42578125" style="28" customWidth="1"/>
    <col min="523" max="526" width="6.140625" style="28" customWidth="1"/>
    <col min="527" max="530" width="6.42578125" style="28" customWidth="1"/>
    <col min="531" max="531" width="1.28515625" style="28" customWidth="1"/>
    <col min="532" max="534" width="11.42578125" style="28"/>
    <col min="535" max="535" width="6.140625" style="28" customWidth="1"/>
    <col min="536" max="538" width="6.7109375" style="28" customWidth="1"/>
    <col min="539" max="539" width="6.140625" style="28" customWidth="1"/>
    <col min="540" max="540" width="6" style="28" customWidth="1"/>
    <col min="541" max="548" width="11.42578125" style="28"/>
    <col min="549" max="549" width="6.5703125" style="28" customWidth="1"/>
    <col min="550" max="550" width="9.140625" style="28" customWidth="1"/>
    <col min="551" max="551" width="8.5703125" style="28" customWidth="1"/>
    <col min="552" max="767" width="11.42578125" style="28"/>
    <col min="768" max="768" width="6.42578125" style="28" customWidth="1"/>
    <col min="769" max="769" width="3.42578125" style="28" customWidth="1"/>
    <col min="770" max="775" width="3" style="28" customWidth="1"/>
    <col min="776" max="776" width="5.28515625" style="28" customWidth="1"/>
    <col min="777" max="778" width="5.42578125" style="28" customWidth="1"/>
    <col min="779" max="782" width="6.140625" style="28" customWidth="1"/>
    <col min="783" max="786" width="6.42578125" style="28" customWidth="1"/>
    <col min="787" max="787" width="1.28515625" style="28" customWidth="1"/>
    <col min="788" max="790" width="11.42578125" style="28"/>
    <col min="791" max="791" width="6.140625" style="28" customWidth="1"/>
    <col min="792" max="794" width="6.7109375" style="28" customWidth="1"/>
    <col min="795" max="795" width="6.140625" style="28" customWidth="1"/>
    <col min="796" max="796" width="6" style="28" customWidth="1"/>
    <col min="797" max="804" width="11.42578125" style="28"/>
    <col min="805" max="805" width="6.5703125" style="28" customWidth="1"/>
    <col min="806" max="806" width="9.140625" style="28" customWidth="1"/>
    <col min="807" max="807" width="8.5703125" style="28" customWidth="1"/>
    <col min="808" max="1023" width="11.42578125" style="28"/>
    <col min="1024" max="1024" width="6.42578125" style="28" customWidth="1"/>
    <col min="1025" max="1025" width="3.42578125" style="28" customWidth="1"/>
    <col min="1026" max="1031" width="3" style="28" customWidth="1"/>
    <col min="1032" max="1032" width="5.28515625" style="28" customWidth="1"/>
    <col min="1033" max="1034" width="5.42578125" style="28" customWidth="1"/>
    <col min="1035" max="1038" width="6.140625" style="28" customWidth="1"/>
    <col min="1039" max="1042" width="6.42578125" style="28" customWidth="1"/>
    <col min="1043" max="1043" width="1.28515625" style="28" customWidth="1"/>
    <col min="1044" max="1046" width="11.42578125" style="28"/>
    <col min="1047" max="1047" width="6.140625" style="28" customWidth="1"/>
    <col min="1048" max="1050" width="6.7109375" style="28" customWidth="1"/>
    <col min="1051" max="1051" width="6.140625" style="28" customWidth="1"/>
    <col min="1052" max="1052" width="6" style="28" customWidth="1"/>
    <col min="1053" max="1060" width="11.42578125" style="28"/>
    <col min="1061" max="1061" width="6.5703125" style="28" customWidth="1"/>
    <col min="1062" max="1062" width="9.140625" style="28" customWidth="1"/>
    <col min="1063" max="1063" width="8.5703125" style="28" customWidth="1"/>
    <col min="1064" max="1279" width="11.42578125" style="28"/>
    <col min="1280" max="1280" width="6.42578125" style="28" customWidth="1"/>
    <col min="1281" max="1281" width="3.42578125" style="28" customWidth="1"/>
    <col min="1282" max="1287" width="3" style="28" customWidth="1"/>
    <col min="1288" max="1288" width="5.28515625" style="28" customWidth="1"/>
    <col min="1289" max="1290" width="5.42578125" style="28" customWidth="1"/>
    <col min="1291" max="1294" width="6.140625" style="28" customWidth="1"/>
    <col min="1295" max="1298" width="6.42578125" style="28" customWidth="1"/>
    <col min="1299" max="1299" width="1.28515625" style="28" customWidth="1"/>
    <col min="1300" max="1302" width="11.42578125" style="28"/>
    <col min="1303" max="1303" width="6.140625" style="28" customWidth="1"/>
    <col min="1304" max="1306" width="6.7109375" style="28" customWidth="1"/>
    <col min="1307" max="1307" width="6.140625" style="28" customWidth="1"/>
    <col min="1308" max="1308" width="6" style="28" customWidth="1"/>
    <col min="1309" max="1316" width="11.42578125" style="28"/>
    <col min="1317" max="1317" width="6.5703125" style="28" customWidth="1"/>
    <col min="1318" max="1318" width="9.140625" style="28" customWidth="1"/>
    <col min="1319" max="1319" width="8.5703125" style="28" customWidth="1"/>
    <col min="1320" max="1535" width="11.42578125" style="28"/>
    <col min="1536" max="1536" width="6.42578125" style="28" customWidth="1"/>
    <col min="1537" max="1537" width="3.42578125" style="28" customWidth="1"/>
    <col min="1538" max="1543" width="3" style="28" customWidth="1"/>
    <col min="1544" max="1544" width="5.28515625" style="28" customWidth="1"/>
    <col min="1545" max="1546" width="5.42578125" style="28" customWidth="1"/>
    <col min="1547" max="1550" width="6.140625" style="28" customWidth="1"/>
    <col min="1551" max="1554" width="6.42578125" style="28" customWidth="1"/>
    <col min="1555" max="1555" width="1.28515625" style="28" customWidth="1"/>
    <col min="1556" max="1558" width="11.42578125" style="28"/>
    <col min="1559" max="1559" width="6.140625" style="28" customWidth="1"/>
    <col min="1560" max="1562" width="6.7109375" style="28" customWidth="1"/>
    <col min="1563" max="1563" width="6.140625" style="28" customWidth="1"/>
    <col min="1564" max="1564" width="6" style="28" customWidth="1"/>
    <col min="1565" max="1572" width="11.42578125" style="28"/>
    <col min="1573" max="1573" width="6.5703125" style="28" customWidth="1"/>
    <col min="1574" max="1574" width="9.140625" style="28" customWidth="1"/>
    <col min="1575" max="1575" width="8.5703125" style="28" customWidth="1"/>
    <col min="1576" max="1791" width="11.42578125" style="28"/>
    <col min="1792" max="1792" width="6.42578125" style="28" customWidth="1"/>
    <col min="1793" max="1793" width="3.42578125" style="28" customWidth="1"/>
    <col min="1794" max="1799" width="3" style="28" customWidth="1"/>
    <col min="1800" max="1800" width="5.28515625" style="28" customWidth="1"/>
    <col min="1801" max="1802" width="5.42578125" style="28" customWidth="1"/>
    <col min="1803" max="1806" width="6.140625" style="28" customWidth="1"/>
    <col min="1807" max="1810" width="6.42578125" style="28" customWidth="1"/>
    <col min="1811" max="1811" width="1.28515625" style="28" customWidth="1"/>
    <col min="1812" max="1814" width="11.42578125" style="28"/>
    <col min="1815" max="1815" width="6.140625" style="28" customWidth="1"/>
    <col min="1816" max="1818" width="6.7109375" style="28" customWidth="1"/>
    <col min="1819" max="1819" width="6.140625" style="28" customWidth="1"/>
    <col min="1820" max="1820" width="6" style="28" customWidth="1"/>
    <col min="1821" max="1828" width="11.42578125" style="28"/>
    <col min="1829" max="1829" width="6.5703125" style="28" customWidth="1"/>
    <col min="1830" max="1830" width="9.140625" style="28" customWidth="1"/>
    <col min="1831" max="1831" width="8.5703125" style="28" customWidth="1"/>
    <col min="1832" max="2047" width="11.42578125" style="28"/>
    <col min="2048" max="2048" width="6.42578125" style="28" customWidth="1"/>
    <col min="2049" max="2049" width="3.42578125" style="28" customWidth="1"/>
    <col min="2050" max="2055" width="3" style="28" customWidth="1"/>
    <col min="2056" max="2056" width="5.28515625" style="28" customWidth="1"/>
    <col min="2057" max="2058" width="5.42578125" style="28" customWidth="1"/>
    <col min="2059" max="2062" width="6.140625" style="28" customWidth="1"/>
    <col min="2063" max="2066" width="6.42578125" style="28" customWidth="1"/>
    <col min="2067" max="2067" width="1.28515625" style="28" customWidth="1"/>
    <col min="2068" max="2070" width="11.42578125" style="28"/>
    <col min="2071" max="2071" width="6.140625" style="28" customWidth="1"/>
    <col min="2072" max="2074" width="6.7109375" style="28" customWidth="1"/>
    <col min="2075" max="2075" width="6.140625" style="28" customWidth="1"/>
    <col min="2076" max="2076" width="6" style="28" customWidth="1"/>
    <col min="2077" max="2084" width="11.42578125" style="28"/>
    <col min="2085" max="2085" width="6.5703125" style="28" customWidth="1"/>
    <col min="2086" max="2086" width="9.140625" style="28" customWidth="1"/>
    <col min="2087" max="2087" width="8.5703125" style="28" customWidth="1"/>
    <col min="2088" max="2303" width="11.42578125" style="28"/>
    <col min="2304" max="2304" width="6.42578125" style="28" customWidth="1"/>
    <col min="2305" max="2305" width="3.42578125" style="28" customWidth="1"/>
    <col min="2306" max="2311" width="3" style="28" customWidth="1"/>
    <col min="2312" max="2312" width="5.28515625" style="28" customWidth="1"/>
    <col min="2313" max="2314" width="5.42578125" style="28" customWidth="1"/>
    <col min="2315" max="2318" width="6.140625" style="28" customWidth="1"/>
    <col min="2319" max="2322" width="6.42578125" style="28" customWidth="1"/>
    <col min="2323" max="2323" width="1.28515625" style="28" customWidth="1"/>
    <col min="2324" max="2326" width="11.42578125" style="28"/>
    <col min="2327" max="2327" width="6.140625" style="28" customWidth="1"/>
    <col min="2328" max="2330" width="6.7109375" style="28" customWidth="1"/>
    <col min="2331" max="2331" width="6.140625" style="28" customWidth="1"/>
    <col min="2332" max="2332" width="6" style="28" customWidth="1"/>
    <col min="2333" max="2340" width="11.42578125" style="28"/>
    <col min="2341" max="2341" width="6.5703125" style="28" customWidth="1"/>
    <col min="2342" max="2342" width="9.140625" style="28" customWidth="1"/>
    <col min="2343" max="2343" width="8.5703125" style="28" customWidth="1"/>
    <col min="2344" max="2559" width="11.42578125" style="28"/>
    <col min="2560" max="2560" width="6.42578125" style="28" customWidth="1"/>
    <col min="2561" max="2561" width="3.42578125" style="28" customWidth="1"/>
    <col min="2562" max="2567" width="3" style="28" customWidth="1"/>
    <col min="2568" max="2568" width="5.28515625" style="28" customWidth="1"/>
    <col min="2569" max="2570" width="5.42578125" style="28" customWidth="1"/>
    <col min="2571" max="2574" width="6.140625" style="28" customWidth="1"/>
    <col min="2575" max="2578" width="6.42578125" style="28" customWidth="1"/>
    <col min="2579" max="2579" width="1.28515625" style="28" customWidth="1"/>
    <col min="2580" max="2582" width="11.42578125" style="28"/>
    <col min="2583" max="2583" width="6.140625" style="28" customWidth="1"/>
    <col min="2584" max="2586" width="6.7109375" style="28" customWidth="1"/>
    <col min="2587" max="2587" width="6.140625" style="28" customWidth="1"/>
    <col min="2588" max="2588" width="6" style="28" customWidth="1"/>
    <col min="2589" max="2596" width="11.42578125" style="28"/>
    <col min="2597" max="2597" width="6.5703125" style="28" customWidth="1"/>
    <col min="2598" max="2598" width="9.140625" style="28" customWidth="1"/>
    <col min="2599" max="2599" width="8.5703125" style="28" customWidth="1"/>
    <col min="2600" max="2815" width="11.42578125" style="28"/>
    <col min="2816" max="2816" width="6.42578125" style="28" customWidth="1"/>
    <col min="2817" max="2817" width="3.42578125" style="28" customWidth="1"/>
    <col min="2818" max="2823" width="3" style="28" customWidth="1"/>
    <col min="2824" max="2824" width="5.28515625" style="28" customWidth="1"/>
    <col min="2825" max="2826" width="5.42578125" style="28" customWidth="1"/>
    <col min="2827" max="2830" width="6.140625" style="28" customWidth="1"/>
    <col min="2831" max="2834" width="6.42578125" style="28" customWidth="1"/>
    <col min="2835" max="2835" width="1.28515625" style="28" customWidth="1"/>
    <col min="2836" max="2838" width="11.42578125" style="28"/>
    <col min="2839" max="2839" width="6.140625" style="28" customWidth="1"/>
    <col min="2840" max="2842" width="6.7109375" style="28" customWidth="1"/>
    <col min="2843" max="2843" width="6.140625" style="28" customWidth="1"/>
    <col min="2844" max="2844" width="6" style="28" customWidth="1"/>
    <col min="2845" max="2852" width="11.42578125" style="28"/>
    <col min="2853" max="2853" width="6.5703125" style="28" customWidth="1"/>
    <col min="2854" max="2854" width="9.140625" style="28" customWidth="1"/>
    <col min="2855" max="2855" width="8.5703125" style="28" customWidth="1"/>
    <col min="2856" max="3071" width="11.42578125" style="28"/>
    <col min="3072" max="3072" width="6.42578125" style="28" customWidth="1"/>
    <col min="3073" max="3073" width="3.42578125" style="28" customWidth="1"/>
    <col min="3074" max="3079" width="3" style="28" customWidth="1"/>
    <col min="3080" max="3080" width="5.28515625" style="28" customWidth="1"/>
    <col min="3081" max="3082" width="5.42578125" style="28" customWidth="1"/>
    <col min="3083" max="3086" width="6.140625" style="28" customWidth="1"/>
    <col min="3087" max="3090" width="6.42578125" style="28" customWidth="1"/>
    <col min="3091" max="3091" width="1.28515625" style="28" customWidth="1"/>
    <col min="3092" max="3094" width="11.42578125" style="28"/>
    <col min="3095" max="3095" width="6.140625" style="28" customWidth="1"/>
    <col min="3096" max="3098" width="6.7109375" style="28" customWidth="1"/>
    <col min="3099" max="3099" width="6.140625" style="28" customWidth="1"/>
    <col min="3100" max="3100" width="6" style="28" customWidth="1"/>
    <col min="3101" max="3108" width="11.42578125" style="28"/>
    <col min="3109" max="3109" width="6.5703125" style="28" customWidth="1"/>
    <col min="3110" max="3110" width="9.140625" style="28" customWidth="1"/>
    <col min="3111" max="3111" width="8.5703125" style="28" customWidth="1"/>
    <col min="3112" max="3327" width="11.42578125" style="28"/>
    <col min="3328" max="3328" width="6.42578125" style="28" customWidth="1"/>
    <col min="3329" max="3329" width="3.42578125" style="28" customWidth="1"/>
    <col min="3330" max="3335" width="3" style="28" customWidth="1"/>
    <col min="3336" max="3336" width="5.28515625" style="28" customWidth="1"/>
    <col min="3337" max="3338" width="5.42578125" style="28" customWidth="1"/>
    <col min="3339" max="3342" width="6.140625" style="28" customWidth="1"/>
    <col min="3343" max="3346" width="6.42578125" style="28" customWidth="1"/>
    <col min="3347" max="3347" width="1.28515625" style="28" customWidth="1"/>
    <col min="3348" max="3350" width="11.42578125" style="28"/>
    <col min="3351" max="3351" width="6.140625" style="28" customWidth="1"/>
    <col min="3352" max="3354" width="6.7109375" style="28" customWidth="1"/>
    <col min="3355" max="3355" width="6.140625" style="28" customWidth="1"/>
    <col min="3356" max="3356" width="6" style="28" customWidth="1"/>
    <col min="3357" max="3364" width="11.42578125" style="28"/>
    <col min="3365" max="3365" width="6.5703125" style="28" customWidth="1"/>
    <col min="3366" max="3366" width="9.140625" style="28" customWidth="1"/>
    <col min="3367" max="3367" width="8.5703125" style="28" customWidth="1"/>
    <col min="3368" max="3583" width="11.42578125" style="28"/>
    <col min="3584" max="3584" width="6.42578125" style="28" customWidth="1"/>
    <col min="3585" max="3585" width="3.42578125" style="28" customWidth="1"/>
    <col min="3586" max="3591" width="3" style="28" customWidth="1"/>
    <col min="3592" max="3592" width="5.28515625" style="28" customWidth="1"/>
    <col min="3593" max="3594" width="5.42578125" style="28" customWidth="1"/>
    <col min="3595" max="3598" width="6.140625" style="28" customWidth="1"/>
    <col min="3599" max="3602" width="6.42578125" style="28" customWidth="1"/>
    <col min="3603" max="3603" width="1.28515625" style="28" customWidth="1"/>
    <col min="3604" max="3606" width="11.42578125" style="28"/>
    <col min="3607" max="3607" width="6.140625" style="28" customWidth="1"/>
    <col min="3608" max="3610" width="6.7109375" style="28" customWidth="1"/>
    <col min="3611" max="3611" width="6.140625" style="28" customWidth="1"/>
    <col min="3612" max="3612" width="6" style="28" customWidth="1"/>
    <col min="3613" max="3620" width="11.42578125" style="28"/>
    <col min="3621" max="3621" width="6.5703125" style="28" customWidth="1"/>
    <col min="3622" max="3622" width="9.140625" style="28" customWidth="1"/>
    <col min="3623" max="3623" width="8.5703125" style="28" customWidth="1"/>
    <col min="3624" max="3839" width="11.42578125" style="28"/>
    <col min="3840" max="3840" width="6.42578125" style="28" customWidth="1"/>
    <col min="3841" max="3841" width="3.42578125" style="28" customWidth="1"/>
    <col min="3842" max="3847" width="3" style="28" customWidth="1"/>
    <col min="3848" max="3848" width="5.28515625" style="28" customWidth="1"/>
    <col min="3849" max="3850" width="5.42578125" style="28" customWidth="1"/>
    <col min="3851" max="3854" width="6.140625" style="28" customWidth="1"/>
    <col min="3855" max="3858" width="6.42578125" style="28" customWidth="1"/>
    <col min="3859" max="3859" width="1.28515625" style="28" customWidth="1"/>
    <col min="3860" max="3862" width="11.42578125" style="28"/>
    <col min="3863" max="3863" width="6.140625" style="28" customWidth="1"/>
    <col min="3864" max="3866" width="6.7109375" style="28" customWidth="1"/>
    <col min="3867" max="3867" width="6.140625" style="28" customWidth="1"/>
    <col min="3868" max="3868" width="6" style="28" customWidth="1"/>
    <col min="3869" max="3876" width="11.42578125" style="28"/>
    <col min="3877" max="3877" width="6.5703125" style="28" customWidth="1"/>
    <col min="3878" max="3878" width="9.140625" style="28" customWidth="1"/>
    <col min="3879" max="3879" width="8.5703125" style="28" customWidth="1"/>
    <col min="3880" max="4095" width="11.42578125" style="28"/>
    <col min="4096" max="4096" width="6.42578125" style="28" customWidth="1"/>
    <col min="4097" max="4097" width="3.42578125" style="28" customWidth="1"/>
    <col min="4098" max="4103" width="3" style="28" customWidth="1"/>
    <col min="4104" max="4104" width="5.28515625" style="28" customWidth="1"/>
    <col min="4105" max="4106" width="5.42578125" style="28" customWidth="1"/>
    <col min="4107" max="4110" width="6.140625" style="28" customWidth="1"/>
    <col min="4111" max="4114" width="6.42578125" style="28" customWidth="1"/>
    <col min="4115" max="4115" width="1.28515625" style="28" customWidth="1"/>
    <col min="4116" max="4118" width="11.42578125" style="28"/>
    <col min="4119" max="4119" width="6.140625" style="28" customWidth="1"/>
    <col min="4120" max="4122" width="6.7109375" style="28" customWidth="1"/>
    <col min="4123" max="4123" width="6.140625" style="28" customWidth="1"/>
    <col min="4124" max="4124" width="6" style="28" customWidth="1"/>
    <col min="4125" max="4132" width="11.42578125" style="28"/>
    <col min="4133" max="4133" width="6.5703125" style="28" customWidth="1"/>
    <col min="4134" max="4134" width="9.140625" style="28" customWidth="1"/>
    <col min="4135" max="4135" width="8.5703125" style="28" customWidth="1"/>
    <col min="4136" max="4351" width="11.42578125" style="28"/>
    <col min="4352" max="4352" width="6.42578125" style="28" customWidth="1"/>
    <col min="4353" max="4353" width="3.42578125" style="28" customWidth="1"/>
    <col min="4354" max="4359" width="3" style="28" customWidth="1"/>
    <col min="4360" max="4360" width="5.28515625" style="28" customWidth="1"/>
    <col min="4361" max="4362" width="5.42578125" style="28" customWidth="1"/>
    <col min="4363" max="4366" width="6.140625" style="28" customWidth="1"/>
    <col min="4367" max="4370" width="6.42578125" style="28" customWidth="1"/>
    <col min="4371" max="4371" width="1.28515625" style="28" customWidth="1"/>
    <col min="4372" max="4374" width="11.42578125" style="28"/>
    <col min="4375" max="4375" width="6.140625" style="28" customWidth="1"/>
    <col min="4376" max="4378" width="6.7109375" style="28" customWidth="1"/>
    <col min="4379" max="4379" width="6.140625" style="28" customWidth="1"/>
    <col min="4380" max="4380" width="6" style="28" customWidth="1"/>
    <col min="4381" max="4388" width="11.42578125" style="28"/>
    <col min="4389" max="4389" width="6.5703125" style="28" customWidth="1"/>
    <col min="4390" max="4390" width="9.140625" style="28" customWidth="1"/>
    <col min="4391" max="4391" width="8.5703125" style="28" customWidth="1"/>
    <col min="4392" max="4607" width="11.42578125" style="28"/>
    <col min="4608" max="4608" width="6.42578125" style="28" customWidth="1"/>
    <col min="4609" max="4609" width="3.42578125" style="28" customWidth="1"/>
    <col min="4610" max="4615" width="3" style="28" customWidth="1"/>
    <col min="4616" max="4616" width="5.28515625" style="28" customWidth="1"/>
    <col min="4617" max="4618" width="5.42578125" style="28" customWidth="1"/>
    <col min="4619" max="4622" width="6.140625" style="28" customWidth="1"/>
    <col min="4623" max="4626" width="6.42578125" style="28" customWidth="1"/>
    <col min="4627" max="4627" width="1.28515625" style="28" customWidth="1"/>
    <col min="4628" max="4630" width="11.42578125" style="28"/>
    <col min="4631" max="4631" width="6.140625" style="28" customWidth="1"/>
    <col min="4632" max="4634" width="6.7109375" style="28" customWidth="1"/>
    <col min="4635" max="4635" width="6.140625" style="28" customWidth="1"/>
    <col min="4636" max="4636" width="6" style="28" customWidth="1"/>
    <col min="4637" max="4644" width="11.42578125" style="28"/>
    <col min="4645" max="4645" width="6.5703125" style="28" customWidth="1"/>
    <col min="4646" max="4646" width="9.140625" style="28" customWidth="1"/>
    <col min="4647" max="4647" width="8.5703125" style="28" customWidth="1"/>
    <col min="4648" max="4863" width="11.42578125" style="28"/>
    <col min="4864" max="4864" width="6.42578125" style="28" customWidth="1"/>
    <col min="4865" max="4865" width="3.42578125" style="28" customWidth="1"/>
    <col min="4866" max="4871" width="3" style="28" customWidth="1"/>
    <col min="4872" max="4872" width="5.28515625" style="28" customWidth="1"/>
    <col min="4873" max="4874" width="5.42578125" style="28" customWidth="1"/>
    <col min="4875" max="4878" width="6.140625" style="28" customWidth="1"/>
    <col min="4879" max="4882" width="6.42578125" style="28" customWidth="1"/>
    <col min="4883" max="4883" width="1.28515625" style="28" customWidth="1"/>
    <col min="4884" max="4886" width="11.42578125" style="28"/>
    <col min="4887" max="4887" width="6.140625" style="28" customWidth="1"/>
    <col min="4888" max="4890" width="6.7109375" style="28" customWidth="1"/>
    <col min="4891" max="4891" width="6.140625" style="28" customWidth="1"/>
    <col min="4892" max="4892" width="6" style="28" customWidth="1"/>
    <col min="4893" max="4900" width="11.42578125" style="28"/>
    <col min="4901" max="4901" width="6.5703125" style="28" customWidth="1"/>
    <col min="4902" max="4902" width="9.140625" style="28" customWidth="1"/>
    <col min="4903" max="4903" width="8.5703125" style="28" customWidth="1"/>
    <col min="4904" max="5119" width="11.42578125" style="28"/>
    <col min="5120" max="5120" width="6.42578125" style="28" customWidth="1"/>
    <col min="5121" max="5121" width="3.42578125" style="28" customWidth="1"/>
    <col min="5122" max="5127" width="3" style="28" customWidth="1"/>
    <col min="5128" max="5128" width="5.28515625" style="28" customWidth="1"/>
    <col min="5129" max="5130" width="5.42578125" style="28" customWidth="1"/>
    <col min="5131" max="5134" width="6.140625" style="28" customWidth="1"/>
    <col min="5135" max="5138" width="6.42578125" style="28" customWidth="1"/>
    <col min="5139" max="5139" width="1.28515625" style="28" customWidth="1"/>
    <col min="5140" max="5142" width="11.42578125" style="28"/>
    <col min="5143" max="5143" width="6.140625" style="28" customWidth="1"/>
    <col min="5144" max="5146" width="6.7109375" style="28" customWidth="1"/>
    <col min="5147" max="5147" width="6.140625" style="28" customWidth="1"/>
    <col min="5148" max="5148" width="6" style="28" customWidth="1"/>
    <col min="5149" max="5156" width="11.42578125" style="28"/>
    <col min="5157" max="5157" width="6.5703125" style="28" customWidth="1"/>
    <col min="5158" max="5158" width="9.140625" style="28" customWidth="1"/>
    <col min="5159" max="5159" width="8.5703125" style="28" customWidth="1"/>
    <col min="5160" max="5375" width="11.42578125" style="28"/>
    <col min="5376" max="5376" width="6.42578125" style="28" customWidth="1"/>
    <col min="5377" max="5377" width="3.42578125" style="28" customWidth="1"/>
    <col min="5378" max="5383" width="3" style="28" customWidth="1"/>
    <col min="5384" max="5384" width="5.28515625" style="28" customWidth="1"/>
    <col min="5385" max="5386" width="5.42578125" style="28" customWidth="1"/>
    <col min="5387" max="5390" width="6.140625" style="28" customWidth="1"/>
    <col min="5391" max="5394" width="6.42578125" style="28" customWidth="1"/>
    <col min="5395" max="5395" width="1.28515625" style="28" customWidth="1"/>
    <col min="5396" max="5398" width="11.42578125" style="28"/>
    <col min="5399" max="5399" width="6.140625" style="28" customWidth="1"/>
    <col min="5400" max="5402" width="6.7109375" style="28" customWidth="1"/>
    <col min="5403" max="5403" width="6.140625" style="28" customWidth="1"/>
    <col min="5404" max="5404" width="6" style="28" customWidth="1"/>
    <col min="5405" max="5412" width="11.42578125" style="28"/>
    <col min="5413" max="5413" width="6.5703125" style="28" customWidth="1"/>
    <col min="5414" max="5414" width="9.140625" style="28" customWidth="1"/>
    <col min="5415" max="5415" width="8.5703125" style="28" customWidth="1"/>
    <col min="5416" max="5631" width="11.42578125" style="28"/>
    <col min="5632" max="5632" width="6.42578125" style="28" customWidth="1"/>
    <col min="5633" max="5633" width="3.42578125" style="28" customWidth="1"/>
    <col min="5634" max="5639" width="3" style="28" customWidth="1"/>
    <col min="5640" max="5640" width="5.28515625" style="28" customWidth="1"/>
    <col min="5641" max="5642" width="5.42578125" style="28" customWidth="1"/>
    <col min="5643" max="5646" width="6.140625" style="28" customWidth="1"/>
    <col min="5647" max="5650" width="6.42578125" style="28" customWidth="1"/>
    <col min="5651" max="5651" width="1.28515625" style="28" customWidth="1"/>
    <col min="5652" max="5654" width="11.42578125" style="28"/>
    <col min="5655" max="5655" width="6.140625" style="28" customWidth="1"/>
    <col min="5656" max="5658" width="6.7109375" style="28" customWidth="1"/>
    <col min="5659" max="5659" width="6.140625" style="28" customWidth="1"/>
    <col min="5660" max="5660" width="6" style="28" customWidth="1"/>
    <col min="5661" max="5668" width="11.42578125" style="28"/>
    <col min="5669" max="5669" width="6.5703125" style="28" customWidth="1"/>
    <col min="5670" max="5670" width="9.140625" style="28" customWidth="1"/>
    <col min="5671" max="5671" width="8.5703125" style="28" customWidth="1"/>
    <col min="5672" max="5887" width="11.42578125" style="28"/>
    <col min="5888" max="5888" width="6.42578125" style="28" customWidth="1"/>
    <col min="5889" max="5889" width="3.42578125" style="28" customWidth="1"/>
    <col min="5890" max="5895" width="3" style="28" customWidth="1"/>
    <col min="5896" max="5896" width="5.28515625" style="28" customWidth="1"/>
    <col min="5897" max="5898" width="5.42578125" style="28" customWidth="1"/>
    <col min="5899" max="5902" width="6.140625" style="28" customWidth="1"/>
    <col min="5903" max="5906" width="6.42578125" style="28" customWidth="1"/>
    <col min="5907" max="5907" width="1.28515625" style="28" customWidth="1"/>
    <col min="5908" max="5910" width="11.42578125" style="28"/>
    <col min="5911" max="5911" width="6.140625" style="28" customWidth="1"/>
    <col min="5912" max="5914" width="6.7109375" style="28" customWidth="1"/>
    <col min="5915" max="5915" width="6.140625" style="28" customWidth="1"/>
    <col min="5916" max="5916" width="6" style="28" customWidth="1"/>
    <col min="5917" max="5924" width="11.42578125" style="28"/>
    <col min="5925" max="5925" width="6.5703125" style="28" customWidth="1"/>
    <col min="5926" max="5926" width="9.140625" style="28" customWidth="1"/>
    <col min="5927" max="5927" width="8.5703125" style="28" customWidth="1"/>
    <col min="5928" max="6143" width="11.42578125" style="28"/>
    <col min="6144" max="6144" width="6.42578125" style="28" customWidth="1"/>
    <col min="6145" max="6145" width="3.42578125" style="28" customWidth="1"/>
    <col min="6146" max="6151" width="3" style="28" customWidth="1"/>
    <col min="6152" max="6152" width="5.28515625" style="28" customWidth="1"/>
    <col min="6153" max="6154" width="5.42578125" style="28" customWidth="1"/>
    <col min="6155" max="6158" width="6.140625" style="28" customWidth="1"/>
    <col min="6159" max="6162" width="6.42578125" style="28" customWidth="1"/>
    <col min="6163" max="6163" width="1.28515625" style="28" customWidth="1"/>
    <col min="6164" max="6166" width="11.42578125" style="28"/>
    <col min="6167" max="6167" width="6.140625" style="28" customWidth="1"/>
    <col min="6168" max="6170" width="6.7109375" style="28" customWidth="1"/>
    <col min="6171" max="6171" width="6.140625" style="28" customWidth="1"/>
    <col min="6172" max="6172" width="6" style="28" customWidth="1"/>
    <col min="6173" max="6180" width="11.42578125" style="28"/>
    <col min="6181" max="6181" width="6.5703125" style="28" customWidth="1"/>
    <col min="6182" max="6182" width="9.140625" style="28" customWidth="1"/>
    <col min="6183" max="6183" width="8.5703125" style="28" customWidth="1"/>
    <col min="6184" max="6399" width="11.42578125" style="28"/>
    <col min="6400" max="6400" width="6.42578125" style="28" customWidth="1"/>
    <col min="6401" max="6401" width="3.42578125" style="28" customWidth="1"/>
    <col min="6402" max="6407" width="3" style="28" customWidth="1"/>
    <col min="6408" max="6408" width="5.28515625" style="28" customWidth="1"/>
    <col min="6409" max="6410" width="5.42578125" style="28" customWidth="1"/>
    <col min="6411" max="6414" width="6.140625" style="28" customWidth="1"/>
    <col min="6415" max="6418" width="6.42578125" style="28" customWidth="1"/>
    <col min="6419" max="6419" width="1.28515625" style="28" customWidth="1"/>
    <col min="6420" max="6422" width="11.42578125" style="28"/>
    <col min="6423" max="6423" width="6.140625" style="28" customWidth="1"/>
    <col min="6424" max="6426" width="6.7109375" style="28" customWidth="1"/>
    <col min="6427" max="6427" width="6.140625" style="28" customWidth="1"/>
    <col min="6428" max="6428" width="6" style="28" customWidth="1"/>
    <col min="6429" max="6436" width="11.42578125" style="28"/>
    <col min="6437" max="6437" width="6.5703125" style="28" customWidth="1"/>
    <col min="6438" max="6438" width="9.140625" style="28" customWidth="1"/>
    <col min="6439" max="6439" width="8.5703125" style="28" customWidth="1"/>
    <col min="6440" max="6655" width="11.42578125" style="28"/>
    <col min="6656" max="6656" width="6.42578125" style="28" customWidth="1"/>
    <col min="6657" max="6657" width="3.42578125" style="28" customWidth="1"/>
    <col min="6658" max="6663" width="3" style="28" customWidth="1"/>
    <col min="6664" max="6664" width="5.28515625" style="28" customWidth="1"/>
    <col min="6665" max="6666" width="5.42578125" style="28" customWidth="1"/>
    <col min="6667" max="6670" width="6.140625" style="28" customWidth="1"/>
    <col min="6671" max="6674" width="6.42578125" style="28" customWidth="1"/>
    <col min="6675" max="6675" width="1.28515625" style="28" customWidth="1"/>
    <col min="6676" max="6678" width="11.42578125" style="28"/>
    <col min="6679" max="6679" width="6.140625" style="28" customWidth="1"/>
    <col min="6680" max="6682" width="6.7109375" style="28" customWidth="1"/>
    <col min="6683" max="6683" width="6.140625" style="28" customWidth="1"/>
    <col min="6684" max="6684" width="6" style="28" customWidth="1"/>
    <col min="6685" max="6692" width="11.42578125" style="28"/>
    <col min="6693" max="6693" width="6.5703125" style="28" customWidth="1"/>
    <col min="6694" max="6694" width="9.140625" style="28" customWidth="1"/>
    <col min="6695" max="6695" width="8.5703125" style="28" customWidth="1"/>
    <col min="6696" max="6911" width="11.42578125" style="28"/>
    <col min="6912" max="6912" width="6.42578125" style="28" customWidth="1"/>
    <col min="6913" max="6913" width="3.42578125" style="28" customWidth="1"/>
    <col min="6914" max="6919" width="3" style="28" customWidth="1"/>
    <col min="6920" max="6920" width="5.28515625" style="28" customWidth="1"/>
    <col min="6921" max="6922" width="5.42578125" style="28" customWidth="1"/>
    <col min="6923" max="6926" width="6.140625" style="28" customWidth="1"/>
    <col min="6927" max="6930" width="6.42578125" style="28" customWidth="1"/>
    <col min="6931" max="6931" width="1.28515625" style="28" customWidth="1"/>
    <col min="6932" max="6934" width="11.42578125" style="28"/>
    <col min="6935" max="6935" width="6.140625" style="28" customWidth="1"/>
    <col min="6936" max="6938" width="6.7109375" style="28" customWidth="1"/>
    <col min="6939" max="6939" width="6.140625" style="28" customWidth="1"/>
    <col min="6940" max="6940" width="6" style="28" customWidth="1"/>
    <col min="6941" max="6948" width="11.42578125" style="28"/>
    <col min="6949" max="6949" width="6.5703125" style="28" customWidth="1"/>
    <col min="6950" max="6950" width="9.140625" style="28" customWidth="1"/>
    <col min="6951" max="6951" width="8.5703125" style="28" customWidth="1"/>
    <col min="6952" max="7167" width="11.42578125" style="28"/>
    <col min="7168" max="7168" width="6.42578125" style="28" customWidth="1"/>
    <col min="7169" max="7169" width="3.42578125" style="28" customWidth="1"/>
    <col min="7170" max="7175" width="3" style="28" customWidth="1"/>
    <col min="7176" max="7176" width="5.28515625" style="28" customWidth="1"/>
    <col min="7177" max="7178" width="5.42578125" style="28" customWidth="1"/>
    <col min="7179" max="7182" width="6.140625" style="28" customWidth="1"/>
    <col min="7183" max="7186" width="6.42578125" style="28" customWidth="1"/>
    <col min="7187" max="7187" width="1.28515625" style="28" customWidth="1"/>
    <col min="7188" max="7190" width="11.42578125" style="28"/>
    <col min="7191" max="7191" width="6.140625" style="28" customWidth="1"/>
    <col min="7192" max="7194" width="6.7109375" style="28" customWidth="1"/>
    <col min="7195" max="7195" width="6.140625" style="28" customWidth="1"/>
    <col min="7196" max="7196" width="6" style="28" customWidth="1"/>
    <col min="7197" max="7204" width="11.42578125" style="28"/>
    <col min="7205" max="7205" width="6.5703125" style="28" customWidth="1"/>
    <col min="7206" max="7206" width="9.140625" style="28" customWidth="1"/>
    <col min="7207" max="7207" width="8.5703125" style="28" customWidth="1"/>
    <col min="7208" max="7423" width="11.42578125" style="28"/>
    <col min="7424" max="7424" width="6.42578125" style="28" customWidth="1"/>
    <col min="7425" max="7425" width="3.42578125" style="28" customWidth="1"/>
    <col min="7426" max="7431" width="3" style="28" customWidth="1"/>
    <col min="7432" max="7432" width="5.28515625" style="28" customWidth="1"/>
    <col min="7433" max="7434" width="5.42578125" style="28" customWidth="1"/>
    <col min="7435" max="7438" width="6.140625" style="28" customWidth="1"/>
    <col min="7439" max="7442" width="6.42578125" style="28" customWidth="1"/>
    <col min="7443" max="7443" width="1.28515625" style="28" customWidth="1"/>
    <col min="7444" max="7446" width="11.42578125" style="28"/>
    <col min="7447" max="7447" width="6.140625" style="28" customWidth="1"/>
    <col min="7448" max="7450" width="6.7109375" style="28" customWidth="1"/>
    <col min="7451" max="7451" width="6.140625" style="28" customWidth="1"/>
    <col min="7452" max="7452" width="6" style="28" customWidth="1"/>
    <col min="7453" max="7460" width="11.42578125" style="28"/>
    <col min="7461" max="7461" width="6.5703125" style="28" customWidth="1"/>
    <col min="7462" max="7462" width="9.140625" style="28" customWidth="1"/>
    <col min="7463" max="7463" width="8.5703125" style="28" customWidth="1"/>
    <col min="7464" max="7679" width="11.42578125" style="28"/>
    <col min="7680" max="7680" width="6.42578125" style="28" customWidth="1"/>
    <col min="7681" max="7681" width="3.42578125" style="28" customWidth="1"/>
    <col min="7682" max="7687" width="3" style="28" customWidth="1"/>
    <col min="7688" max="7688" width="5.28515625" style="28" customWidth="1"/>
    <col min="7689" max="7690" width="5.42578125" style="28" customWidth="1"/>
    <col min="7691" max="7694" width="6.140625" style="28" customWidth="1"/>
    <col min="7695" max="7698" width="6.42578125" style="28" customWidth="1"/>
    <col min="7699" max="7699" width="1.28515625" style="28" customWidth="1"/>
    <col min="7700" max="7702" width="11.42578125" style="28"/>
    <col min="7703" max="7703" width="6.140625" style="28" customWidth="1"/>
    <col min="7704" max="7706" width="6.7109375" style="28" customWidth="1"/>
    <col min="7707" max="7707" width="6.140625" style="28" customWidth="1"/>
    <col min="7708" max="7708" width="6" style="28" customWidth="1"/>
    <col min="7709" max="7716" width="11.42578125" style="28"/>
    <col min="7717" max="7717" width="6.5703125" style="28" customWidth="1"/>
    <col min="7718" max="7718" width="9.140625" style="28" customWidth="1"/>
    <col min="7719" max="7719" width="8.5703125" style="28" customWidth="1"/>
    <col min="7720" max="7935" width="11.42578125" style="28"/>
    <col min="7936" max="7936" width="6.42578125" style="28" customWidth="1"/>
    <col min="7937" max="7937" width="3.42578125" style="28" customWidth="1"/>
    <col min="7938" max="7943" width="3" style="28" customWidth="1"/>
    <col min="7944" max="7944" width="5.28515625" style="28" customWidth="1"/>
    <col min="7945" max="7946" width="5.42578125" style="28" customWidth="1"/>
    <col min="7947" max="7950" width="6.140625" style="28" customWidth="1"/>
    <col min="7951" max="7954" width="6.42578125" style="28" customWidth="1"/>
    <col min="7955" max="7955" width="1.28515625" style="28" customWidth="1"/>
    <col min="7956" max="7958" width="11.42578125" style="28"/>
    <col min="7959" max="7959" width="6.140625" style="28" customWidth="1"/>
    <col min="7960" max="7962" width="6.7109375" style="28" customWidth="1"/>
    <col min="7963" max="7963" width="6.140625" style="28" customWidth="1"/>
    <col min="7964" max="7964" width="6" style="28" customWidth="1"/>
    <col min="7965" max="7972" width="11.42578125" style="28"/>
    <col min="7973" max="7973" width="6.5703125" style="28" customWidth="1"/>
    <col min="7974" max="7974" width="9.140625" style="28" customWidth="1"/>
    <col min="7975" max="7975" width="8.5703125" style="28" customWidth="1"/>
    <col min="7976" max="8191" width="11.42578125" style="28"/>
    <col min="8192" max="8192" width="6.42578125" style="28" customWidth="1"/>
    <col min="8193" max="8193" width="3.42578125" style="28" customWidth="1"/>
    <col min="8194" max="8199" width="3" style="28" customWidth="1"/>
    <col min="8200" max="8200" width="5.28515625" style="28" customWidth="1"/>
    <col min="8201" max="8202" width="5.42578125" style="28" customWidth="1"/>
    <col min="8203" max="8206" width="6.140625" style="28" customWidth="1"/>
    <col min="8207" max="8210" width="6.42578125" style="28" customWidth="1"/>
    <col min="8211" max="8211" width="1.28515625" style="28" customWidth="1"/>
    <col min="8212" max="8214" width="11.42578125" style="28"/>
    <col min="8215" max="8215" width="6.140625" style="28" customWidth="1"/>
    <col min="8216" max="8218" width="6.7109375" style="28" customWidth="1"/>
    <col min="8219" max="8219" width="6.140625" style="28" customWidth="1"/>
    <col min="8220" max="8220" width="6" style="28" customWidth="1"/>
    <col min="8221" max="8228" width="11.42578125" style="28"/>
    <col min="8229" max="8229" width="6.5703125" style="28" customWidth="1"/>
    <col min="8230" max="8230" width="9.140625" style="28" customWidth="1"/>
    <col min="8231" max="8231" width="8.5703125" style="28" customWidth="1"/>
    <col min="8232" max="8447" width="11.42578125" style="28"/>
    <col min="8448" max="8448" width="6.42578125" style="28" customWidth="1"/>
    <col min="8449" max="8449" width="3.42578125" style="28" customWidth="1"/>
    <col min="8450" max="8455" width="3" style="28" customWidth="1"/>
    <col min="8456" max="8456" width="5.28515625" style="28" customWidth="1"/>
    <col min="8457" max="8458" width="5.42578125" style="28" customWidth="1"/>
    <col min="8459" max="8462" width="6.140625" style="28" customWidth="1"/>
    <col min="8463" max="8466" width="6.42578125" style="28" customWidth="1"/>
    <col min="8467" max="8467" width="1.28515625" style="28" customWidth="1"/>
    <col min="8468" max="8470" width="11.42578125" style="28"/>
    <col min="8471" max="8471" width="6.140625" style="28" customWidth="1"/>
    <col min="8472" max="8474" width="6.7109375" style="28" customWidth="1"/>
    <col min="8475" max="8475" width="6.140625" style="28" customWidth="1"/>
    <col min="8476" max="8476" width="6" style="28" customWidth="1"/>
    <col min="8477" max="8484" width="11.42578125" style="28"/>
    <col min="8485" max="8485" width="6.5703125" style="28" customWidth="1"/>
    <col min="8486" max="8486" width="9.140625" style="28" customWidth="1"/>
    <col min="8487" max="8487" width="8.5703125" style="28" customWidth="1"/>
    <col min="8488" max="8703" width="11.42578125" style="28"/>
    <col min="8704" max="8704" width="6.42578125" style="28" customWidth="1"/>
    <col min="8705" max="8705" width="3.42578125" style="28" customWidth="1"/>
    <col min="8706" max="8711" width="3" style="28" customWidth="1"/>
    <col min="8712" max="8712" width="5.28515625" style="28" customWidth="1"/>
    <col min="8713" max="8714" width="5.42578125" style="28" customWidth="1"/>
    <col min="8715" max="8718" width="6.140625" style="28" customWidth="1"/>
    <col min="8719" max="8722" width="6.42578125" style="28" customWidth="1"/>
    <col min="8723" max="8723" width="1.28515625" style="28" customWidth="1"/>
    <col min="8724" max="8726" width="11.42578125" style="28"/>
    <col min="8727" max="8727" width="6.140625" style="28" customWidth="1"/>
    <col min="8728" max="8730" width="6.7109375" style="28" customWidth="1"/>
    <col min="8731" max="8731" width="6.140625" style="28" customWidth="1"/>
    <col min="8732" max="8732" width="6" style="28" customWidth="1"/>
    <col min="8733" max="8740" width="11.42578125" style="28"/>
    <col min="8741" max="8741" width="6.5703125" style="28" customWidth="1"/>
    <col min="8742" max="8742" width="9.140625" style="28" customWidth="1"/>
    <col min="8743" max="8743" width="8.5703125" style="28" customWidth="1"/>
    <col min="8744" max="8959" width="11.42578125" style="28"/>
    <col min="8960" max="8960" width="6.42578125" style="28" customWidth="1"/>
    <col min="8961" max="8961" width="3.42578125" style="28" customWidth="1"/>
    <col min="8962" max="8967" width="3" style="28" customWidth="1"/>
    <col min="8968" max="8968" width="5.28515625" style="28" customWidth="1"/>
    <col min="8969" max="8970" width="5.42578125" style="28" customWidth="1"/>
    <col min="8971" max="8974" width="6.140625" style="28" customWidth="1"/>
    <col min="8975" max="8978" width="6.42578125" style="28" customWidth="1"/>
    <col min="8979" max="8979" width="1.28515625" style="28" customWidth="1"/>
    <col min="8980" max="8982" width="11.42578125" style="28"/>
    <col min="8983" max="8983" width="6.140625" style="28" customWidth="1"/>
    <col min="8984" max="8986" width="6.7109375" style="28" customWidth="1"/>
    <col min="8987" max="8987" width="6.140625" style="28" customWidth="1"/>
    <col min="8988" max="8988" width="6" style="28" customWidth="1"/>
    <col min="8989" max="8996" width="11.42578125" style="28"/>
    <col min="8997" max="8997" width="6.5703125" style="28" customWidth="1"/>
    <col min="8998" max="8998" width="9.140625" style="28" customWidth="1"/>
    <col min="8999" max="8999" width="8.5703125" style="28" customWidth="1"/>
    <col min="9000" max="9215" width="11.42578125" style="28"/>
    <col min="9216" max="9216" width="6.42578125" style="28" customWidth="1"/>
    <col min="9217" max="9217" width="3.42578125" style="28" customWidth="1"/>
    <col min="9218" max="9223" width="3" style="28" customWidth="1"/>
    <col min="9224" max="9224" width="5.28515625" style="28" customWidth="1"/>
    <col min="9225" max="9226" width="5.42578125" style="28" customWidth="1"/>
    <col min="9227" max="9230" width="6.140625" style="28" customWidth="1"/>
    <col min="9231" max="9234" width="6.42578125" style="28" customWidth="1"/>
    <col min="9235" max="9235" width="1.28515625" style="28" customWidth="1"/>
    <col min="9236" max="9238" width="11.42578125" style="28"/>
    <col min="9239" max="9239" width="6.140625" style="28" customWidth="1"/>
    <col min="9240" max="9242" width="6.7109375" style="28" customWidth="1"/>
    <col min="9243" max="9243" width="6.140625" style="28" customWidth="1"/>
    <col min="9244" max="9244" width="6" style="28" customWidth="1"/>
    <col min="9245" max="9252" width="11.42578125" style="28"/>
    <col min="9253" max="9253" width="6.5703125" style="28" customWidth="1"/>
    <col min="9254" max="9254" width="9.140625" style="28" customWidth="1"/>
    <col min="9255" max="9255" width="8.5703125" style="28" customWidth="1"/>
    <col min="9256" max="9471" width="11.42578125" style="28"/>
    <col min="9472" max="9472" width="6.42578125" style="28" customWidth="1"/>
    <col min="9473" max="9473" width="3.42578125" style="28" customWidth="1"/>
    <col min="9474" max="9479" width="3" style="28" customWidth="1"/>
    <col min="9480" max="9480" width="5.28515625" style="28" customWidth="1"/>
    <col min="9481" max="9482" width="5.42578125" style="28" customWidth="1"/>
    <col min="9483" max="9486" width="6.140625" style="28" customWidth="1"/>
    <col min="9487" max="9490" width="6.42578125" style="28" customWidth="1"/>
    <col min="9491" max="9491" width="1.28515625" style="28" customWidth="1"/>
    <col min="9492" max="9494" width="11.42578125" style="28"/>
    <col min="9495" max="9495" width="6.140625" style="28" customWidth="1"/>
    <col min="9496" max="9498" width="6.7109375" style="28" customWidth="1"/>
    <col min="9499" max="9499" width="6.140625" style="28" customWidth="1"/>
    <col min="9500" max="9500" width="6" style="28" customWidth="1"/>
    <col min="9501" max="9508" width="11.42578125" style="28"/>
    <col min="9509" max="9509" width="6.5703125" style="28" customWidth="1"/>
    <col min="9510" max="9510" width="9.140625" style="28" customWidth="1"/>
    <col min="9511" max="9511" width="8.5703125" style="28" customWidth="1"/>
    <col min="9512" max="9727" width="11.42578125" style="28"/>
    <col min="9728" max="9728" width="6.42578125" style="28" customWidth="1"/>
    <col min="9729" max="9729" width="3.42578125" style="28" customWidth="1"/>
    <col min="9730" max="9735" width="3" style="28" customWidth="1"/>
    <col min="9736" max="9736" width="5.28515625" style="28" customWidth="1"/>
    <col min="9737" max="9738" width="5.42578125" style="28" customWidth="1"/>
    <col min="9739" max="9742" width="6.140625" style="28" customWidth="1"/>
    <col min="9743" max="9746" width="6.42578125" style="28" customWidth="1"/>
    <col min="9747" max="9747" width="1.28515625" style="28" customWidth="1"/>
    <col min="9748" max="9750" width="11.42578125" style="28"/>
    <col min="9751" max="9751" width="6.140625" style="28" customWidth="1"/>
    <col min="9752" max="9754" width="6.7109375" style="28" customWidth="1"/>
    <col min="9755" max="9755" width="6.140625" style="28" customWidth="1"/>
    <col min="9756" max="9756" width="6" style="28" customWidth="1"/>
    <col min="9757" max="9764" width="11.42578125" style="28"/>
    <col min="9765" max="9765" width="6.5703125" style="28" customWidth="1"/>
    <col min="9766" max="9766" width="9.140625" style="28" customWidth="1"/>
    <col min="9767" max="9767" width="8.5703125" style="28" customWidth="1"/>
    <col min="9768" max="9983" width="11.42578125" style="28"/>
    <col min="9984" max="9984" width="6.42578125" style="28" customWidth="1"/>
    <col min="9985" max="9985" width="3.42578125" style="28" customWidth="1"/>
    <col min="9986" max="9991" width="3" style="28" customWidth="1"/>
    <col min="9992" max="9992" width="5.28515625" style="28" customWidth="1"/>
    <col min="9993" max="9994" width="5.42578125" style="28" customWidth="1"/>
    <col min="9995" max="9998" width="6.140625" style="28" customWidth="1"/>
    <col min="9999" max="10002" width="6.42578125" style="28" customWidth="1"/>
    <col min="10003" max="10003" width="1.28515625" style="28" customWidth="1"/>
    <col min="10004" max="10006" width="11.42578125" style="28"/>
    <col min="10007" max="10007" width="6.140625" style="28" customWidth="1"/>
    <col min="10008" max="10010" width="6.7109375" style="28" customWidth="1"/>
    <col min="10011" max="10011" width="6.140625" style="28" customWidth="1"/>
    <col min="10012" max="10012" width="6" style="28" customWidth="1"/>
    <col min="10013" max="10020" width="11.42578125" style="28"/>
    <col min="10021" max="10021" width="6.5703125" style="28" customWidth="1"/>
    <col min="10022" max="10022" width="9.140625" style="28" customWidth="1"/>
    <col min="10023" max="10023" width="8.5703125" style="28" customWidth="1"/>
    <col min="10024" max="10239" width="11.42578125" style="28"/>
    <col min="10240" max="10240" width="6.42578125" style="28" customWidth="1"/>
    <col min="10241" max="10241" width="3.42578125" style="28" customWidth="1"/>
    <col min="10242" max="10247" width="3" style="28" customWidth="1"/>
    <col min="10248" max="10248" width="5.28515625" style="28" customWidth="1"/>
    <col min="10249" max="10250" width="5.42578125" style="28" customWidth="1"/>
    <col min="10251" max="10254" width="6.140625" style="28" customWidth="1"/>
    <col min="10255" max="10258" width="6.42578125" style="28" customWidth="1"/>
    <col min="10259" max="10259" width="1.28515625" style="28" customWidth="1"/>
    <col min="10260" max="10262" width="11.42578125" style="28"/>
    <col min="10263" max="10263" width="6.140625" style="28" customWidth="1"/>
    <col min="10264" max="10266" width="6.7109375" style="28" customWidth="1"/>
    <col min="10267" max="10267" width="6.140625" style="28" customWidth="1"/>
    <col min="10268" max="10268" width="6" style="28" customWidth="1"/>
    <col min="10269" max="10276" width="11.42578125" style="28"/>
    <col min="10277" max="10277" width="6.5703125" style="28" customWidth="1"/>
    <col min="10278" max="10278" width="9.140625" style="28" customWidth="1"/>
    <col min="10279" max="10279" width="8.5703125" style="28" customWidth="1"/>
    <col min="10280" max="10495" width="11.42578125" style="28"/>
    <col min="10496" max="10496" width="6.42578125" style="28" customWidth="1"/>
    <col min="10497" max="10497" width="3.42578125" style="28" customWidth="1"/>
    <col min="10498" max="10503" width="3" style="28" customWidth="1"/>
    <col min="10504" max="10504" width="5.28515625" style="28" customWidth="1"/>
    <col min="10505" max="10506" width="5.42578125" style="28" customWidth="1"/>
    <col min="10507" max="10510" width="6.140625" style="28" customWidth="1"/>
    <col min="10511" max="10514" width="6.42578125" style="28" customWidth="1"/>
    <col min="10515" max="10515" width="1.28515625" style="28" customWidth="1"/>
    <col min="10516" max="10518" width="11.42578125" style="28"/>
    <col min="10519" max="10519" width="6.140625" style="28" customWidth="1"/>
    <col min="10520" max="10522" width="6.7109375" style="28" customWidth="1"/>
    <col min="10523" max="10523" width="6.140625" style="28" customWidth="1"/>
    <col min="10524" max="10524" width="6" style="28" customWidth="1"/>
    <col min="10525" max="10532" width="11.42578125" style="28"/>
    <col min="10533" max="10533" width="6.5703125" style="28" customWidth="1"/>
    <col min="10534" max="10534" width="9.140625" style="28" customWidth="1"/>
    <col min="10535" max="10535" width="8.5703125" style="28" customWidth="1"/>
    <col min="10536" max="10751" width="11.42578125" style="28"/>
    <col min="10752" max="10752" width="6.42578125" style="28" customWidth="1"/>
    <col min="10753" max="10753" width="3.42578125" style="28" customWidth="1"/>
    <col min="10754" max="10759" width="3" style="28" customWidth="1"/>
    <col min="10760" max="10760" width="5.28515625" style="28" customWidth="1"/>
    <col min="10761" max="10762" width="5.42578125" style="28" customWidth="1"/>
    <col min="10763" max="10766" width="6.140625" style="28" customWidth="1"/>
    <col min="10767" max="10770" width="6.42578125" style="28" customWidth="1"/>
    <col min="10771" max="10771" width="1.28515625" style="28" customWidth="1"/>
    <col min="10772" max="10774" width="11.42578125" style="28"/>
    <col min="10775" max="10775" width="6.140625" style="28" customWidth="1"/>
    <col min="10776" max="10778" width="6.7109375" style="28" customWidth="1"/>
    <col min="10779" max="10779" width="6.140625" style="28" customWidth="1"/>
    <col min="10780" max="10780" width="6" style="28" customWidth="1"/>
    <col min="10781" max="10788" width="11.42578125" style="28"/>
    <col min="10789" max="10789" width="6.5703125" style="28" customWidth="1"/>
    <col min="10790" max="10790" width="9.140625" style="28" customWidth="1"/>
    <col min="10791" max="10791" width="8.5703125" style="28" customWidth="1"/>
    <col min="10792" max="11007" width="11.42578125" style="28"/>
    <col min="11008" max="11008" width="6.42578125" style="28" customWidth="1"/>
    <col min="11009" max="11009" width="3.42578125" style="28" customWidth="1"/>
    <col min="11010" max="11015" width="3" style="28" customWidth="1"/>
    <col min="11016" max="11016" width="5.28515625" style="28" customWidth="1"/>
    <col min="11017" max="11018" width="5.42578125" style="28" customWidth="1"/>
    <col min="11019" max="11022" width="6.140625" style="28" customWidth="1"/>
    <col min="11023" max="11026" width="6.42578125" style="28" customWidth="1"/>
    <col min="11027" max="11027" width="1.28515625" style="28" customWidth="1"/>
    <col min="11028" max="11030" width="11.42578125" style="28"/>
    <col min="11031" max="11031" width="6.140625" style="28" customWidth="1"/>
    <col min="11032" max="11034" width="6.7109375" style="28" customWidth="1"/>
    <col min="11035" max="11035" width="6.140625" style="28" customWidth="1"/>
    <col min="11036" max="11036" width="6" style="28" customWidth="1"/>
    <col min="11037" max="11044" width="11.42578125" style="28"/>
    <col min="11045" max="11045" width="6.5703125" style="28" customWidth="1"/>
    <col min="11046" max="11046" width="9.140625" style="28" customWidth="1"/>
    <col min="11047" max="11047" width="8.5703125" style="28" customWidth="1"/>
    <col min="11048" max="11263" width="11.42578125" style="28"/>
    <col min="11264" max="11264" width="6.42578125" style="28" customWidth="1"/>
    <col min="11265" max="11265" width="3.42578125" style="28" customWidth="1"/>
    <col min="11266" max="11271" width="3" style="28" customWidth="1"/>
    <col min="11272" max="11272" width="5.28515625" style="28" customWidth="1"/>
    <col min="11273" max="11274" width="5.42578125" style="28" customWidth="1"/>
    <col min="11275" max="11278" width="6.140625" style="28" customWidth="1"/>
    <col min="11279" max="11282" width="6.42578125" style="28" customWidth="1"/>
    <col min="11283" max="11283" width="1.28515625" style="28" customWidth="1"/>
    <col min="11284" max="11286" width="11.42578125" style="28"/>
    <col min="11287" max="11287" width="6.140625" style="28" customWidth="1"/>
    <col min="11288" max="11290" width="6.7109375" style="28" customWidth="1"/>
    <col min="11291" max="11291" width="6.140625" style="28" customWidth="1"/>
    <col min="11292" max="11292" width="6" style="28" customWidth="1"/>
    <col min="11293" max="11300" width="11.42578125" style="28"/>
    <col min="11301" max="11301" width="6.5703125" style="28" customWidth="1"/>
    <col min="11302" max="11302" width="9.140625" style="28" customWidth="1"/>
    <col min="11303" max="11303" width="8.5703125" style="28" customWidth="1"/>
    <col min="11304" max="11519" width="11.42578125" style="28"/>
    <col min="11520" max="11520" width="6.42578125" style="28" customWidth="1"/>
    <col min="11521" max="11521" width="3.42578125" style="28" customWidth="1"/>
    <col min="11522" max="11527" width="3" style="28" customWidth="1"/>
    <col min="11528" max="11528" width="5.28515625" style="28" customWidth="1"/>
    <col min="11529" max="11530" width="5.42578125" style="28" customWidth="1"/>
    <col min="11531" max="11534" width="6.140625" style="28" customWidth="1"/>
    <col min="11535" max="11538" width="6.42578125" style="28" customWidth="1"/>
    <col min="11539" max="11539" width="1.28515625" style="28" customWidth="1"/>
    <col min="11540" max="11542" width="11.42578125" style="28"/>
    <col min="11543" max="11543" width="6.140625" style="28" customWidth="1"/>
    <col min="11544" max="11546" width="6.7109375" style="28" customWidth="1"/>
    <col min="11547" max="11547" width="6.140625" style="28" customWidth="1"/>
    <col min="11548" max="11548" width="6" style="28" customWidth="1"/>
    <col min="11549" max="11556" width="11.42578125" style="28"/>
    <col min="11557" max="11557" width="6.5703125" style="28" customWidth="1"/>
    <col min="11558" max="11558" width="9.140625" style="28" customWidth="1"/>
    <col min="11559" max="11559" width="8.5703125" style="28" customWidth="1"/>
    <col min="11560" max="11775" width="11.42578125" style="28"/>
    <col min="11776" max="11776" width="6.42578125" style="28" customWidth="1"/>
    <col min="11777" max="11777" width="3.42578125" style="28" customWidth="1"/>
    <col min="11778" max="11783" width="3" style="28" customWidth="1"/>
    <col min="11784" max="11784" width="5.28515625" style="28" customWidth="1"/>
    <col min="11785" max="11786" width="5.42578125" style="28" customWidth="1"/>
    <col min="11787" max="11790" width="6.140625" style="28" customWidth="1"/>
    <col min="11791" max="11794" width="6.42578125" style="28" customWidth="1"/>
    <col min="11795" max="11795" width="1.28515625" style="28" customWidth="1"/>
    <col min="11796" max="11798" width="11.42578125" style="28"/>
    <col min="11799" max="11799" width="6.140625" style="28" customWidth="1"/>
    <col min="11800" max="11802" width="6.7109375" style="28" customWidth="1"/>
    <col min="11803" max="11803" width="6.140625" style="28" customWidth="1"/>
    <col min="11804" max="11804" width="6" style="28" customWidth="1"/>
    <col min="11805" max="11812" width="11.42578125" style="28"/>
    <col min="11813" max="11813" width="6.5703125" style="28" customWidth="1"/>
    <col min="11814" max="11814" width="9.140625" style="28" customWidth="1"/>
    <col min="11815" max="11815" width="8.5703125" style="28" customWidth="1"/>
    <col min="11816" max="12031" width="11.42578125" style="28"/>
    <col min="12032" max="12032" width="6.42578125" style="28" customWidth="1"/>
    <col min="12033" max="12033" width="3.42578125" style="28" customWidth="1"/>
    <col min="12034" max="12039" width="3" style="28" customWidth="1"/>
    <col min="12040" max="12040" width="5.28515625" style="28" customWidth="1"/>
    <col min="12041" max="12042" width="5.42578125" style="28" customWidth="1"/>
    <col min="12043" max="12046" width="6.140625" style="28" customWidth="1"/>
    <col min="12047" max="12050" width="6.42578125" style="28" customWidth="1"/>
    <col min="12051" max="12051" width="1.28515625" style="28" customWidth="1"/>
    <col min="12052" max="12054" width="11.42578125" style="28"/>
    <col min="12055" max="12055" width="6.140625" style="28" customWidth="1"/>
    <col min="12056" max="12058" width="6.7109375" style="28" customWidth="1"/>
    <col min="12059" max="12059" width="6.140625" style="28" customWidth="1"/>
    <col min="12060" max="12060" width="6" style="28" customWidth="1"/>
    <col min="12061" max="12068" width="11.42578125" style="28"/>
    <col min="12069" max="12069" width="6.5703125" style="28" customWidth="1"/>
    <col min="12070" max="12070" width="9.140625" style="28" customWidth="1"/>
    <col min="12071" max="12071" width="8.5703125" style="28" customWidth="1"/>
    <col min="12072" max="12287" width="11.42578125" style="28"/>
    <col min="12288" max="12288" width="6.42578125" style="28" customWidth="1"/>
    <col min="12289" max="12289" width="3.42578125" style="28" customWidth="1"/>
    <col min="12290" max="12295" width="3" style="28" customWidth="1"/>
    <col min="12296" max="12296" width="5.28515625" style="28" customWidth="1"/>
    <col min="12297" max="12298" width="5.42578125" style="28" customWidth="1"/>
    <col min="12299" max="12302" width="6.140625" style="28" customWidth="1"/>
    <col min="12303" max="12306" width="6.42578125" style="28" customWidth="1"/>
    <col min="12307" max="12307" width="1.28515625" style="28" customWidth="1"/>
    <col min="12308" max="12310" width="11.42578125" style="28"/>
    <col min="12311" max="12311" width="6.140625" style="28" customWidth="1"/>
    <col min="12312" max="12314" width="6.7109375" style="28" customWidth="1"/>
    <col min="12315" max="12315" width="6.140625" style="28" customWidth="1"/>
    <col min="12316" max="12316" width="6" style="28" customWidth="1"/>
    <col min="12317" max="12324" width="11.42578125" style="28"/>
    <col min="12325" max="12325" width="6.5703125" style="28" customWidth="1"/>
    <col min="12326" max="12326" width="9.140625" style="28" customWidth="1"/>
    <col min="12327" max="12327" width="8.5703125" style="28" customWidth="1"/>
    <col min="12328" max="12543" width="11.42578125" style="28"/>
    <col min="12544" max="12544" width="6.42578125" style="28" customWidth="1"/>
    <col min="12545" max="12545" width="3.42578125" style="28" customWidth="1"/>
    <col min="12546" max="12551" width="3" style="28" customWidth="1"/>
    <col min="12552" max="12552" width="5.28515625" style="28" customWidth="1"/>
    <col min="12553" max="12554" width="5.42578125" style="28" customWidth="1"/>
    <col min="12555" max="12558" width="6.140625" style="28" customWidth="1"/>
    <col min="12559" max="12562" width="6.42578125" style="28" customWidth="1"/>
    <col min="12563" max="12563" width="1.28515625" style="28" customWidth="1"/>
    <col min="12564" max="12566" width="11.42578125" style="28"/>
    <col min="12567" max="12567" width="6.140625" style="28" customWidth="1"/>
    <col min="12568" max="12570" width="6.7109375" style="28" customWidth="1"/>
    <col min="12571" max="12571" width="6.140625" style="28" customWidth="1"/>
    <col min="12572" max="12572" width="6" style="28" customWidth="1"/>
    <col min="12573" max="12580" width="11.42578125" style="28"/>
    <col min="12581" max="12581" width="6.5703125" style="28" customWidth="1"/>
    <col min="12582" max="12582" width="9.140625" style="28" customWidth="1"/>
    <col min="12583" max="12583" width="8.5703125" style="28" customWidth="1"/>
    <col min="12584" max="12799" width="11.42578125" style="28"/>
    <col min="12800" max="12800" width="6.42578125" style="28" customWidth="1"/>
    <col min="12801" max="12801" width="3.42578125" style="28" customWidth="1"/>
    <col min="12802" max="12807" width="3" style="28" customWidth="1"/>
    <col min="12808" max="12808" width="5.28515625" style="28" customWidth="1"/>
    <col min="12809" max="12810" width="5.42578125" style="28" customWidth="1"/>
    <col min="12811" max="12814" width="6.140625" style="28" customWidth="1"/>
    <col min="12815" max="12818" width="6.42578125" style="28" customWidth="1"/>
    <col min="12819" max="12819" width="1.28515625" style="28" customWidth="1"/>
    <col min="12820" max="12822" width="11.42578125" style="28"/>
    <col min="12823" max="12823" width="6.140625" style="28" customWidth="1"/>
    <col min="12824" max="12826" width="6.7109375" style="28" customWidth="1"/>
    <col min="12827" max="12827" width="6.140625" style="28" customWidth="1"/>
    <col min="12828" max="12828" width="6" style="28" customWidth="1"/>
    <col min="12829" max="12836" width="11.42578125" style="28"/>
    <col min="12837" max="12837" width="6.5703125" style="28" customWidth="1"/>
    <col min="12838" max="12838" width="9.140625" style="28" customWidth="1"/>
    <col min="12839" max="12839" width="8.5703125" style="28" customWidth="1"/>
    <col min="12840" max="13055" width="11.42578125" style="28"/>
    <col min="13056" max="13056" width="6.42578125" style="28" customWidth="1"/>
    <col min="13057" max="13057" width="3.42578125" style="28" customWidth="1"/>
    <col min="13058" max="13063" width="3" style="28" customWidth="1"/>
    <col min="13064" max="13064" width="5.28515625" style="28" customWidth="1"/>
    <col min="13065" max="13066" width="5.42578125" style="28" customWidth="1"/>
    <col min="13067" max="13070" width="6.140625" style="28" customWidth="1"/>
    <col min="13071" max="13074" width="6.42578125" style="28" customWidth="1"/>
    <col min="13075" max="13075" width="1.28515625" style="28" customWidth="1"/>
    <col min="13076" max="13078" width="11.42578125" style="28"/>
    <col min="13079" max="13079" width="6.140625" style="28" customWidth="1"/>
    <col min="13080" max="13082" width="6.7109375" style="28" customWidth="1"/>
    <col min="13083" max="13083" width="6.140625" style="28" customWidth="1"/>
    <col min="13084" max="13084" width="6" style="28" customWidth="1"/>
    <col min="13085" max="13092" width="11.42578125" style="28"/>
    <col min="13093" max="13093" width="6.5703125" style="28" customWidth="1"/>
    <col min="13094" max="13094" width="9.140625" style="28" customWidth="1"/>
    <col min="13095" max="13095" width="8.5703125" style="28" customWidth="1"/>
    <col min="13096" max="13311" width="11.42578125" style="28"/>
    <col min="13312" max="13312" width="6.42578125" style="28" customWidth="1"/>
    <col min="13313" max="13313" width="3.42578125" style="28" customWidth="1"/>
    <col min="13314" max="13319" width="3" style="28" customWidth="1"/>
    <col min="13320" max="13320" width="5.28515625" style="28" customWidth="1"/>
    <col min="13321" max="13322" width="5.42578125" style="28" customWidth="1"/>
    <col min="13323" max="13326" width="6.140625" style="28" customWidth="1"/>
    <col min="13327" max="13330" width="6.42578125" style="28" customWidth="1"/>
    <col min="13331" max="13331" width="1.28515625" style="28" customWidth="1"/>
    <col min="13332" max="13334" width="11.42578125" style="28"/>
    <col min="13335" max="13335" width="6.140625" style="28" customWidth="1"/>
    <col min="13336" max="13338" width="6.7109375" style="28" customWidth="1"/>
    <col min="13339" max="13339" width="6.140625" style="28" customWidth="1"/>
    <col min="13340" max="13340" width="6" style="28" customWidth="1"/>
    <col min="13341" max="13348" width="11.42578125" style="28"/>
    <col min="13349" max="13349" width="6.5703125" style="28" customWidth="1"/>
    <col min="13350" max="13350" width="9.140625" style="28" customWidth="1"/>
    <col min="13351" max="13351" width="8.5703125" style="28" customWidth="1"/>
    <col min="13352" max="13567" width="11.42578125" style="28"/>
    <col min="13568" max="13568" width="6.42578125" style="28" customWidth="1"/>
    <col min="13569" max="13569" width="3.42578125" style="28" customWidth="1"/>
    <col min="13570" max="13575" width="3" style="28" customWidth="1"/>
    <col min="13576" max="13576" width="5.28515625" style="28" customWidth="1"/>
    <col min="13577" max="13578" width="5.42578125" style="28" customWidth="1"/>
    <col min="13579" max="13582" width="6.140625" style="28" customWidth="1"/>
    <col min="13583" max="13586" width="6.42578125" style="28" customWidth="1"/>
    <col min="13587" max="13587" width="1.28515625" style="28" customWidth="1"/>
    <col min="13588" max="13590" width="11.42578125" style="28"/>
    <col min="13591" max="13591" width="6.140625" style="28" customWidth="1"/>
    <col min="13592" max="13594" width="6.7109375" style="28" customWidth="1"/>
    <col min="13595" max="13595" width="6.140625" style="28" customWidth="1"/>
    <col min="13596" max="13596" width="6" style="28" customWidth="1"/>
    <col min="13597" max="13604" width="11.42578125" style="28"/>
    <col min="13605" max="13605" width="6.5703125" style="28" customWidth="1"/>
    <col min="13606" max="13606" width="9.140625" style="28" customWidth="1"/>
    <col min="13607" max="13607" width="8.5703125" style="28" customWidth="1"/>
    <col min="13608" max="13823" width="11.42578125" style="28"/>
    <col min="13824" max="13824" width="6.42578125" style="28" customWidth="1"/>
    <col min="13825" max="13825" width="3.42578125" style="28" customWidth="1"/>
    <col min="13826" max="13831" width="3" style="28" customWidth="1"/>
    <col min="13832" max="13832" width="5.28515625" style="28" customWidth="1"/>
    <col min="13833" max="13834" width="5.42578125" style="28" customWidth="1"/>
    <col min="13835" max="13838" width="6.140625" style="28" customWidth="1"/>
    <col min="13839" max="13842" width="6.42578125" style="28" customWidth="1"/>
    <col min="13843" max="13843" width="1.28515625" style="28" customWidth="1"/>
    <col min="13844" max="13846" width="11.42578125" style="28"/>
    <col min="13847" max="13847" width="6.140625" style="28" customWidth="1"/>
    <col min="13848" max="13850" width="6.7109375" style="28" customWidth="1"/>
    <col min="13851" max="13851" width="6.140625" style="28" customWidth="1"/>
    <col min="13852" max="13852" width="6" style="28" customWidth="1"/>
    <col min="13853" max="13860" width="11.42578125" style="28"/>
    <col min="13861" max="13861" width="6.5703125" style="28" customWidth="1"/>
    <col min="13862" max="13862" width="9.140625" style="28" customWidth="1"/>
    <col min="13863" max="13863" width="8.5703125" style="28" customWidth="1"/>
    <col min="13864" max="14079" width="11.42578125" style="28"/>
    <col min="14080" max="14080" width="6.42578125" style="28" customWidth="1"/>
    <col min="14081" max="14081" width="3.42578125" style="28" customWidth="1"/>
    <col min="14082" max="14087" width="3" style="28" customWidth="1"/>
    <col min="14088" max="14088" width="5.28515625" style="28" customWidth="1"/>
    <col min="14089" max="14090" width="5.42578125" style="28" customWidth="1"/>
    <col min="14091" max="14094" width="6.140625" style="28" customWidth="1"/>
    <col min="14095" max="14098" width="6.42578125" style="28" customWidth="1"/>
    <col min="14099" max="14099" width="1.28515625" style="28" customWidth="1"/>
    <col min="14100" max="14102" width="11.42578125" style="28"/>
    <col min="14103" max="14103" width="6.140625" style="28" customWidth="1"/>
    <col min="14104" max="14106" width="6.7109375" style="28" customWidth="1"/>
    <col min="14107" max="14107" width="6.140625" style="28" customWidth="1"/>
    <col min="14108" max="14108" width="6" style="28" customWidth="1"/>
    <col min="14109" max="14116" width="11.42578125" style="28"/>
    <col min="14117" max="14117" width="6.5703125" style="28" customWidth="1"/>
    <col min="14118" max="14118" width="9.140625" style="28" customWidth="1"/>
    <col min="14119" max="14119" width="8.5703125" style="28" customWidth="1"/>
    <col min="14120" max="14335" width="11.42578125" style="28"/>
    <col min="14336" max="14336" width="6.42578125" style="28" customWidth="1"/>
    <col min="14337" max="14337" width="3.42578125" style="28" customWidth="1"/>
    <col min="14338" max="14343" width="3" style="28" customWidth="1"/>
    <col min="14344" max="14344" width="5.28515625" style="28" customWidth="1"/>
    <col min="14345" max="14346" width="5.42578125" style="28" customWidth="1"/>
    <col min="14347" max="14350" width="6.140625" style="28" customWidth="1"/>
    <col min="14351" max="14354" width="6.42578125" style="28" customWidth="1"/>
    <col min="14355" max="14355" width="1.28515625" style="28" customWidth="1"/>
    <col min="14356" max="14358" width="11.42578125" style="28"/>
    <col min="14359" max="14359" width="6.140625" style="28" customWidth="1"/>
    <col min="14360" max="14362" width="6.7109375" style="28" customWidth="1"/>
    <col min="14363" max="14363" width="6.140625" style="28" customWidth="1"/>
    <col min="14364" max="14364" width="6" style="28" customWidth="1"/>
    <col min="14365" max="14372" width="11.42578125" style="28"/>
    <col min="14373" max="14373" width="6.5703125" style="28" customWidth="1"/>
    <col min="14374" max="14374" width="9.140625" style="28" customWidth="1"/>
    <col min="14375" max="14375" width="8.5703125" style="28" customWidth="1"/>
    <col min="14376" max="14591" width="11.42578125" style="28"/>
    <col min="14592" max="14592" width="6.42578125" style="28" customWidth="1"/>
    <col min="14593" max="14593" width="3.42578125" style="28" customWidth="1"/>
    <col min="14594" max="14599" width="3" style="28" customWidth="1"/>
    <col min="14600" max="14600" width="5.28515625" style="28" customWidth="1"/>
    <col min="14601" max="14602" width="5.42578125" style="28" customWidth="1"/>
    <col min="14603" max="14606" width="6.140625" style="28" customWidth="1"/>
    <col min="14607" max="14610" width="6.42578125" style="28" customWidth="1"/>
    <col min="14611" max="14611" width="1.28515625" style="28" customWidth="1"/>
    <col min="14612" max="14614" width="11.42578125" style="28"/>
    <col min="14615" max="14615" width="6.140625" style="28" customWidth="1"/>
    <col min="14616" max="14618" width="6.7109375" style="28" customWidth="1"/>
    <col min="14619" max="14619" width="6.140625" style="28" customWidth="1"/>
    <col min="14620" max="14620" width="6" style="28" customWidth="1"/>
    <col min="14621" max="14628" width="11.42578125" style="28"/>
    <col min="14629" max="14629" width="6.5703125" style="28" customWidth="1"/>
    <col min="14630" max="14630" width="9.140625" style="28" customWidth="1"/>
    <col min="14631" max="14631" width="8.5703125" style="28" customWidth="1"/>
    <col min="14632" max="14847" width="11.42578125" style="28"/>
    <col min="14848" max="14848" width="6.42578125" style="28" customWidth="1"/>
    <col min="14849" max="14849" width="3.42578125" style="28" customWidth="1"/>
    <col min="14850" max="14855" width="3" style="28" customWidth="1"/>
    <col min="14856" max="14856" width="5.28515625" style="28" customWidth="1"/>
    <col min="14857" max="14858" width="5.42578125" style="28" customWidth="1"/>
    <col min="14859" max="14862" width="6.140625" style="28" customWidth="1"/>
    <col min="14863" max="14866" width="6.42578125" style="28" customWidth="1"/>
    <col min="14867" max="14867" width="1.28515625" style="28" customWidth="1"/>
    <col min="14868" max="14870" width="11.42578125" style="28"/>
    <col min="14871" max="14871" width="6.140625" style="28" customWidth="1"/>
    <col min="14872" max="14874" width="6.7109375" style="28" customWidth="1"/>
    <col min="14875" max="14875" width="6.140625" style="28" customWidth="1"/>
    <col min="14876" max="14876" width="6" style="28" customWidth="1"/>
    <col min="14877" max="14884" width="11.42578125" style="28"/>
    <col min="14885" max="14885" width="6.5703125" style="28" customWidth="1"/>
    <col min="14886" max="14886" width="9.140625" style="28" customWidth="1"/>
    <col min="14887" max="14887" width="8.5703125" style="28" customWidth="1"/>
    <col min="14888" max="15103" width="11.42578125" style="28"/>
    <col min="15104" max="15104" width="6.42578125" style="28" customWidth="1"/>
    <col min="15105" max="15105" width="3.42578125" style="28" customWidth="1"/>
    <col min="15106" max="15111" width="3" style="28" customWidth="1"/>
    <col min="15112" max="15112" width="5.28515625" style="28" customWidth="1"/>
    <col min="15113" max="15114" width="5.42578125" style="28" customWidth="1"/>
    <col min="15115" max="15118" width="6.140625" style="28" customWidth="1"/>
    <col min="15119" max="15122" width="6.42578125" style="28" customWidth="1"/>
    <col min="15123" max="15123" width="1.28515625" style="28" customWidth="1"/>
    <col min="15124" max="15126" width="11.42578125" style="28"/>
    <col min="15127" max="15127" width="6.140625" style="28" customWidth="1"/>
    <col min="15128" max="15130" width="6.7109375" style="28" customWidth="1"/>
    <col min="15131" max="15131" width="6.140625" style="28" customWidth="1"/>
    <col min="15132" max="15132" width="6" style="28" customWidth="1"/>
    <col min="15133" max="15140" width="11.42578125" style="28"/>
    <col min="15141" max="15141" width="6.5703125" style="28" customWidth="1"/>
    <col min="15142" max="15142" width="9.140625" style="28" customWidth="1"/>
    <col min="15143" max="15143" width="8.5703125" style="28" customWidth="1"/>
    <col min="15144" max="15359" width="11.42578125" style="28"/>
    <col min="15360" max="15360" width="6.42578125" style="28" customWidth="1"/>
    <col min="15361" max="15361" width="3.42578125" style="28" customWidth="1"/>
    <col min="15362" max="15367" width="3" style="28" customWidth="1"/>
    <col min="15368" max="15368" width="5.28515625" style="28" customWidth="1"/>
    <col min="15369" max="15370" width="5.42578125" style="28" customWidth="1"/>
    <col min="15371" max="15374" width="6.140625" style="28" customWidth="1"/>
    <col min="15375" max="15378" width="6.42578125" style="28" customWidth="1"/>
    <col min="15379" max="15379" width="1.28515625" style="28" customWidth="1"/>
    <col min="15380" max="15382" width="11.42578125" style="28"/>
    <col min="15383" max="15383" width="6.140625" style="28" customWidth="1"/>
    <col min="15384" max="15386" width="6.7109375" style="28" customWidth="1"/>
    <col min="15387" max="15387" width="6.140625" style="28" customWidth="1"/>
    <col min="15388" max="15388" width="6" style="28" customWidth="1"/>
    <col min="15389" max="15396" width="11.42578125" style="28"/>
    <col min="15397" max="15397" width="6.5703125" style="28" customWidth="1"/>
    <col min="15398" max="15398" width="9.140625" style="28" customWidth="1"/>
    <col min="15399" max="15399" width="8.5703125" style="28" customWidth="1"/>
    <col min="15400" max="15615" width="11.42578125" style="28"/>
    <col min="15616" max="15616" width="6.42578125" style="28" customWidth="1"/>
    <col min="15617" max="15617" width="3.42578125" style="28" customWidth="1"/>
    <col min="15618" max="15623" width="3" style="28" customWidth="1"/>
    <col min="15624" max="15624" width="5.28515625" style="28" customWidth="1"/>
    <col min="15625" max="15626" width="5.42578125" style="28" customWidth="1"/>
    <col min="15627" max="15630" width="6.140625" style="28" customWidth="1"/>
    <col min="15631" max="15634" width="6.42578125" style="28" customWidth="1"/>
    <col min="15635" max="15635" width="1.28515625" style="28" customWidth="1"/>
    <col min="15636" max="15638" width="11.42578125" style="28"/>
    <col min="15639" max="15639" width="6.140625" style="28" customWidth="1"/>
    <col min="15640" max="15642" width="6.7109375" style="28" customWidth="1"/>
    <col min="15643" max="15643" width="6.140625" style="28" customWidth="1"/>
    <col min="15644" max="15644" width="6" style="28" customWidth="1"/>
    <col min="15645" max="15652" width="11.42578125" style="28"/>
    <col min="15653" max="15653" width="6.5703125" style="28" customWidth="1"/>
    <col min="15654" max="15654" width="9.140625" style="28" customWidth="1"/>
    <col min="15655" max="15655" width="8.5703125" style="28" customWidth="1"/>
    <col min="15656" max="15871" width="11.42578125" style="28"/>
    <col min="15872" max="15872" width="6.42578125" style="28" customWidth="1"/>
    <col min="15873" max="15873" width="3.42578125" style="28" customWidth="1"/>
    <col min="15874" max="15879" width="3" style="28" customWidth="1"/>
    <col min="15880" max="15880" width="5.28515625" style="28" customWidth="1"/>
    <col min="15881" max="15882" width="5.42578125" style="28" customWidth="1"/>
    <col min="15883" max="15886" width="6.140625" style="28" customWidth="1"/>
    <col min="15887" max="15890" width="6.42578125" style="28" customWidth="1"/>
    <col min="15891" max="15891" width="1.28515625" style="28" customWidth="1"/>
    <col min="15892" max="15894" width="11.42578125" style="28"/>
    <col min="15895" max="15895" width="6.140625" style="28" customWidth="1"/>
    <col min="15896" max="15898" width="6.7109375" style="28" customWidth="1"/>
    <col min="15899" max="15899" width="6.140625" style="28" customWidth="1"/>
    <col min="15900" max="15900" width="6" style="28" customWidth="1"/>
    <col min="15901" max="15908" width="11.42578125" style="28"/>
    <col min="15909" max="15909" width="6.5703125" style="28" customWidth="1"/>
    <col min="15910" max="15910" width="9.140625" style="28" customWidth="1"/>
    <col min="15911" max="15911" width="8.5703125" style="28" customWidth="1"/>
    <col min="15912" max="16127" width="11.42578125" style="28"/>
    <col min="16128" max="16128" width="6.42578125" style="28" customWidth="1"/>
    <col min="16129" max="16129" width="3.42578125" style="28" customWidth="1"/>
    <col min="16130" max="16135" width="3" style="28" customWidth="1"/>
    <col min="16136" max="16136" width="5.28515625" style="28" customWidth="1"/>
    <col min="16137" max="16138" width="5.42578125" style="28" customWidth="1"/>
    <col min="16139" max="16142" width="6.140625" style="28" customWidth="1"/>
    <col min="16143" max="16146" width="6.42578125" style="28" customWidth="1"/>
    <col min="16147" max="16147" width="1.28515625" style="28" customWidth="1"/>
    <col min="16148" max="16150" width="11.42578125" style="28"/>
    <col min="16151" max="16151" width="6.140625" style="28" customWidth="1"/>
    <col min="16152" max="16154" width="6.7109375" style="28" customWidth="1"/>
    <col min="16155" max="16155" width="6.140625" style="28" customWidth="1"/>
    <col min="16156" max="16156" width="6" style="28" customWidth="1"/>
    <col min="16157" max="16164" width="11.42578125" style="28"/>
    <col min="16165" max="16165" width="6.5703125" style="28" customWidth="1"/>
    <col min="16166" max="16166" width="9.140625" style="28" customWidth="1"/>
    <col min="16167" max="16167" width="8.5703125" style="28" customWidth="1"/>
    <col min="16168" max="16384" width="11.42578125" style="28"/>
  </cols>
  <sheetData>
    <row r="1" spans="1:21">
      <c r="A1" s="28" t="s">
        <v>266</v>
      </c>
      <c r="B1" s="151"/>
      <c r="C1" s="151"/>
      <c r="D1" s="151"/>
      <c r="E1" s="151"/>
      <c r="F1" s="151"/>
      <c r="G1" s="151"/>
      <c r="H1" s="152"/>
      <c r="I1" s="28" t="s">
        <v>268</v>
      </c>
      <c r="J1" s="29" t="s">
        <v>269</v>
      </c>
      <c r="K1" s="151" t="s">
        <v>270</v>
      </c>
      <c r="L1" s="151"/>
      <c r="M1" s="151"/>
      <c r="N1" s="152"/>
      <c r="O1" s="153" t="s">
        <v>271</v>
      </c>
      <c r="P1" s="154"/>
      <c r="Q1" s="154"/>
      <c r="R1" s="154"/>
    </row>
    <row r="2" spans="1:21">
      <c r="A2" s="28" t="s">
        <v>266</v>
      </c>
      <c r="B2" s="28" t="s">
        <v>273</v>
      </c>
      <c r="C2" s="28" t="s">
        <v>274</v>
      </c>
      <c r="D2" s="28" t="s">
        <v>275</v>
      </c>
      <c r="E2" s="28" t="s">
        <v>276</v>
      </c>
      <c r="F2" s="28" t="s">
        <v>277</v>
      </c>
      <c r="G2" s="28" t="s">
        <v>278</v>
      </c>
      <c r="H2" s="30" t="s">
        <v>279</v>
      </c>
      <c r="I2" s="151" t="s">
        <v>280</v>
      </c>
      <c r="J2" s="152"/>
      <c r="K2" s="28" t="s">
        <v>281</v>
      </c>
      <c r="L2" s="28" t="s">
        <v>282</v>
      </c>
      <c r="M2" s="28" t="s">
        <v>105</v>
      </c>
      <c r="N2" s="29" t="s">
        <v>283</v>
      </c>
      <c r="O2" s="28" t="s">
        <v>281</v>
      </c>
      <c r="P2" s="28" t="s">
        <v>282</v>
      </c>
      <c r="Q2" s="28" t="s">
        <v>105</v>
      </c>
      <c r="R2" s="29" t="s">
        <v>283</v>
      </c>
    </row>
    <row r="3" spans="1:21">
      <c r="A3" s="28">
        <v>2001</v>
      </c>
      <c r="B3" s="28">
        <v>2</v>
      </c>
      <c r="C3" s="28">
        <v>4</v>
      </c>
      <c r="D3" s="28">
        <v>1</v>
      </c>
      <c r="E3" s="28">
        <v>0</v>
      </c>
      <c r="F3" s="28">
        <v>0</v>
      </c>
      <c r="G3" s="28">
        <v>0</v>
      </c>
      <c r="H3" s="31">
        <v>7</v>
      </c>
      <c r="I3" s="32">
        <v>6</v>
      </c>
      <c r="J3" s="29">
        <v>4</v>
      </c>
      <c r="K3" s="28">
        <v>14</v>
      </c>
      <c r="L3" s="28">
        <v>0</v>
      </c>
      <c r="M3" s="28">
        <v>14</v>
      </c>
      <c r="N3" s="29">
        <v>7</v>
      </c>
      <c r="O3" s="28">
        <v>5</v>
      </c>
      <c r="P3" s="28">
        <v>1</v>
      </c>
      <c r="Q3" s="28">
        <v>4</v>
      </c>
      <c r="R3" s="28">
        <v>6</v>
      </c>
    </row>
    <row r="4" spans="1:21">
      <c r="A4" s="28">
        <v>2002</v>
      </c>
      <c r="B4" s="28">
        <v>1</v>
      </c>
      <c r="C4" s="28">
        <v>4</v>
      </c>
      <c r="D4" s="28">
        <v>1</v>
      </c>
      <c r="E4" s="28">
        <v>0</v>
      </c>
      <c r="F4" s="28">
        <v>0</v>
      </c>
      <c r="G4" s="28">
        <v>0</v>
      </c>
      <c r="H4" s="30">
        <v>6</v>
      </c>
      <c r="I4" s="28">
        <v>5</v>
      </c>
      <c r="J4" s="29">
        <v>3</v>
      </c>
      <c r="K4" s="28">
        <v>120</v>
      </c>
      <c r="L4" s="28">
        <v>0</v>
      </c>
      <c r="M4" s="28">
        <v>120</v>
      </c>
      <c r="N4" s="29">
        <v>6</v>
      </c>
      <c r="O4" s="28">
        <v>13</v>
      </c>
      <c r="P4" s="28">
        <v>0</v>
      </c>
      <c r="Q4" s="28">
        <v>13</v>
      </c>
      <c r="R4" s="28">
        <v>6</v>
      </c>
    </row>
    <row r="5" spans="1:21">
      <c r="A5" s="28">
        <v>2003</v>
      </c>
      <c r="B5" s="28">
        <v>6</v>
      </c>
      <c r="C5" s="28">
        <v>2</v>
      </c>
      <c r="D5" s="28">
        <v>0</v>
      </c>
      <c r="E5" s="28">
        <v>0</v>
      </c>
      <c r="F5" s="28">
        <v>0</v>
      </c>
      <c r="G5" s="28">
        <v>0</v>
      </c>
      <c r="H5" s="31">
        <v>8</v>
      </c>
      <c r="I5" s="28">
        <v>2</v>
      </c>
      <c r="J5" s="29">
        <v>0</v>
      </c>
      <c r="K5" s="28">
        <v>47</v>
      </c>
      <c r="L5" s="28">
        <v>2</v>
      </c>
      <c r="M5" s="28">
        <v>45</v>
      </c>
      <c r="N5" s="29">
        <v>6</v>
      </c>
      <c r="O5" s="28">
        <v>0</v>
      </c>
      <c r="P5" s="28">
        <v>0</v>
      </c>
      <c r="Q5" s="28">
        <v>0</v>
      </c>
      <c r="R5" s="28">
        <v>8</v>
      </c>
    </row>
    <row r="6" spans="1:21">
      <c r="A6" s="28">
        <v>2004</v>
      </c>
      <c r="B6" s="28">
        <v>4</v>
      </c>
      <c r="C6" s="28">
        <v>4</v>
      </c>
      <c r="D6" s="28">
        <v>0</v>
      </c>
      <c r="E6" s="28">
        <v>0</v>
      </c>
      <c r="F6" s="28">
        <v>0</v>
      </c>
      <c r="G6" s="28">
        <v>0</v>
      </c>
      <c r="H6" s="31">
        <v>8</v>
      </c>
      <c r="I6" s="28">
        <v>6</v>
      </c>
      <c r="J6" s="29">
        <v>5</v>
      </c>
      <c r="K6" s="28">
        <v>81</v>
      </c>
      <c r="L6" s="28">
        <v>2</v>
      </c>
      <c r="M6" s="28">
        <v>79</v>
      </c>
      <c r="N6" s="29">
        <v>6</v>
      </c>
      <c r="O6" s="28">
        <v>0</v>
      </c>
      <c r="P6" s="28">
        <v>0</v>
      </c>
      <c r="Q6" s="28">
        <v>0</v>
      </c>
      <c r="R6" s="28">
        <v>8</v>
      </c>
    </row>
    <row r="7" spans="1:21">
      <c r="A7" s="28">
        <v>2005</v>
      </c>
      <c r="B7" s="33">
        <v>2</v>
      </c>
      <c r="C7" s="28">
        <v>1</v>
      </c>
      <c r="D7" s="33">
        <v>0</v>
      </c>
      <c r="E7" s="28">
        <v>0</v>
      </c>
      <c r="F7" s="28">
        <v>0</v>
      </c>
      <c r="G7" s="28">
        <v>0</v>
      </c>
      <c r="H7" s="30">
        <v>3</v>
      </c>
      <c r="I7" s="28">
        <v>2</v>
      </c>
      <c r="J7" s="29">
        <v>1</v>
      </c>
      <c r="K7" s="28">
        <v>96</v>
      </c>
      <c r="L7" s="28">
        <v>1</v>
      </c>
      <c r="M7" s="28">
        <v>95</v>
      </c>
      <c r="N7" s="29">
        <v>2</v>
      </c>
      <c r="O7" s="28">
        <v>0</v>
      </c>
      <c r="P7" s="28">
        <v>0</v>
      </c>
      <c r="Q7" s="28">
        <v>0</v>
      </c>
      <c r="R7" s="28">
        <v>3</v>
      </c>
    </row>
    <row r="8" spans="1:21">
      <c r="A8" s="28">
        <v>2006</v>
      </c>
      <c r="B8" s="28">
        <v>2</v>
      </c>
      <c r="C8" s="28">
        <v>1</v>
      </c>
      <c r="D8" s="28">
        <v>1</v>
      </c>
      <c r="E8" s="28">
        <v>0</v>
      </c>
      <c r="F8" s="28">
        <v>0</v>
      </c>
      <c r="G8" s="28">
        <v>0</v>
      </c>
      <c r="H8" s="30">
        <v>4</v>
      </c>
      <c r="I8" s="28">
        <v>3</v>
      </c>
      <c r="J8" s="29">
        <v>2</v>
      </c>
      <c r="K8" s="28">
        <v>236</v>
      </c>
      <c r="L8" s="28">
        <v>1</v>
      </c>
      <c r="M8" s="28">
        <v>235</v>
      </c>
      <c r="N8" s="29">
        <v>3</v>
      </c>
      <c r="O8" s="28">
        <v>0</v>
      </c>
      <c r="P8" s="28">
        <v>0</v>
      </c>
      <c r="Q8" s="28">
        <v>0</v>
      </c>
      <c r="R8" s="28">
        <v>4</v>
      </c>
    </row>
    <row r="9" spans="1:21">
      <c r="A9" s="28">
        <v>2007</v>
      </c>
      <c r="B9" s="28">
        <v>4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30">
        <v>4</v>
      </c>
      <c r="I9" s="28">
        <v>2</v>
      </c>
      <c r="J9" s="29">
        <v>2</v>
      </c>
      <c r="K9" s="28">
        <v>122</v>
      </c>
      <c r="L9" s="28">
        <v>0</v>
      </c>
      <c r="M9" s="28">
        <v>122</v>
      </c>
      <c r="N9" s="29">
        <v>4</v>
      </c>
      <c r="O9" s="28">
        <v>1</v>
      </c>
      <c r="P9" s="28">
        <v>0</v>
      </c>
      <c r="Q9" s="28">
        <v>0</v>
      </c>
      <c r="R9" s="28">
        <v>4</v>
      </c>
    </row>
    <row r="10" spans="1:21">
      <c r="A10" s="28">
        <v>2008</v>
      </c>
      <c r="B10" s="28">
        <v>4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30">
        <v>4</v>
      </c>
      <c r="I10" s="28">
        <v>3</v>
      </c>
      <c r="J10" s="29">
        <v>2</v>
      </c>
      <c r="K10" s="28">
        <v>219</v>
      </c>
      <c r="L10" s="28">
        <v>1</v>
      </c>
      <c r="M10" s="28">
        <v>218</v>
      </c>
      <c r="N10" s="29">
        <v>3</v>
      </c>
      <c r="O10" s="28">
        <v>0</v>
      </c>
      <c r="P10" s="28">
        <v>0</v>
      </c>
      <c r="Q10" s="28">
        <v>0</v>
      </c>
      <c r="R10" s="28">
        <v>4</v>
      </c>
    </row>
    <row r="11" spans="1:21">
      <c r="A11" s="28">
        <v>2009</v>
      </c>
      <c r="B11" s="28">
        <v>6</v>
      </c>
      <c r="C11" s="28">
        <v>1</v>
      </c>
      <c r="D11" s="28">
        <v>1</v>
      </c>
      <c r="E11" s="28">
        <v>0</v>
      </c>
      <c r="F11" s="28">
        <v>0</v>
      </c>
      <c r="G11" s="28">
        <v>0</v>
      </c>
      <c r="H11" s="30">
        <v>8</v>
      </c>
      <c r="I11" s="28">
        <v>5</v>
      </c>
      <c r="J11" s="29">
        <v>4</v>
      </c>
      <c r="K11" s="28">
        <v>21</v>
      </c>
      <c r="L11" s="28">
        <v>2</v>
      </c>
      <c r="M11" s="28">
        <v>19</v>
      </c>
      <c r="N11" s="29">
        <v>6</v>
      </c>
      <c r="O11" s="28">
        <v>12</v>
      </c>
      <c r="P11" s="28">
        <v>0</v>
      </c>
      <c r="Q11" s="28">
        <v>10</v>
      </c>
      <c r="R11" s="28">
        <v>8</v>
      </c>
    </row>
    <row r="12" spans="1:21">
      <c r="A12" s="28">
        <v>2010</v>
      </c>
      <c r="B12" s="28">
        <v>5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30">
        <v>5</v>
      </c>
      <c r="I12" s="28">
        <v>3</v>
      </c>
      <c r="J12" s="29">
        <v>1</v>
      </c>
      <c r="K12" s="28">
        <v>254</v>
      </c>
      <c r="L12" s="28">
        <v>1</v>
      </c>
      <c r="M12" s="28">
        <v>254</v>
      </c>
      <c r="N12" s="29">
        <v>4</v>
      </c>
      <c r="O12" s="28">
        <v>3</v>
      </c>
      <c r="P12" s="28">
        <v>0</v>
      </c>
      <c r="Q12" s="28">
        <v>3</v>
      </c>
      <c r="R12" s="28">
        <v>5</v>
      </c>
      <c r="U12" s="28">
        <f>L23/H23</f>
        <v>0.25641025641025639</v>
      </c>
    </row>
    <row r="13" spans="1:21">
      <c r="A13" s="28">
        <v>2011</v>
      </c>
      <c r="B13" s="28">
        <v>2</v>
      </c>
      <c r="C13" s="28">
        <v>2</v>
      </c>
      <c r="D13" s="28">
        <v>0</v>
      </c>
      <c r="E13" s="28">
        <v>0</v>
      </c>
      <c r="F13" s="28">
        <v>0</v>
      </c>
      <c r="G13" s="28">
        <v>0</v>
      </c>
      <c r="H13" s="30">
        <v>4</v>
      </c>
      <c r="I13" s="28">
        <v>4</v>
      </c>
      <c r="J13" s="29">
        <v>4</v>
      </c>
      <c r="K13" s="28">
        <v>507</v>
      </c>
      <c r="L13" s="28">
        <v>2</v>
      </c>
      <c r="M13" s="28">
        <v>505</v>
      </c>
      <c r="N13" s="29">
        <v>2</v>
      </c>
      <c r="O13" s="28">
        <v>5</v>
      </c>
      <c r="P13" s="28">
        <v>0</v>
      </c>
      <c r="Q13" s="28">
        <v>5</v>
      </c>
      <c r="R13" s="28">
        <v>4</v>
      </c>
      <c r="U13" s="28">
        <f>M23/K23</f>
        <v>0.99394904458598721</v>
      </c>
    </row>
    <row r="14" spans="1:21">
      <c r="A14" s="28">
        <v>2012</v>
      </c>
      <c r="B14" s="28">
        <v>3</v>
      </c>
      <c r="C14" s="28">
        <v>2</v>
      </c>
      <c r="D14" s="28">
        <v>1</v>
      </c>
      <c r="E14" s="28">
        <v>0</v>
      </c>
      <c r="F14" s="28">
        <v>0</v>
      </c>
      <c r="G14" s="28">
        <v>0</v>
      </c>
      <c r="H14" s="30">
        <v>6</v>
      </c>
      <c r="I14" s="28">
        <v>4</v>
      </c>
      <c r="J14" s="29">
        <v>4</v>
      </c>
      <c r="K14" s="28">
        <v>327</v>
      </c>
      <c r="L14" s="28">
        <v>4</v>
      </c>
      <c r="M14" s="28">
        <v>323</v>
      </c>
      <c r="N14" s="29">
        <v>2</v>
      </c>
      <c r="O14" s="28">
        <v>28</v>
      </c>
      <c r="P14" s="28">
        <v>1</v>
      </c>
      <c r="Q14" s="28">
        <v>27</v>
      </c>
      <c r="R14" s="28">
        <v>5</v>
      </c>
    </row>
    <row r="15" spans="1:21">
      <c r="A15" s="28">
        <v>2013</v>
      </c>
      <c r="B15" s="28">
        <v>4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30">
        <v>4</v>
      </c>
      <c r="I15" s="28">
        <v>2</v>
      </c>
      <c r="J15" s="29">
        <v>1</v>
      </c>
      <c r="K15" s="28">
        <v>427</v>
      </c>
      <c r="L15" s="28">
        <v>1</v>
      </c>
      <c r="M15" s="28">
        <v>426</v>
      </c>
      <c r="N15" s="29">
        <v>3</v>
      </c>
      <c r="O15" s="28">
        <v>20</v>
      </c>
      <c r="P15" s="28">
        <v>0</v>
      </c>
      <c r="Q15" s="28">
        <v>20</v>
      </c>
      <c r="R15" s="28">
        <v>4</v>
      </c>
    </row>
    <row r="16" spans="1:21">
      <c r="A16" s="28">
        <v>2014</v>
      </c>
      <c r="B16" s="28">
        <v>2</v>
      </c>
      <c r="C16" s="28">
        <v>3</v>
      </c>
      <c r="D16" s="28">
        <v>1</v>
      </c>
      <c r="E16" s="28">
        <v>0</v>
      </c>
      <c r="F16" s="28">
        <v>0</v>
      </c>
      <c r="G16" s="28">
        <v>0</v>
      </c>
      <c r="H16" s="30">
        <v>6</v>
      </c>
      <c r="I16" s="28">
        <v>3</v>
      </c>
      <c r="J16" s="29">
        <v>2</v>
      </c>
      <c r="K16" s="28">
        <v>265</v>
      </c>
      <c r="L16" s="28">
        <v>2</v>
      </c>
      <c r="M16" s="28">
        <v>263</v>
      </c>
      <c r="N16" s="29">
        <v>4</v>
      </c>
      <c r="O16" s="28">
        <v>13</v>
      </c>
      <c r="P16" s="28">
        <v>0</v>
      </c>
      <c r="Q16" s="28">
        <v>13</v>
      </c>
      <c r="R16" s="28">
        <v>6</v>
      </c>
    </row>
    <row r="17" spans="1:18">
      <c r="A17" s="28">
        <v>2015</v>
      </c>
      <c r="B17" s="28">
        <v>1</v>
      </c>
      <c r="C17" s="28">
        <v>0</v>
      </c>
      <c r="D17" s="28">
        <v>0</v>
      </c>
      <c r="E17" s="28">
        <v>0</v>
      </c>
      <c r="F17" s="28">
        <v>0</v>
      </c>
      <c r="G17" s="28">
        <v>0</v>
      </c>
      <c r="H17" s="30">
        <v>1</v>
      </c>
      <c r="I17" s="28">
        <v>1</v>
      </c>
      <c r="J17" s="29">
        <v>1</v>
      </c>
      <c r="K17" s="28">
        <v>404</v>
      </c>
      <c r="L17" s="28">
        <v>1</v>
      </c>
      <c r="M17" s="28">
        <v>403</v>
      </c>
      <c r="N17" s="29">
        <v>0</v>
      </c>
      <c r="O17" s="28">
        <v>15</v>
      </c>
      <c r="P17" s="28">
        <v>0</v>
      </c>
      <c r="Q17" s="28">
        <v>15</v>
      </c>
      <c r="R17" s="28">
        <v>1</v>
      </c>
    </row>
    <row r="18" spans="1:18">
      <c r="A18" s="28">
        <v>2016</v>
      </c>
      <c r="H18" s="30"/>
      <c r="J18" s="29"/>
      <c r="N18" s="29"/>
    </row>
    <row r="19" spans="1:18">
      <c r="A19" s="28">
        <v>2017</v>
      </c>
      <c r="H19" s="30"/>
      <c r="J19" s="29"/>
      <c r="N19" s="29"/>
    </row>
    <row r="20" spans="1:18">
      <c r="A20" s="28">
        <v>2018</v>
      </c>
      <c r="H20" s="30"/>
      <c r="J20" s="29"/>
      <c r="N20" s="29"/>
    </row>
    <row r="21" spans="1:18">
      <c r="A21" s="28">
        <v>2019</v>
      </c>
      <c r="H21" s="30"/>
      <c r="J21" s="29"/>
      <c r="N21" s="29"/>
    </row>
    <row r="22" spans="1:18">
      <c r="A22" s="28">
        <v>2020</v>
      </c>
      <c r="H22" s="30"/>
      <c r="J22" s="29"/>
      <c r="N22" s="29"/>
    </row>
    <row r="23" spans="1:18">
      <c r="A23" s="28" t="s">
        <v>108</v>
      </c>
      <c r="H23" s="29">
        <f t="shared" ref="H23:R23" si="0">SUM(H3:H17)</f>
        <v>78</v>
      </c>
      <c r="I23" s="29">
        <f t="shared" si="0"/>
        <v>51</v>
      </c>
      <c r="J23" s="29">
        <f t="shared" si="0"/>
        <v>36</v>
      </c>
      <c r="K23" s="29">
        <f t="shared" si="0"/>
        <v>3140</v>
      </c>
      <c r="L23" s="29">
        <f t="shared" si="0"/>
        <v>20</v>
      </c>
      <c r="M23" s="29">
        <f t="shared" si="0"/>
        <v>3121</v>
      </c>
      <c r="N23" s="29">
        <f t="shared" si="0"/>
        <v>58</v>
      </c>
      <c r="O23" s="29">
        <f t="shared" si="0"/>
        <v>115</v>
      </c>
      <c r="P23" s="29">
        <f t="shared" si="0"/>
        <v>2</v>
      </c>
      <c r="Q23" s="29">
        <f t="shared" si="0"/>
        <v>110</v>
      </c>
      <c r="R23" s="29">
        <f t="shared" si="0"/>
        <v>76</v>
      </c>
    </row>
    <row r="24" spans="1:18">
      <c r="H24" s="28" t="s">
        <v>285</v>
      </c>
      <c r="I24" s="34">
        <f>I23/H23</f>
        <v>0.65384615384615385</v>
      </c>
      <c r="J24" s="34">
        <f>J23/$H23</f>
        <v>0.46153846153846156</v>
      </c>
      <c r="L24" s="34">
        <f>L23/$H23</f>
        <v>0.25641025641025639</v>
      </c>
    </row>
    <row r="39" spans="21:28">
      <c r="U39" s="35" t="s">
        <v>286</v>
      </c>
      <c r="V39" s="28" t="s">
        <v>4</v>
      </c>
      <c r="W39" s="28" t="s">
        <v>137</v>
      </c>
      <c r="X39" s="28" t="s">
        <v>287</v>
      </c>
      <c r="Y39" s="28" t="s">
        <v>288</v>
      </c>
      <c r="Z39" s="28" t="s">
        <v>289</v>
      </c>
      <c r="AA39" s="28" t="s">
        <v>290</v>
      </c>
    </row>
    <row r="40" spans="21:28">
      <c r="U40" s="28">
        <v>2001</v>
      </c>
      <c r="V40" s="28">
        <v>1</v>
      </c>
      <c r="W40" s="28">
        <v>0</v>
      </c>
      <c r="X40" s="28">
        <v>5</v>
      </c>
      <c r="Y40" s="28">
        <v>2</v>
      </c>
      <c r="Z40" s="28">
        <v>0</v>
      </c>
      <c r="AA40" s="28">
        <v>7</v>
      </c>
      <c r="AB40" s="28">
        <f>SUM(V40:Z40)</f>
        <v>8</v>
      </c>
    </row>
    <row r="41" spans="21:28">
      <c r="U41" s="28">
        <v>2002</v>
      </c>
      <c r="V41" s="28">
        <v>0</v>
      </c>
      <c r="W41" s="28">
        <v>0</v>
      </c>
      <c r="X41" s="28">
        <v>3</v>
      </c>
      <c r="Y41" s="28">
        <v>2</v>
      </c>
      <c r="Z41" s="28">
        <v>1</v>
      </c>
      <c r="AA41" s="30">
        <v>6</v>
      </c>
      <c r="AB41" s="28">
        <f t="shared" ref="AB41:AB53" si="1">SUM(V41:Z41)</f>
        <v>6</v>
      </c>
    </row>
    <row r="42" spans="21:28">
      <c r="U42" s="28">
        <v>2003</v>
      </c>
      <c r="V42" s="28">
        <v>0</v>
      </c>
      <c r="W42" s="28">
        <v>2</v>
      </c>
      <c r="X42" s="28">
        <v>2</v>
      </c>
      <c r="Y42" s="28">
        <v>0</v>
      </c>
      <c r="Z42" s="28">
        <v>6</v>
      </c>
      <c r="AA42" s="31">
        <v>8</v>
      </c>
      <c r="AB42" s="28">
        <f t="shared" si="1"/>
        <v>10</v>
      </c>
    </row>
    <row r="43" spans="21:28">
      <c r="U43" s="28">
        <v>2004</v>
      </c>
      <c r="V43" s="28">
        <v>0</v>
      </c>
      <c r="W43" s="28">
        <v>2</v>
      </c>
      <c r="X43" s="28">
        <v>5</v>
      </c>
      <c r="Y43" s="28">
        <v>1</v>
      </c>
      <c r="Z43" s="28">
        <v>2</v>
      </c>
      <c r="AA43" s="31">
        <v>8</v>
      </c>
      <c r="AB43" s="28">
        <f t="shared" si="1"/>
        <v>10</v>
      </c>
    </row>
    <row r="44" spans="21:28">
      <c r="U44" s="28">
        <v>2005</v>
      </c>
      <c r="V44" s="28">
        <v>0</v>
      </c>
      <c r="W44" s="28">
        <v>1</v>
      </c>
      <c r="X44" s="28">
        <v>1</v>
      </c>
      <c r="Y44" s="28">
        <v>1</v>
      </c>
      <c r="Z44" s="28">
        <v>1</v>
      </c>
      <c r="AA44" s="30">
        <v>3</v>
      </c>
      <c r="AB44" s="28">
        <f t="shared" si="1"/>
        <v>4</v>
      </c>
    </row>
    <row r="45" spans="21:28">
      <c r="U45" s="28">
        <v>2006</v>
      </c>
      <c r="V45" s="28">
        <v>0</v>
      </c>
      <c r="W45" s="28">
        <v>1</v>
      </c>
      <c r="X45" s="28">
        <v>2</v>
      </c>
      <c r="Y45" s="28">
        <v>1</v>
      </c>
      <c r="Z45" s="28">
        <v>1</v>
      </c>
      <c r="AA45" s="30">
        <v>4</v>
      </c>
      <c r="AB45" s="28">
        <f t="shared" si="1"/>
        <v>5</v>
      </c>
    </row>
    <row r="46" spans="21:28">
      <c r="U46" s="28">
        <v>2007</v>
      </c>
      <c r="V46" s="28">
        <v>0</v>
      </c>
      <c r="W46" s="28">
        <v>0</v>
      </c>
      <c r="X46" s="28">
        <v>2</v>
      </c>
      <c r="Y46" s="28">
        <v>0</v>
      </c>
      <c r="Z46" s="28">
        <v>2</v>
      </c>
      <c r="AA46" s="30">
        <v>4</v>
      </c>
      <c r="AB46" s="28">
        <f t="shared" si="1"/>
        <v>4</v>
      </c>
    </row>
    <row r="47" spans="21:28">
      <c r="U47" s="28">
        <v>2008</v>
      </c>
      <c r="V47" s="28">
        <v>0</v>
      </c>
      <c r="W47" s="28">
        <v>1</v>
      </c>
      <c r="X47" s="28">
        <v>2</v>
      </c>
      <c r="Y47" s="28">
        <v>1</v>
      </c>
      <c r="Z47" s="28">
        <v>1</v>
      </c>
      <c r="AA47" s="30">
        <v>4</v>
      </c>
      <c r="AB47" s="28">
        <f t="shared" si="1"/>
        <v>5</v>
      </c>
    </row>
    <row r="48" spans="21:28">
      <c r="U48" s="28">
        <v>2009</v>
      </c>
      <c r="V48" s="28">
        <v>0</v>
      </c>
      <c r="W48" s="28">
        <v>2</v>
      </c>
      <c r="X48" s="28">
        <v>4</v>
      </c>
      <c r="Y48" s="28">
        <v>1</v>
      </c>
      <c r="Z48" s="28">
        <v>3</v>
      </c>
      <c r="AA48" s="30">
        <v>8</v>
      </c>
      <c r="AB48" s="28">
        <f t="shared" si="1"/>
        <v>10</v>
      </c>
    </row>
    <row r="49" spans="21:28">
      <c r="U49" s="28">
        <v>2010</v>
      </c>
      <c r="V49" s="28">
        <v>0</v>
      </c>
      <c r="W49" s="28">
        <v>1</v>
      </c>
      <c r="X49" s="28">
        <v>1</v>
      </c>
      <c r="Y49" s="28">
        <v>2</v>
      </c>
      <c r="Z49" s="28">
        <v>2</v>
      </c>
      <c r="AA49" s="30">
        <v>5</v>
      </c>
      <c r="AB49" s="28">
        <f t="shared" si="1"/>
        <v>6</v>
      </c>
    </row>
    <row r="50" spans="21:28">
      <c r="U50" s="28">
        <v>2011</v>
      </c>
      <c r="V50" s="28">
        <v>0</v>
      </c>
      <c r="W50" s="28">
        <v>2</v>
      </c>
      <c r="X50" s="28">
        <v>4</v>
      </c>
      <c r="Y50" s="28">
        <v>0</v>
      </c>
      <c r="Z50" s="28">
        <v>0</v>
      </c>
      <c r="AA50" s="30">
        <v>4</v>
      </c>
      <c r="AB50" s="28">
        <f t="shared" si="1"/>
        <v>6</v>
      </c>
    </row>
    <row r="51" spans="21:28">
      <c r="U51" s="28">
        <v>2012</v>
      </c>
      <c r="V51" s="28">
        <v>1</v>
      </c>
      <c r="W51" s="28">
        <v>3</v>
      </c>
      <c r="X51" s="28">
        <v>4</v>
      </c>
      <c r="Y51" s="28">
        <v>0</v>
      </c>
      <c r="Z51" s="28">
        <v>2</v>
      </c>
      <c r="AA51" s="28">
        <v>6</v>
      </c>
      <c r="AB51" s="28">
        <f t="shared" si="1"/>
        <v>10</v>
      </c>
    </row>
    <row r="52" spans="21:28">
      <c r="U52" s="28">
        <v>2013</v>
      </c>
      <c r="V52" s="28">
        <v>0</v>
      </c>
      <c r="W52" s="28">
        <v>1</v>
      </c>
      <c r="X52" s="28">
        <v>0</v>
      </c>
      <c r="Y52" s="28">
        <v>1</v>
      </c>
      <c r="Z52" s="28">
        <v>2</v>
      </c>
      <c r="AA52" s="28">
        <v>4</v>
      </c>
      <c r="AB52" s="28">
        <f t="shared" si="1"/>
        <v>4</v>
      </c>
    </row>
    <row r="53" spans="21:28">
      <c r="U53" s="28">
        <v>2014</v>
      </c>
      <c r="V53" s="28">
        <v>0</v>
      </c>
      <c r="W53" s="28">
        <v>2</v>
      </c>
      <c r="X53" s="28">
        <v>2</v>
      </c>
      <c r="Y53" s="28">
        <v>3</v>
      </c>
      <c r="Z53" s="28">
        <v>1</v>
      </c>
      <c r="AA53" s="28">
        <v>6</v>
      </c>
      <c r="AB53" s="28">
        <f t="shared" si="1"/>
        <v>8</v>
      </c>
    </row>
    <row r="54" spans="21:28">
      <c r="U54" s="28">
        <v>2015</v>
      </c>
      <c r="V54" s="28">
        <v>0</v>
      </c>
      <c r="W54" s="28">
        <v>1</v>
      </c>
      <c r="X54" s="28">
        <v>1</v>
      </c>
      <c r="Y54" s="28">
        <v>0</v>
      </c>
      <c r="Z54" s="28">
        <v>0</v>
      </c>
      <c r="AA54" s="28">
        <v>1</v>
      </c>
      <c r="AB54" s="28">
        <v>1</v>
      </c>
    </row>
    <row r="68" spans="1:7">
      <c r="A68" s="35" t="s">
        <v>286</v>
      </c>
      <c r="B68" s="28" t="s">
        <v>137</v>
      </c>
      <c r="C68" s="28" t="s">
        <v>287</v>
      </c>
      <c r="D68" s="28" t="s">
        <v>288</v>
      </c>
      <c r="E68" s="28" t="s">
        <v>289</v>
      </c>
      <c r="F68" s="28" t="s">
        <v>290</v>
      </c>
    </row>
    <row r="69" spans="1:7">
      <c r="A69" s="28">
        <v>2001</v>
      </c>
      <c r="B69" s="28">
        <v>0</v>
      </c>
      <c r="C69" s="28">
        <v>5</v>
      </c>
      <c r="D69" s="28">
        <v>2</v>
      </c>
      <c r="E69" s="28">
        <v>0</v>
      </c>
      <c r="F69" s="28">
        <v>7</v>
      </c>
      <c r="G69" s="28">
        <f t="shared" ref="G69:G83" si="2">SUM(B69:E69)</f>
        <v>7</v>
      </c>
    </row>
    <row r="70" spans="1:7">
      <c r="A70" s="28">
        <v>2002</v>
      </c>
      <c r="B70" s="28">
        <v>0</v>
      </c>
      <c r="C70" s="28">
        <v>3</v>
      </c>
      <c r="D70" s="28">
        <v>2</v>
      </c>
      <c r="E70" s="28">
        <v>1</v>
      </c>
      <c r="F70" s="30">
        <v>6</v>
      </c>
      <c r="G70" s="28">
        <f t="shared" si="2"/>
        <v>6</v>
      </c>
    </row>
    <row r="71" spans="1:7">
      <c r="A71" s="28">
        <v>2003</v>
      </c>
      <c r="B71" s="28">
        <v>2</v>
      </c>
      <c r="C71" s="28">
        <v>0</v>
      </c>
      <c r="D71" s="28">
        <v>0</v>
      </c>
      <c r="E71" s="28">
        <v>6</v>
      </c>
      <c r="F71" s="31">
        <v>8</v>
      </c>
      <c r="G71" s="28">
        <f t="shared" si="2"/>
        <v>8</v>
      </c>
    </row>
    <row r="72" spans="1:7">
      <c r="A72" s="28">
        <v>2004</v>
      </c>
      <c r="B72" s="28">
        <v>2</v>
      </c>
      <c r="C72" s="28">
        <v>3</v>
      </c>
      <c r="D72" s="28">
        <v>1</v>
      </c>
      <c r="E72" s="28">
        <v>2</v>
      </c>
      <c r="F72" s="31">
        <v>8</v>
      </c>
      <c r="G72" s="28">
        <f t="shared" si="2"/>
        <v>8</v>
      </c>
    </row>
    <row r="73" spans="1:7">
      <c r="A73" s="28">
        <v>2005</v>
      </c>
      <c r="B73" s="28">
        <v>1</v>
      </c>
      <c r="C73" s="28">
        <v>0</v>
      </c>
      <c r="D73" s="28">
        <v>1</v>
      </c>
      <c r="E73" s="28">
        <v>1</v>
      </c>
      <c r="F73" s="30">
        <v>3</v>
      </c>
      <c r="G73" s="28">
        <f t="shared" si="2"/>
        <v>3</v>
      </c>
    </row>
    <row r="74" spans="1:7">
      <c r="A74" s="28">
        <v>2006</v>
      </c>
      <c r="B74" s="28">
        <v>1</v>
      </c>
      <c r="C74" s="28">
        <v>1</v>
      </c>
      <c r="D74" s="28">
        <v>1</v>
      </c>
      <c r="E74" s="28">
        <v>1</v>
      </c>
      <c r="F74" s="30">
        <v>4</v>
      </c>
      <c r="G74" s="28">
        <f t="shared" si="2"/>
        <v>4</v>
      </c>
    </row>
    <row r="75" spans="1:7">
      <c r="A75" s="28">
        <v>2007</v>
      </c>
      <c r="B75" s="28">
        <v>0</v>
      </c>
      <c r="C75" s="28">
        <v>2</v>
      </c>
      <c r="D75" s="28">
        <v>0</v>
      </c>
      <c r="E75" s="28">
        <v>2</v>
      </c>
      <c r="F75" s="30">
        <v>4</v>
      </c>
      <c r="G75" s="28">
        <f t="shared" si="2"/>
        <v>4</v>
      </c>
    </row>
    <row r="76" spans="1:7">
      <c r="A76" s="28">
        <v>2008</v>
      </c>
      <c r="B76" s="28">
        <v>1</v>
      </c>
      <c r="C76" s="28">
        <v>1</v>
      </c>
      <c r="D76" s="28">
        <v>1</v>
      </c>
      <c r="E76" s="28">
        <v>1</v>
      </c>
      <c r="F76" s="30">
        <v>4</v>
      </c>
      <c r="G76" s="28">
        <f t="shared" si="2"/>
        <v>4</v>
      </c>
    </row>
    <row r="77" spans="1:7">
      <c r="A77" s="28">
        <v>2009</v>
      </c>
      <c r="B77" s="28">
        <v>2</v>
      </c>
      <c r="C77" s="28">
        <v>2</v>
      </c>
      <c r="D77" s="28">
        <v>1</v>
      </c>
      <c r="E77" s="28">
        <v>3</v>
      </c>
      <c r="F77" s="30">
        <v>8</v>
      </c>
      <c r="G77" s="28">
        <f t="shared" si="2"/>
        <v>8</v>
      </c>
    </row>
    <row r="78" spans="1:7">
      <c r="A78" s="28">
        <v>2010</v>
      </c>
      <c r="B78" s="28">
        <v>1</v>
      </c>
      <c r="C78" s="28">
        <v>0</v>
      </c>
      <c r="D78" s="28">
        <v>2</v>
      </c>
      <c r="E78" s="28">
        <v>2</v>
      </c>
      <c r="F78" s="30">
        <v>5</v>
      </c>
      <c r="G78" s="28">
        <f t="shared" si="2"/>
        <v>5</v>
      </c>
    </row>
    <row r="79" spans="1:7">
      <c r="A79" s="28">
        <v>2011</v>
      </c>
      <c r="B79" s="28">
        <v>2</v>
      </c>
      <c r="C79" s="28">
        <v>2</v>
      </c>
      <c r="D79" s="28">
        <v>0</v>
      </c>
      <c r="E79" s="28">
        <v>0</v>
      </c>
      <c r="F79" s="30">
        <v>4</v>
      </c>
      <c r="G79" s="28">
        <f t="shared" si="2"/>
        <v>4</v>
      </c>
    </row>
    <row r="80" spans="1:7">
      <c r="A80" s="28">
        <v>2012</v>
      </c>
      <c r="B80" s="28">
        <v>3</v>
      </c>
      <c r="C80" s="28">
        <v>1</v>
      </c>
      <c r="D80" s="28">
        <v>0</v>
      </c>
      <c r="E80" s="28">
        <v>2</v>
      </c>
      <c r="F80" s="28">
        <v>6</v>
      </c>
      <c r="G80" s="28">
        <f t="shared" si="2"/>
        <v>6</v>
      </c>
    </row>
    <row r="81" spans="1:7">
      <c r="A81" s="28">
        <v>2013</v>
      </c>
      <c r="B81" s="28">
        <v>1</v>
      </c>
      <c r="C81" s="28">
        <v>0</v>
      </c>
      <c r="D81" s="28">
        <v>1</v>
      </c>
      <c r="E81" s="28">
        <v>2</v>
      </c>
      <c r="F81" s="28">
        <v>4</v>
      </c>
      <c r="G81" s="28">
        <f t="shared" si="2"/>
        <v>4</v>
      </c>
    </row>
    <row r="82" spans="1:7">
      <c r="A82" s="28">
        <v>2014</v>
      </c>
      <c r="B82" s="28">
        <v>2</v>
      </c>
      <c r="C82" s="28">
        <v>0</v>
      </c>
      <c r="D82" s="28">
        <v>3</v>
      </c>
      <c r="E82" s="28">
        <v>1</v>
      </c>
      <c r="F82" s="28">
        <v>6</v>
      </c>
      <c r="G82" s="28">
        <f t="shared" si="2"/>
        <v>6</v>
      </c>
    </row>
    <row r="83" spans="1:7">
      <c r="A83" s="28">
        <v>2015</v>
      </c>
      <c r="B83" s="28">
        <v>1</v>
      </c>
      <c r="C83" s="28">
        <v>0</v>
      </c>
      <c r="D83" s="28">
        <v>0</v>
      </c>
      <c r="E83" s="28">
        <v>0</v>
      </c>
      <c r="F83" s="28">
        <v>1</v>
      </c>
      <c r="G83" s="28">
        <f t="shared" si="2"/>
        <v>1</v>
      </c>
    </row>
  </sheetData>
  <mergeCells count="4">
    <mergeCell ref="B1:H1"/>
    <mergeCell ref="K1:N1"/>
    <mergeCell ref="O1:R1"/>
    <mergeCell ref="I2:J2"/>
  </mergeCells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N78"/>
  <sheetViews>
    <sheetView workbookViewId="0">
      <selection activeCell="AI28" sqref="AI28"/>
    </sheetView>
  </sheetViews>
  <sheetFormatPr defaultColWidth="11.42578125" defaultRowHeight="11.25"/>
  <cols>
    <col min="1" max="1" width="6.42578125" style="28" customWidth="1"/>
    <col min="2" max="2" width="3.42578125" style="28" customWidth="1"/>
    <col min="3" max="8" width="3" style="28" customWidth="1"/>
    <col min="9" max="9" width="5.28515625" style="28" customWidth="1"/>
    <col min="10" max="11" width="5.42578125" style="28" customWidth="1"/>
    <col min="12" max="15" width="6.140625" style="28" customWidth="1"/>
    <col min="16" max="19" width="6.42578125" style="28" customWidth="1"/>
    <col min="20" max="20" width="1.28515625" style="28" customWidth="1"/>
    <col min="21" max="23" width="11.42578125" style="28"/>
    <col min="24" max="24" width="6.140625" style="28" customWidth="1"/>
    <col min="25" max="27" width="6.7109375" style="28" customWidth="1"/>
    <col min="28" max="28" width="6.140625" style="28" customWidth="1"/>
    <col min="29" max="29" width="6" style="28" customWidth="1"/>
    <col min="30" max="37" width="11.42578125" style="28"/>
    <col min="38" max="38" width="6.5703125" style="28" customWidth="1"/>
    <col min="39" max="39" width="9.140625" style="28" customWidth="1"/>
    <col min="40" max="40" width="8.5703125" style="28" customWidth="1"/>
    <col min="41" max="256" width="11.42578125" style="28"/>
    <col min="257" max="257" width="6.42578125" style="28" customWidth="1"/>
    <col min="258" max="258" width="3.42578125" style="28" customWidth="1"/>
    <col min="259" max="264" width="3" style="28" customWidth="1"/>
    <col min="265" max="265" width="5.28515625" style="28" customWidth="1"/>
    <col min="266" max="267" width="5.42578125" style="28" customWidth="1"/>
    <col min="268" max="271" width="6.140625" style="28" customWidth="1"/>
    <col min="272" max="275" width="6.42578125" style="28" customWidth="1"/>
    <col min="276" max="276" width="1.28515625" style="28" customWidth="1"/>
    <col min="277" max="279" width="11.42578125" style="28"/>
    <col min="280" max="280" width="6.140625" style="28" customWidth="1"/>
    <col min="281" max="283" width="6.7109375" style="28" customWidth="1"/>
    <col min="284" max="284" width="6.140625" style="28" customWidth="1"/>
    <col min="285" max="285" width="6" style="28" customWidth="1"/>
    <col min="286" max="293" width="11.42578125" style="28"/>
    <col min="294" max="294" width="6.5703125" style="28" customWidth="1"/>
    <col min="295" max="295" width="9.140625" style="28" customWidth="1"/>
    <col min="296" max="296" width="8.5703125" style="28" customWidth="1"/>
    <col min="297" max="512" width="11.42578125" style="28"/>
    <col min="513" max="513" width="6.42578125" style="28" customWidth="1"/>
    <col min="514" max="514" width="3.42578125" style="28" customWidth="1"/>
    <col min="515" max="520" width="3" style="28" customWidth="1"/>
    <col min="521" max="521" width="5.28515625" style="28" customWidth="1"/>
    <col min="522" max="523" width="5.42578125" style="28" customWidth="1"/>
    <col min="524" max="527" width="6.140625" style="28" customWidth="1"/>
    <col min="528" max="531" width="6.42578125" style="28" customWidth="1"/>
    <col min="532" max="532" width="1.28515625" style="28" customWidth="1"/>
    <col min="533" max="535" width="11.42578125" style="28"/>
    <col min="536" max="536" width="6.140625" style="28" customWidth="1"/>
    <col min="537" max="539" width="6.7109375" style="28" customWidth="1"/>
    <col min="540" max="540" width="6.140625" style="28" customWidth="1"/>
    <col min="541" max="541" width="6" style="28" customWidth="1"/>
    <col min="542" max="549" width="11.42578125" style="28"/>
    <col min="550" max="550" width="6.5703125" style="28" customWidth="1"/>
    <col min="551" max="551" width="9.140625" style="28" customWidth="1"/>
    <col min="552" max="552" width="8.5703125" style="28" customWidth="1"/>
    <col min="553" max="768" width="11.42578125" style="28"/>
    <col min="769" max="769" width="6.42578125" style="28" customWidth="1"/>
    <col min="770" max="770" width="3.42578125" style="28" customWidth="1"/>
    <col min="771" max="776" width="3" style="28" customWidth="1"/>
    <col min="777" max="777" width="5.28515625" style="28" customWidth="1"/>
    <col min="778" max="779" width="5.42578125" style="28" customWidth="1"/>
    <col min="780" max="783" width="6.140625" style="28" customWidth="1"/>
    <col min="784" max="787" width="6.42578125" style="28" customWidth="1"/>
    <col min="788" max="788" width="1.28515625" style="28" customWidth="1"/>
    <col min="789" max="791" width="11.42578125" style="28"/>
    <col min="792" max="792" width="6.140625" style="28" customWidth="1"/>
    <col min="793" max="795" width="6.7109375" style="28" customWidth="1"/>
    <col min="796" max="796" width="6.140625" style="28" customWidth="1"/>
    <col min="797" max="797" width="6" style="28" customWidth="1"/>
    <col min="798" max="805" width="11.42578125" style="28"/>
    <col min="806" max="806" width="6.5703125" style="28" customWidth="1"/>
    <col min="807" max="807" width="9.140625" style="28" customWidth="1"/>
    <col min="808" max="808" width="8.5703125" style="28" customWidth="1"/>
    <col min="809" max="1024" width="11.42578125" style="28"/>
    <col min="1025" max="1025" width="6.42578125" style="28" customWidth="1"/>
    <col min="1026" max="1026" width="3.42578125" style="28" customWidth="1"/>
    <col min="1027" max="1032" width="3" style="28" customWidth="1"/>
    <col min="1033" max="1033" width="5.28515625" style="28" customWidth="1"/>
    <col min="1034" max="1035" width="5.42578125" style="28" customWidth="1"/>
    <col min="1036" max="1039" width="6.140625" style="28" customWidth="1"/>
    <col min="1040" max="1043" width="6.42578125" style="28" customWidth="1"/>
    <col min="1044" max="1044" width="1.28515625" style="28" customWidth="1"/>
    <col min="1045" max="1047" width="11.42578125" style="28"/>
    <col min="1048" max="1048" width="6.140625" style="28" customWidth="1"/>
    <col min="1049" max="1051" width="6.7109375" style="28" customWidth="1"/>
    <col min="1052" max="1052" width="6.140625" style="28" customWidth="1"/>
    <col min="1053" max="1053" width="6" style="28" customWidth="1"/>
    <col min="1054" max="1061" width="11.42578125" style="28"/>
    <col min="1062" max="1062" width="6.5703125" style="28" customWidth="1"/>
    <col min="1063" max="1063" width="9.140625" style="28" customWidth="1"/>
    <col min="1064" max="1064" width="8.5703125" style="28" customWidth="1"/>
    <col min="1065" max="1280" width="11.42578125" style="28"/>
    <col min="1281" max="1281" width="6.42578125" style="28" customWidth="1"/>
    <col min="1282" max="1282" width="3.42578125" style="28" customWidth="1"/>
    <col min="1283" max="1288" width="3" style="28" customWidth="1"/>
    <col min="1289" max="1289" width="5.28515625" style="28" customWidth="1"/>
    <col min="1290" max="1291" width="5.42578125" style="28" customWidth="1"/>
    <col min="1292" max="1295" width="6.140625" style="28" customWidth="1"/>
    <col min="1296" max="1299" width="6.42578125" style="28" customWidth="1"/>
    <col min="1300" max="1300" width="1.28515625" style="28" customWidth="1"/>
    <col min="1301" max="1303" width="11.42578125" style="28"/>
    <col min="1304" max="1304" width="6.140625" style="28" customWidth="1"/>
    <col min="1305" max="1307" width="6.7109375" style="28" customWidth="1"/>
    <col min="1308" max="1308" width="6.140625" style="28" customWidth="1"/>
    <col min="1309" max="1309" width="6" style="28" customWidth="1"/>
    <col min="1310" max="1317" width="11.42578125" style="28"/>
    <col min="1318" max="1318" width="6.5703125" style="28" customWidth="1"/>
    <col min="1319" max="1319" width="9.140625" style="28" customWidth="1"/>
    <col min="1320" max="1320" width="8.5703125" style="28" customWidth="1"/>
    <col min="1321" max="1536" width="11.42578125" style="28"/>
    <col min="1537" max="1537" width="6.42578125" style="28" customWidth="1"/>
    <col min="1538" max="1538" width="3.42578125" style="28" customWidth="1"/>
    <col min="1539" max="1544" width="3" style="28" customWidth="1"/>
    <col min="1545" max="1545" width="5.28515625" style="28" customWidth="1"/>
    <col min="1546" max="1547" width="5.42578125" style="28" customWidth="1"/>
    <col min="1548" max="1551" width="6.140625" style="28" customWidth="1"/>
    <col min="1552" max="1555" width="6.42578125" style="28" customWidth="1"/>
    <col min="1556" max="1556" width="1.28515625" style="28" customWidth="1"/>
    <col min="1557" max="1559" width="11.42578125" style="28"/>
    <col min="1560" max="1560" width="6.140625" style="28" customWidth="1"/>
    <col min="1561" max="1563" width="6.7109375" style="28" customWidth="1"/>
    <col min="1564" max="1564" width="6.140625" style="28" customWidth="1"/>
    <col min="1565" max="1565" width="6" style="28" customWidth="1"/>
    <col min="1566" max="1573" width="11.42578125" style="28"/>
    <col min="1574" max="1574" width="6.5703125" style="28" customWidth="1"/>
    <col min="1575" max="1575" width="9.140625" style="28" customWidth="1"/>
    <col min="1576" max="1576" width="8.5703125" style="28" customWidth="1"/>
    <col min="1577" max="1792" width="11.42578125" style="28"/>
    <col min="1793" max="1793" width="6.42578125" style="28" customWidth="1"/>
    <col min="1794" max="1794" width="3.42578125" style="28" customWidth="1"/>
    <col min="1795" max="1800" width="3" style="28" customWidth="1"/>
    <col min="1801" max="1801" width="5.28515625" style="28" customWidth="1"/>
    <col min="1802" max="1803" width="5.42578125" style="28" customWidth="1"/>
    <col min="1804" max="1807" width="6.140625" style="28" customWidth="1"/>
    <col min="1808" max="1811" width="6.42578125" style="28" customWidth="1"/>
    <col min="1812" max="1812" width="1.28515625" style="28" customWidth="1"/>
    <col min="1813" max="1815" width="11.42578125" style="28"/>
    <col min="1816" max="1816" width="6.140625" style="28" customWidth="1"/>
    <col min="1817" max="1819" width="6.7109375" style="28" customWidth="1"/>
    <col min="1820" max="1820" width="6.140625" style="28" customWidth="1"/>
    <col min="1821" max="1821" width="6" style="28" customWidth="1"/>
    <col min="1822" max="1829" width="11.42578125" style="28"/>
    <col min="1830" max="1830" width="6.5703125" style="28" customWidth="1"/>
    <col min="1831" max="1831" width="9.140625" style="28" customWidth="1"/>
    <col min="1832" max="1832" width="8.5703125" style="28" customWidth="1"/>
    <col min="1833" max="2048" width="11.42578125" style="28"/>
    <col min="2049" max="2049" width="6.42578125" style="28" customWidth="1"/>
    <col min="2050" max="2050" width="3.42578125" style="28" customWidth="1"/>
    <col min="2051" max="2056" width="3" style="28" customWidth="1"/>
    <col min="2057" max="2057" width="5.28515625" style="28" customWidth="1"/>
    <col min="2058" max="2059" width="5.42578125" style="28" customWidth="1"/>
    <col min="2060" max="2063" width="6.140625" style="28" customWidth="1"/>
    <col min="2064" max="2067" width="6.42578125" style="28" customWidth="1"/>
    <col min="2068" max="2068" width="1.28515625" style="28" customWidth="1"/>
    <col min="2069" max="2071" width="11.42578125" style="28"/>
    <col min="2072" max="2072" width="6.140625" style="28" customWidth="1"/>
    <col min="2073" max="2075" width="6.7109375" style="28" customWidth="1"/>
    <col min="2076" max="2076" width="6.140625" style="28" customWidth="1"/>
    <col min="2077" max="2077" width="6" style="28" customWidth="1"/>
    <col min="2078" max="2085" width="11.42578125" style="28"/>
    <col min="2086" max="2086" width="6.5703125" style="28" customWidth="1"/>
    <col min="2087" max="2087" width="9.140625" style="28" customWidth="1"/>
    <col min="2088" max="2088" width="8.5703125" style="28" customWidth="1"/>
    <col min="2089" max="2304" width="11.42578125" style="28"/>
    <col min="2305" max="2305" width="6.42578125" style="28" customWidth="1"/>
    <col min="2306" max="2306" width="3.42578125" style="28" customWidth="1"/>
    <col min="2307" max="2312" width="3" style="28" customWidth="1"/>
    <col min="2313" max="2313" width="5.28515625" style="28" customWidth="1"/>
    <col min="2314" max="2315" width="5.42578125" style="28" customWidth="1"/>
    <col min="2316" max="2319" width="6.140625" style="28" customWidth="1"/>
    <col min="2320" max="2323" width="6.42578125" style="28" customWidth="1"/>
    <col min="2324" max="2324" width="1.28515625" style="28" customWidth="1"/>
    <col min="2325" max="2327" width="11.42578125" style="28"/>
    <col min="2328" max="2328" width="6.140625" style="28" customWidth="1"/>
    <col min="2329" max="2331" width="6.7109375" style="28" customWidth="1"/>
    <col min="2332" max="2332" width="6.140625" style="28" customWidth="1"/>
    <col min="2333" max="2333" width="6" style="28" customWidth="1"/>
    <col min="2334" max="2341" width="11.42578125" style="28"/>
    <col min="2342" max="2342" width="6.5703125" style="28" customWidth="1"/>
    <col min="2343" max="2343" width="9.140625" style="28" customWidth="1"/>
    <col min="2344" max="2344" width="8.5703125" style="28" customWidth="1"/>
    <col min="2345" max="2560" width="11.42578125" style="28"/>
    <col min="2561" max="2561" width="6.42578125" style="28" customWidth="1"/>
    <col min="2562" max="2562" width="3.42578125" style="28" customWidth="1"/>
    <col min="2563" max="2568" width="3" style="28" customWidth="1"/>
    <col min="2569" max="2569" width="5.28515625" style="28" customWidth="1"/>
    <col min="2570" max="2571" width="5.42578125" style="28" customWidth="1"/>
    <col min="2572" max="2575" width="6.140625" style="28" customWidth="1"/>
    <col min="2576" max="2579" width="6.42578125" style="28" customWidth="1"/>
    <col min="2580" max="2580" width="1.28515625" style="28" customWidth="1"/>
    <col min="2581" max="2583" width="11.42578125" style="28"/>
    <col min="2584" max="2584" width="6.140625" style="28" customWidth="1"/>
    <col min="2585" max="2587" width="6.7109375" style="28" customWidth="1"/>
    <col min="2588" max="2588" width="6.140625" style="28" customWidth="1"/>
    <col min="2589" max="2589" width="6" style="28" customWidth="1"/>
    <col min="2590" max="2597" width="11.42578125" style="28"/>
    <col min="2598" max="2598" width="6.5703125" style="28" customWidth="1"/>
    <col min="2599" max="2599" width="9.140625" style="28" customWidth="1"/>
    <col min="2600" max="2600" width="8.5703125" style="28" customWidth="1"/>
    <col min="2601" max="2816" width="11.42578125" style="28"/>
    <col min="2817" max="2817" width="6.42578125" style="28" customWidth="1"/>
    <col min="2818" max="2818" width="3.42578125" style="28" customWidth="1"/>
    <col min="2819" max="2824" width="3" style="28" customWidth="1"/>
    <col min="2825" max="2825" width="5.28515625" style="28" customWidth="1"/>
    <col min="2826" max="2827" width="5.42578125" style="28" customWidth="1"/>
    <col min="2828" max="2831" width="6.140625" style="28" customWidth="1"/>
    <col min="2832" max="2835" width="6.42578125" style="28" customWidth="1"/>
    <col min="2836" max="2836" width="1.28515625" style="28" customWidth="1"/>
    <col min="2837" max="2839" width="11.42578125" style="28"/>
    <col min="2840" max="2840" width="6.140625" style="28" customWidth="1"/>
    <col min="2841" max="2843" width="6.7109375" style="28" customWidth="1"/>
    <col min="2844" max="2844" width="6.140625" style="28" customWidth="1"/>
    <col min="2845" max="2845" width="6" style="28" customWidth="1"/>
    <col min="2846" max="2853" width="11.42578125" style="28"/>
    <col min="2854" max="2854" width="6.5703125" style="28" customWidth="1"/>
    <col min="2855" max="2855" width="9.140625" style="28" customWidth="1"/>
    <col min="2856" max="2856" width="8.5703125" style="28" customWidth="1"/>
    <col min="2857" max="3072" width="11.42578125" style="28"/>
    <col min="3073" max="3073" width="6.42578125" style="28" customWidth="1"/>
    <col min="3074" max="3074" width="3.42578125" style="28" customWidth="1"/>
    <col min="3075" max="3080" width="3" style="28" customWidth="1"/>
    <col min="3081" max="3081" width="5.28515625" style="28" customWidth="1"/>
    <col min="3082" max="3083" width="5.42578125" style="28" customWidth="1"/>
    <col min="3084" max="3087" width="6.140625" style="28" customWidth="1"/>
    <col min="3088" max="3091" width="6.42578125" style="28" customWidth="1"/>
    <col min="3092" max="3092" width="1.28515625" style="28" customWidth="1"/>
    <col min="3093" max="3095" width="11.42578125" style="28"/>
    <col min="3096" max="3096" width="6.140625" style="28" customWidth="1"/>
    <col min="3097" max="3099" width="6.7109375" style="28" customWidth="1"/>
    <col min="3100" max="3100" width="6.140625" style="28" customWidth="1"/>
    <col min="3101" max="3101" width="6" style="28" customWidth="1"/>
    <col min="3102" max="3109" width="11.42578125" style="28"/>
    <col min="3110" max="3110" width="6.5703125" style="28" customWidth="1"/>
    <col min="3111" max="3111" width="9.140625" style="28" customWidth="1"/>
    <col min="3112" max="3112" width="8.5703125" style="28" customWidth="1"/>
    <col min="3113" max="3328" width="11.42578125" style="28"/>
    <col min="3329" max="3329" width="6.42578125" style="28" customWidth="1"/>
    <col min="3330" max="3330" width="3.42578125" style="28" customWidth="1"/>
    <col min="3331" max="3336" width="3" style="28" customWidth="1"/>
    <col min="3337" max="3337" width="5.28515625" style="28" customWidth="1"/>
    <col min="3338" max="3339" width="5.42578125" style="28" customWidth="1"/>
    <col min="3340" max="3343" width="6.140625" style="28" customWidth="1"/>
    <col min="3344" max="3347" width="6.42578125" style="28" customWidth="1"/>
    <col min="3348" max="3348" width="1.28515625" style="28" customWidth="1"/>
    <col min="3349" max="3351" width="11.42578125" style="28"/>
    <col min="3352" max="3352" width="6.140625" style="28" customWidth="1"/>
    <col min="3353" max="3355" width="6.7109375" style="28" customWidth="1"/>
    <col min="3356" max="3356" width="6.140625" style="28" customWidth="1"/>
    <col min="3357" max="3357" width="6" style="28" customWidth="1"/>
    <col min="3358" max="3365" width="11.42578125" style="28"/>
    <col min="3366" max="3366" width="6.5703125" style="28" customWidth="1"/>
    <col min="3367" max="3367" width="9.140625" style="28" customWidth="1"/>
    <col min="3368" max="3368" width="8.5703125" style="28" customWidth="1"/>
    <col min="3369" max="3584" width="11.42578125" style="28"/>
    <col min="3585" max="3585" width="6.42578125" style="28" customWidth="1"/>
    <col min="3586" max="3586" width="3.42578125" style="28" customWidth="1"/>
    <col min="3587" max="3592" width="3" style="28" customWidth="1"/>
    <col min="3593" max="3593" width="5.28515625" style="28" customWidth="1"/>
    <col min="3594" max="3595" width="5.42578125" style="28" customWidth="1"/>
    <col min="3596" max="3599" width="6.140625" style="28" customWidth="1"/>
    <col min="3600" max="3603" width="6.42578125" style="28" customWidth="1"/>
    <col min="3604" max="3604" width="1.28515625" style="28" customWidth="1"/>
    <col min="3605" max="3607" width="11.42578125" style="28"/>
    <col min="3608" max="3608" width="6.140625" style="28" customWidth="1"/>
    <col min="3609" max="3611" width="6.7109375" style="28" customWidth="1"/>
    <col min="3612" max="3612" width="6.140625" style="28" customWidth="1"/>
    <col min="3613" max="3613" width="6" style="28" customWidth="1"/>
    <col min="3614" max="3621" width="11.42578125" style="28"/>
    <col min="3622" max="3622" width="6.5703125" style="28" customWidth="1"/>
    <col min="3623" max="3623" width="9.140625" style="28" customWidth="1"/>
    <col min="3624" max="3624" width="8.5703125" style="28" customWidth="1"/>
    <col min="3625" max="3840" width="11.42578125" style="28"/>
    <col min="3841" max="3841" width="6.42578125" style="28" customWidth="1"/>
    <col min="3842" max="3842" width="3.42578125" style="28" customWidth="1"/>
    <col min="3843" max="3848" width="3" style="28" customWidth="1"/>
    <col min="3849" max="3849" width="5.28515625" style="28" customWidth="1"/>
    <col min="3850" max="3851" width="5.42578125" style="28" customWidth="1"/>
    <col min="3852" max="3855" width="6.140625" style="28" customWidth="1"/>
    <col min="3856" max="3859" width="6.42578125" style="28" customWidth="1"/>
    <col min="3860" max="3860" width="1.28515625" style="28" customWidth="1"/>
    <col min="3861" max="3863" width="11.42578125" style="28"/>
    <col min="3864" max="3864" width="6.140625" style="28" customWidth="1"/>
    <col min="3865" max="3867" width="6.7109375" style="28" customWidth="1"/>
    <col min="3868" max="3868" width="6.140625" style="28" customWidth="1"/>
    <col min="3869" max="3869" width="6" style="28" customWidth="1"/>
    <col min="3870" max="3877" width="11.42578125" style="28"/>
    <col min="3878" max="3878" width="6.5703125" style="28" customWidth="1"/>
    <col min="3879" max="3879" width="9.140625" style="28" customWidth="1"/>
    <col min="3880" max="3880" width="8.5703125" style="28" customWidth="1"/>
    <col min="3881" max="4096" width="11.42578125" style="28"/>
    <col min="4097" max="4097" width="6.42578125" style="28" customWidth="1"/>
    <col min="4098" max="4098" width="3.42578125" style="28" customWidth="1"/>
    <col min="4099" max="4104" width="3" style="28" customWidth="1"/>
    <col min="4105" max="4105" width="5.28515625" style="28" customWidth="1"/>
    <col min="4106" max="4107" width="5.42578125" style="28" customWidth="1"/>
    <col min="4108" max="4111" width="6.140625" style="28" customWidth="1"/>
    <col min="4112" max="4115" width="6.42578125" style="28" customWidth="1"/>
    <col min="4116" max="4116" width="1.28515625" style="28" customWidth="1"/>
    <col min="4117" max="4119" width="11.42578125" style="28"/>
    <col min="4120" max="4120" width="6.140625" style="28" customWidth="1"/>
    <col min="4121" max="4123" width="6.7109375" style="28" customWidth="1"/>
    <col min="4124" max="4124" width="6.140625" style="28" customWidth="1"/>
    <col min="4125" max="4125" width="6" style="28" customWidth="1"/>
    <col min="4126" max="4133" width="11.42578125" style="28"/>
    <col min="4134" max="4134" width="6.5703125" style="28" customWidth="1"/>
    <col min="4135" max="4135" width="9.140625" style="28" customWidth="1"/>
    <col min="4136" max="4136" width="8.5703125" style="28" customWidth="1"/>
    <col min="4137" max="4352" width="11.42578125" style="28"/>
    <col min="4353" max="4353" width="6.42578125" style="28" customWidth="1"/>
    <col min="4354" max="4354" width="3.42578125" style="28" customWidth="1"/>
    <col min="4355" max="4360" width="3" style="28" customWidth="1"/>
    <col min="4361" max="4361" width="5.28515625" style="28" customWidth="1"/>
    <col min="4362" max="4363" width="5.42578125" style="28" customWidth="1"/>
    <col min="4364" max="4367" width="6.140625" style="28" customWidth="1"/>
    <col min="4368" max="4371" width="6.42578125" style="28" customWidth="1"/>
    <col min="4372" max="4372" width="1.28515625" style="28" customWidth="1"/>
    <col min="4373" max="4375" width="11.42578125" style="28"/>
    <col min="4376" max="4376" width="6.140625" style="28" customWidth="1"/>
    <col min="4377" max="4379" width="6.7109375" style="28" customWidth="1"/>
    <col min="4380" max="4380" width="6.140625" style="28" customWidth="1"/>
    <col min="4381" max="4381" width="6" style="28" customWidth="1"/>
    <col min="4382" max="4389" width="11.42578125" style="28"/>
    <col min="4390" max="4390" width="6.5703125" style="28" customWidth="1"/>
    <col min="4391" max="4391" width="9.140625" style="28" customWidth="1"/>
    <col min="4392" max="4392" width="8.5703125" style="28" customWidth="1"/>
    <col min="4393" max="4608" width="11.42578125" style="28"/>
    <col min="4609" max="4609" width="6.42578125" style="28" customWidth="1"/>
    <col min="4610" max="4610" width="3.42578125" style="28" customWidth="1"/>
    <col min="4611" max="4616" width="3" style="28" customWidth="1"/>
    <col min="4617" max="4617" width="5.28515625" style="28" customWidth="1"/>
    <col min="4618" max="4619" width="5.42578125" style="28" customWidth="1"/>
    <col min="4620" max="4623" width="6.140625" style="28" customWidth="1"/>
    <col min="4624" max="4627" width="6.42578125" style="28" customWidth="1"/>
    <col min="4628" max="4628" width="1.28515625" style="28" customWidth="1"/>
    <col min="4629" max="4631" width="11.42578125" style="28"/>
    <col min="4632" max="4632" width="6.140625" style="28" customWidth="1"/>
    <col min="4633" max="4635" width="6.7109375" style="28" customWidth="1"/>
    <col min="4636" max="4636" width="6.140625" style="28" customWidth="1"/>
    <col min="4637" max="4637" width="6" style="28" customWidth="1"/>
    <col min="4638" max="4645" width="11.42578125" style="28"/>
    <col min="4646" max="4646" width="6.5703125" style="28" customWidth="1"/>
    <col min="4647" max="4647" width="9.140625" style="28" customWidth="1"/>
    <col min="4648" max="4648" width="8.5703125" style="28" customWidth="1"/>
    <col min="4649" max="4864" width="11.42578125" style="28"/>
    <col min="4865" max="4865" width="6.42578125" style="28" customWidth="1"/>
    <col min="4866" max="4866" width="3.42578125" style="28" customWidth="1"/>
    <col min="4867" max="4872" width="3" style="28" customWidth="1"/>
    <col min="4873" max="4873" width="5.28515625" style="28" customWidth="1"/>
    <col min="4874" max="4875" width="5.42578125" style="28" customWidth="1"/>
    <col min="4876" max="4879" width="6.140625" style="28" customWidth="1"/>
    <col min="4880" max="4883" width="6.42578125" style="28" customWidth="1"/>
    <col min="4884" max="4884" width="1.28515625" style="28" customWidth="1"/>
    <col min="4885" max="4887" width="11.42578125" style="28"/>
    <col min="4888" max="4888" width="6.140625" style="28" customWidth="1"/>
    <col min="4889" max="4891" width="6.7109375" style="28" customWidth="1"/>
    <col min="4892" max="4892" width="6.140625" style="28" customWidth="1"/>
    <col min="4893" max="4893" width="6" style="28" customWidth="1"/>
    <col min="4894" max="4901" width="11.42578125" style="28"/>
    <col min="4902" max="4902" width="6.5703125" style="28" customWidth="1"/>
    <col min="4903" max="4903" width="9.140625" style="28" customWidth="1"/>
    <col min="4904" max="4904" width="8.5703125" style="28" customWidth="1"/>
    <col min="4905" max="5120" width="11.42578125" style="28"/>
    <col min="5121" max="5121" width="6.42578125" style="28" customWidth="1"/>
    <col min="5122" max="5122" width="3.42578125" style="28" customWidth="1"/>
    <col min="5123" max="5128" width="3" style="28" customWidth="1"/>
    <col min="5129" max="5129" width="5.28515625" style="28" customWidth="1"/>
    <col min="5130" max="5131" width="5.42578125" style="28" customWidth="1"/>
    <col min="5132" max="5135" width="6.140625" style="28" customWidth="1"/>
    <col min="5136" max="5139" width="6.42578125" style="28" customWidth="1"/>
    <col min="5140" max="5140" width="1.28515625" style="28" customWidth="1"/>
    <col min="5141" max="5143" width="11.42578125" style="28"/>
    <col min="5144" max="5144" width="6.140625" style="28" customWidth="1"/>
    <col min="5145" max="5147" width="6.7109375" style="28" customWidth="1"/>
    <col min="5148" max="5148" width="6.140625" style="28" customWidth="1"/>
    <col min="5149" max="5149" width="6" style="28" customWidth="1"/>
    <col min="5150" max="5157" width="11.42578125" style="28"/>
    <col min="5158" max="5158" width="6.5703125" style="28" customWidth="1"/>
    <col min="5159" max="5159" width="9.140625" style="28" customWidth="1"/>
    <col min="5160" max="5160" width="8.5703125" style="28" customWidth="1"/>
    <col min="5161" max="5376" width="11.42578125" style="28"/>
    <col min="5377" max="5377" width="6.42578125" style="28" customWidth="1"/>
    <col min="5378" max="5378" width="3.42578125" style="28" customWidth="1"/>
    <col min="5379" max="5384" width="3" style="28" customWidth="1"/>
    <col min="5385" max="5385" width="5.28515625" style="28" customWidth="1"/>
    <col min="5386" max="5387" width="5.42578125" style="28" customWidth="1"/>
    <col min="5388" max="5391" width="6.140625" style="28" customWidth="1"/>
    <col min="5392" max="5395" width="6.42578125" style="28" customWidth="1"/>
    <col min="5396" max="5396" width="1.28515625" style="28" customWidth="1"/>
    <col min="5397" max="5399" width="11.42578125" style="28"/>
    <col min="5400" max="5400" width="6.140625" style="28" customWidth="1"/>
    <col min="5401" max="5403" width="6.7109375" style="28" customWidth="1"/>
    <col min="5404" max="5404" width="6.140625" style="28" customWidth="1"/>
    <col min="5405" max="5405" width="6" style="28" customWidth="1"/>
    <col min="5406" max="5413" width="11.42578125" style="28"/>
    <col min="5414" max="5414" width="6.5703125" style="28" customWidth="1"/>
    <col min="5415" max="5415" width="9.140625" style="28" customWidth="1"/>
    <col min="5416" max="5416" width="8.5703125" style="28" customWidth="1"/>
    <col min="5417" max="5632" width="11.42578125" style="28"/>
    <col min="5633" max="5633" width="6.42578125" style="28" customWidth="1"/>
    <col min="5634" max="5634" width="3.42578125" style="28" customWidth="1"/>
    <col min="5635" max="5640" width="3" style="28" customWidth="1"/>
    <col min="5641" max="5641" width="5.28515625" style="28" customWidth="1"/>
    <col min="5642" max="5643" width="5.42578125" style="28" customWidth="1"/>
    <col min="5644" max="5647" width="6.140625" style="28" customWidth="1"/>
    <col min="5648" max="5651" width="6.42578125" style="28" customWidth="1"/>
    <col min="5652" max="5652" width="1.28515625" style="28" customWidth="1"/>
    <col min="5653" max="5655" width="11.42578125" style="28"/>
    <col min="5656" max="5656" width="6.140625" style="28" customWidth="1"/>
    <col min="5657" max="5659" width="6.7109375" style="28" customWidth="1"/>
    <col min="5660" max="5660" width="6.140625" style="28" customWidth="1"/>
    <col min="5661" max="5661" width="6" style="28" customWidth="1"/>
    <col min="5662" max="5669" width="11.42578125" style="28"/>
    <col min="5670" max="5670" width="6.5703125" style="28" customWidth="1"/>
    <col min="5671" max="5671" width="9.140625" style="28" customWidth="1"/>
    <col min="5672" max="5672" width="8.5703125" style="28" customWidth="1"/>
    <col min="5673" max="5888" width="11.42578125" style="28"/>
    <col min="5889" max="5889" width="6.42578125" style="28" customWidth="1"/>
    <col min="5890" max="5890" width="3.42578125" style="28" customWidth="1"/>
    <col min="5891" max="5896" width="3" style="28" customWidth="1"/>
    <col min="5897" max="5897" width="5.28515625" style="28" customWidth="1"/>
    <col min="5898" max="5899" width="5.42578125" style="28" customWidth="1"/>
    <col min="5900" max="5903" width="6.140625" style="28" customWidth="1"/>
    <col min="5904" max="5907" width="6.42578125" style="28" customWidth="1"/>
    <col min="5908" max="5908" width="1.28515625" style="28" customWidth="1"/>
    <col min="5909" max="5911" width="11.42578125" style="28"/>
    <col min="5912" max="5912" width="6.140625" style="28" customWidth="1"/>
    <col min="5913" max="5915" width="6.7109375" style="28" customWidth="1"/>
    <col min="5916" max="5916" width="6.140625" style="28" customWidth="1"/>
    <col min="5917" max="5917" width="6" style="28" customWidth="1"/>
    <col min="5918" max="5925" width="11.42578125" style="28"/>
    <col min="5926" max="5926" width="6.5703125" style="28" customWidth="1"/>
    <col min="5927" max="5927" width="9.140625" style="28" customWidth="1"/>
    <col min="5928" max="5928" width="8.5703125" style="28" customWidth="1"/>
    <col min="5929" max="6144" width="11.42578125" style="28"/>
    <col min="6145" max="6145" width="6.42578125" style="28" customWidth="1"/>
    <col min="6146" max="6146" width="3.42578125" style="28" customWidth="1"/>
    <col min="6147" max="6152" width="3" style="28" customWidth="1"/>
    <col min="6153" max="6153" width="5.28515625" style="28" customWidth="1"/>
    <col min="6154" max="6155" width="5.42578125" style="28" customWidth="1"/>
    <col min="6156" max="6159" width="6.140625" style="28" customWidth="1"/>
    <col min="6160" max="6163" width="6.42578125" style="28" customWidth="1"/>
    <col min="6164" max="6164" width="1.28515625" style="28" customWidth="1"/>
    <col min="6165" max="6167" width="11.42578125" style="28"/>
    <col min="6168" max="6168" width="6.140625" style="28" customWidth="1"/>
    <col min="6169" max="6171" width="6.7109375" style="28" customWidth="1"/>
    <col min="6172" max="6172" width="6.140625" style="28" customWidth="1"/>
    <col min="6173" max="6173" width="6" style="28" customWidth="1"/>
    <col min="6174" max="6181" width="11.42578125" style="28"/>
    <col min="6182" max="6182" width="6.5703125" style="28" customWidth="1"/>
    <col min="6183" max="6183" width="9.140625" style="28" customWidth="1"/>
    <col min="6184" max="6184" width="8.5703125" style="28" customWidth="1"/>
    <col min="6185" max="6400" width="11.42578125" style="28"/>
    <col min="6401" max="6401" width="6.42578125" style="28" customWidth="1"/>
    <col min="6402" max="6402" width="3.42578125" style="28" customWidth="1"/>
    <col min="6403" max="6408" width="3" style="28" customWidth="1"/>
    <col min="6409" max="6409" width="5.28515625" style="28" customWidth="1"/>
    <col min="6410" max="6411" width="5.42578125" style="28" customWidth="1"/>
    <col min="6412" max="6415" width="6.140625" style="28" customWidth="1"/>
    <col min="6416" max="6419" width="6.42578125" style="28" customWidth="1"/>
    <col min="6420" max="6420" width="1.28515625" style="28" customWidth="1"/>
    <col min="6421" max="6423" width="11.42578125" style="28"/>
    <col min="6424" max="6424" width="6.140625" style="28" customWidth="1"/>
    <col min="6425" max="6427" width="6.7109375" style="28" customWidth="1"/>
    <col min="6428" max="6428" width="6.140625" style="28" customWidth="1"/>
    <col min="6429" max="6429" width="6" style="28" customWidth="1"/>
    <col min="6430" max="6437" width="11.42578125" style="28"/>
    <col min="6438" max="6438" width="6.5703125" style="28" customWidth="1"/>
    <col min="6439" max="6439" width="9.140625" style="28" customWidth="1"/>
    <col min="6440" max="6440" width="8.5703125" style="28" customWidth="1"/>
    <col min="6441" max="6656" width="11.42578125" style="28"/>
    <col min="6657" max="6657" width="6.42578125" style="28" customWidth="1"/>
    <col min="6658" max="6658" width="3.42578125" style="28" customWidth="1"/>
    <col min="6659" max="6664" width="3" style="28" customWidth="1"/>
    <col min="6665" max="6665" width="5.28515625" style="28" customWidth="1"/>
    <col min="6666" max="6667" width="5.42578125" style="28" customWidth="1"/>
    <col min="6668" max="6671" width="6.140625" style="28" customWidth="1"/>
    <col min="6672" max="6675" width="6.42578125" style="28" customWidth="1"/>
    <col min="6676" max="6676" width="1.28515625" style="28" customWidth="1"/>
    <col min="6677" max="6679" width="11.42578125" style="28"/>
    <col min="6680" max="6680" width="6.140625" style="28" customWidth="1"/>
    <col min="6681" max="6683" width="6.7109375" style="28" customWidth="1"/>
    <col min="6684" max="6684" width="6.140625" style="28" customWidth="1"/>
    <col min="6685" max="6685" width="6" style="28" customWidth="1"/>
    <col min="6686" max="6693" width="11.42578125" style="28"/>
    <col min="6694" max="6694" width="6.5703125" style="28" customWidth="1"/>
    <col min="6695" max="6695" width="9.140625" style="28" customWidth="1"/>
    <col min="6696" max="6696" width="8.5703125" style="28" customWidth="1"/>
    <col min="6697" max="6912" width="11.42578125" style="28"/>
    <col min="6913" max="6913" width="6.42578125" style="28" customWidth="1"/>
    <col min="6914" max="6914" width="3.42578125" style="28" customWidth="1"/>
    <col min="6915" max="6920" width="3" style="28" customWidth="1"/>
    <col min="6921" max="6921" width="5.28515625" style="28" customWidth="1"/>
    <col min="6922" max="6923" width="5.42578125" style="28" customWidth="1"/>
    <col min="6924" max="6927" width="6.140625" style="28" customWidth="1"/>
    <col min="6928" max="6931" width="6.42578125" style="28" customWidth="1"/>
    <col min="6932" max="6932" width="1.28515625" style="28" customWidth="1"/>
    <col min="6933" max="6935" width="11.42578125" style="28"/>
    <col min="6936" max="6936" width="6.140625" style="28" customWidth="1"/>
    <col min="6937" max="6939" width="6.7109375" style="28" customWidth="1"/>
    <col min="6940" max="6940" width="6.140625" style="28" customWidth="1"/>
    <col min="6941" max="6941" width="6" style="28" customWidth="1"/>
    <col min="6942" max="6949" width="11.42578125" style="28"/>
    <col min="6950" max="6950" width="6.5703125" style="28" customWidth="1"/>
    <col min="6951" max="6951" width="9.140625" style="28" customWidth="1"/>
    <col min="6952" max="6952" width="8.5703125" style="28" customWidth="1"/>
    <col min="6953" max="7168" width="11.42578125" style="28"/>
    <col min="7169" max="7169" width="6.42578125" style="28" customWidth="1"/>
    <col min="7170" max="7170" width="3.42578125" style="28" customWidth="1"/>
    <col min="7171" max="7176" width="3" style="28" customWidth="1"/>
    <col min="7177" max="7177" width="5.28515625" style="28" customWidth="1"/>
    <col min="7178" max="7179" width="5.42578125" style="28" customWidth="1"/>
    <col min="7180" max="7183" width="6.140625" style="28" customWidth="1"/>
    <col min="7184" max="7187" width="6.42578125" style="28" customWidth="1"/>
    <col min="7188" max="7188" width="1.28515625" style="28" customWidth="1"/>
    <col min="7189" max="7191" width="11.42578125" style="28"/>
    <col min="7192" max="7192" width="6.140625" style="28" customWidth="1"/>
    <col min="7193" max="7195" width="6.7109375" style="28" customWidth="1"/>
    <col min="7196" max="7196" width="6.140625" style="28" customWidth="1"/>
    <col min="7197" max="7197" width="6" style="28" customWidth="1"/>
    <col min="7198" max="7205" width="11.42578125" style="28"/>
    <col min="7206" max="7206" width="6.5703125" style="28" customWidth="1"/>
    <col min="7207" max="7207" width="9.140625" style="28" customWidth="1"/>
    <col min="7208" max="7208" width="8.5703125" style="28" customWidth="1"/>
    <col min="7209" max="7424" width="11.42578125" style="28"/>
    <col min="7425" max="7425" width="6.42578125" style="28" customWidth="1"/>
    <col min="7426" max="7426" width="3.42578125" style="28" customWidth="1"/>
    <col min="7427" max="7432" width="3" style="28" customWidth="1"/>
    <col min="7433" max="7433" width="5.28515625" style="28" customWidth="1"/>
    <col min="7434" max="7435" width="5.42578125" style="28" customWidth="1"/>
    <col min="7436" max="7439" width="6.140625" style="28" customWidth="1"/>
    <col min="7440" max="7443" width="6.42578125" style="28" customWidth="1"/>
    <col min="7444" max="7444" width="1.28515625" style="28" customWidth="1"/>
    <col min="7445" max="7447" width="11.42578125" style="28"/>
    <col min="7448" max="7448" width="6.140625" style="28" customWidth="1"/>
    <col min="7449" max="7451" width="6.7109375" style="28" customWidth="1"/>
    <col min="7452" max="7452" width="6.140625" style="28" customWidth="1"/>
    <col min="7453" max="7453" width="6" style="28" customWidth="1"/>
    <col min="7454" max="7461" width="11.42578125" style="28"/>
    <col min="7462" max="7462" width="6.5703125" style="28" customWidth="1"/>
    <col min="7463" max="7463" width="9.140625" style="28" customWidth="1"/>
    <col min="7464" max="7464" width="8.5703125" style="28" customWidth="1"/>
    <col min="7465" max="7680" width="11.42578125" style="28"/>
    <col min="7681" max="7681" width="6.42578125" style="28" customWidth="1"/>
    <col min="7682" max="7682" width="3.42578125" style="28" customWidth="1"/>
    <col min="7683" max="7688" width="3" style="28" customWidth="1"/>
    <col min="7689" max="7689" width="5.28515625" style="28" customWidth="1"/>
    <col min="7690" max="7691" width="5.42578125" style="28" customWidth="1"/>
    <col min="7692" max="7695" width="6.140625" style="28" customWidth="1"/>
    <col min="7696" max="7699" width="6.42578125" style="28" customWidth="1"/>
    <col min="7700" max="7700" width="1.28515625" style="28" customWidth="1"/>
    <col min="7701" max="7703" width="11.42578125" style="28"/>
    <col min="7704" max="7704" width="6.140625" style="28" customWidth="1"/>
    <col min="7705" max="7707" width="6.7109375" style="28" customWidth="1"/>
    <col min="7708" max="7708" width="6.140625" style="28" customWidth="1"/>
    <col min="7709" max="7709" width="6" style="28" customWidth="1"/>
    <col min="7710" max="7717" width="11.42578125" style="28"/>
    <col min="7718" max="7718" width="6.5703125" style="28" customWidth="1"/>
    <col min="7719" max="7719" width="9.140625" style="28" customWidth="1"/>
    <col min="7720" max="7720" width="8.5703125" style="28" customWidth="1"/>
    <col min="7721" max="7936" width="11.42578125" style="28"/>
    <col min="7937" max="7937" width="6.42578125" style="28" customWidth="1"/>
    <col min="7938" max="7938" width="3.42578125" style="28" customWidth="1"/>
    <col min="7939" max="7944" width="3" style="28" customWidth="1"/>
    <col min="7945" max="7945" width="5.28515625" style="28" customWidth="1"/>
    <col min="7946" max="7947" width="5.42578125" style="28" customWidth="1"/>
    <col min="7948" max="7951" width="6.140625" style="28" customWidth="1"/>
    <col min="7952" max="7955" width="6.42578125" style="28" customWidth="1"/>
    <col min="7956" max="7956" width="1.28515625" style="28" customWidth="1"/>
    <col min="7957" max="7959" width="11.42578125" style="28"/>
    <col min="7960" max="7960" width="6.140625" style="28" customWidth="1"/>
    <col min="7961" max="7963" width="6.7109375" style="28" customWidth="1"/>
    <col min="7964" max="7964" width="6.140625" style="28" customWidth="1"/>
    <col min="7965" max="7965" width="6" style="28" customWidth="1"/>
    <col min="7966" max="7973" width="11.42578125" style="28"/>
    <col min="7974" max="7974" width="6.5703125" style="28" customWidth="1"/>
    <col min="7975" max="7975" width="9.140625" style="28" customWidth="1"/>
    <col min="7976" max="7976" width="8.5703125" style="28" customWidth="1"/>
    <col min="7977" max="8192" width="11.42578125" style="28"/>
    <col min="8193" max="8193" width="6.42578125" style="28" customWidth="1"/>
    <col min="8194" max="8194" width="3.42578125" style="28" customWidth="1"/>
    <col min="8195" max="8200" width="3" style="28" customWidth="1"/>
    <col min="8201" max="8201" width="5.28515625" style="28" customWidth="1"/>
    <col min="8202" max="8203" width="5.42578125" style="28" customWidth="1"/>
    <col min="8204" max="8207" width="6.140625" style="28" customWidth="1"/>
    <col min="8208" max="8211" width="6.42578125" style="28" customWidth="1"/>
    <col min="8212" max="8212" width="1.28515625" style="28" customWidth="1"/>
    <col min="8213" max="8215" width="11.42578125" style="28"/>
    <col min="8216" max="8216" width="6.140625" style="28" customWidth="1"/>
    <col min="8217" max="8219" width="6.7109375" style="28" customWidth="1"/>
    <col min="8220" max="8220" width="6.140625" style="28" customWidth="1"/>
    <col min="8221" max="8221" width="6" style="28" customWidth="1"/>
    <col min="8222" max="8229" width="11.42578125" style="28"/>
    <col min="8230" max="8230" width="6.5703125" style="28" customWidth="1"/>
    <col min="8231" max="8231" width="9.140625" style="28" customWidth="1"/>
    <col min="8232" max="8232" width="8.5703125" style="28" customWidth="1"/>
    <col min="8233" max="8448" width="11.42578125" style="28"/>
    <col min="8449" max="8449" width="6.42578125" style="28" customWidth="1"/>
    <col min="8450" max="8450" width="3.42578125" style="28" customWidth="1"/>
    <col min="8451" max="8456" width="3" style="28" customWidth="1"/>
    <col min="8457" max="8457" width="5.28515625" style="28" customWidth="1"/>
    <col min="8458" max="8459" width="5.42578125" style="28" customWidth="1"/>
    <col min="8460" max="8463" width="6.140625" style="28" customWidth="1"/>
    <col min="8464" max="8467" width="6.42578125" style="28" customWidth="1"/>
    <col min="8468" max="8468" width="1.28515625" style="28" customWidth="1"/>
    <col min="8469" max="8471" width="11.42578125" style="28"/>
    <col min="8472" max="8472" width="6.140625" style="28" customWidth="1"/>
    <col min="8473" max="8475" width="6.7109375" style="28" customWidth="1"/>
    <col min="8476" max="8476" width="6.140625" style="28" customWidth="1"/>
    <col min="8477" max="8477" width="6" style="28" customWidth="1"/>
    <col min="8478" max="8485" width="11.42578125" style="28"/>
    <col min="8486" max="8486" width="6.5703125" style="28" customWidth="1"/>
    <col min="8487" max="8487" width="9.140625" style="28" customWidth="1"/>
    <col min="8488" max="8488" width="8.5703125" style="28" customWidth="1"/>
    <col min="8489" max="8704" width="11.42578125" style="28"/>
    <col min="8705" max="8705" width="6.42578125" style="28" customWidth="1"/>
    <col min="8706" max="8706" width="3.42578125" style="28" customWidth="1"/>
    <col min="8707" max="8712" width="3" style="28" customWidth="1"/>
    <col min="8713" max="8713" width="5.28515625" style="28" customWidth="1"/>
    <col min="8714" max="8715" width="5.42578125" style="28" customWidth="1"/>
    <col min="8716" max="8719" width="6.140625" style="28" customWidth="1"/>
    <col min="8720" max="8723" width="6.42578125" style="28" customWidth="1"/>
    <col min="8724" max="8724" width="1.28515625" style="28" customWidth="1"/>
    <col min="8725" max="8727" width="11.42578125" style="28"/>
    <col min="8728" max="8728" width="6.140625" style="28" customWidth="1"/>
    <col min="8729" max="8731" width="6.7109375" style="28" customWidth="1"/>
    <col min="8732" max="8732" width="6.140625" style="28" customWidth="1"/>
    <col min="8733" max="8733" width="6" style="28" customWidth="1"/>
    <col min="8734" max="8741" width="11.42578125" style="28"/>
    <col min="8742" max="8742" width="6.5703125" style="28" customWidth="1"/>
    <col min="8743" max="8743" width="9.140625" style="28" customWidth="1"/>
    <col min="8744" max="8744" width="8.5703125" style="28" customWidth="1"/>
    <col min="8745" max="8960" width="11.42578125" style="28"/>
    <col min="8961" max="8961" width="6.42578125" style="28" customWidth="1"/>
    <col min="8962" max="8962" width="3.42578125" style="28" customWidth="1"/>
    <col min="8963" max="8968" width="3" style="28" customWidth="1"/>
    <col min="8969" max="8969" width="5.28515625" style="28" customWidth="1"/>
    <col min="8970" max="8971" width="5.42578125" style="28" customWidth="1"/>
    <col min="8972" max="8975" width="6.140625" style="28" customWidth="1"/>
    <col min="8976" max="8979" width="6.42578125" style="28" customWidth="1"/>
    <col min="8980" max="8980" width="1.28515625" style="28" customWidth="1"/>
    <col min="8981" max="8983" width="11.42578125" style="28"/>
    <col min="8984" max="8984" width="6.140625" style="28" customWidth="1"/>
    <col min="8985" max="8987" width="6.7109375" style="28" customWidth="1"/>
    <col min="8988" max="8988" width="6.140625" style="28" customWidth="1"/>
    <col min="8989" max="8989" width="6" style="28" customWidth="1"/>
    <col min="8990" max="8997" width="11.42578125" style="28"/>
    <col min="8998" max="8998" width="6.5703125" style="28" customWidth="1"/>
    <col min="8999" max="8999" width="9.140625" style="28" customWidth="1"/>
    <col min="9000" max="9000" width="8.5703125" style="28" customWidth="1"/>
    <col min="9001" max="9216" width="11.42578125" style="28"/>
    <col min="9217" max="9217" width="6.42578125" style="28" customWidth="1"/>
    <col min="9218" max="9218" width="3.42578125" style="28" customWidth="1"/>
    <col min="9219" max="9224" width="3" style="28" customWidth="1"/>
    <col min="9225" max="9225" width="5.28515625" style="28" customWidth="1"/>
    <col min="9226" max="9227" width="5.42578125" style="28" customWidth="1"/>
    <col min="9228" max="9231" width="6.140625" style="28" customWidth="1"/>
    <col min="9232" max="9235" width="6.42578125" style="28" customWidth="1"/>
    <col min="9236" max="9236" width="1.28515625" style="28" customWidth="1"/>
    <col min="9237" max="9239" width="11.42578125" style="28"/>
    <col min="9240" max="9240" width="6.140625" style="28" customWidth="1"/>
    <col min="9241" max="9243" width="6.7109375" style="28" customWidth="1"/>
    <col min="9244" max="9244" width="6.140625" style="28" customWidth="1"/>
    <col min="9245" max="9245" width="6" style="28" customWidth="1"/>
    <col min="9246" max="9253" width="11.42578125" style="28"/>
    <col min="9254" max="9254" width="6.5703125" style="28" customWidth="1"/>
    <col min="9255" max="9255" width="9.140625" style="28" customWidth="1"/>
    <col min="9256" max="9256" width="8.5703125" style="28" customWidth="1"/>
    <col min="9257" max="9472" width="11.42578125" style="28"/>
    <col min="9473" max="9473" width="6.42578125" style="28" customWidth="1"/>
    <col min="9474" max="9474" width="3.42578125" style="28" customWidth="1"/>
    <col min="9475" max="9480" width="3" style="28" customWidth="1"/>
    <col min="9481" max="9481" width="5.28515625" style="28" customWidth="1"/>
    <col min="9482" max="9483" width="5.42578125" style="28" customWidth="1"/>
    <col min="9484" max="9487" width="6.140625" style="28" customWidth="1"/>
    <col min="9488" max="9491" width="6.42578125" style="28" customWidth="1"/>
    <col min="9492" max="9492" width="1.28515625" style="28" customWidth="1"/>
    <col min="9493" max="9495" width="11.42578125" style="28"/>
    <col min="9496" max="9496" width="6.140625" style="28" customWidth="1"/>
    <col min="9497" max="9499" width="6.7109375" style="28" customWidth="1"/>
    <col min="9500" max="9500" width="6.140625" style="28" customWidth="1"/>
    <col min="9501" max="9501" width="6" style="28" customWidth="1"/>
    <col min="9502" max="9509" width="11.42578125" style="28"/>
    <col min="9510" max="9510" width="6.5703125" style="28" customWidth="1"/>
    <col min="9511" max="9511" width="9.140625" style="28" customWidth="1"/>
    <col min="9512" max="9512" width="8.5703125" style="28" customWidth="1"/>
    <col min="9513" max="9728" width="11.42578125" style="28"/>
    <col min="9729" max="9729" width="6.42578125" style="28" customWidth="1"/>
    <col min="9730" max="9730" width="3.42578125" style="28" customWidth="1"/>
    <col min="9731" max="9736" width="3" style="28" customWidth="1"/>
    <col min="9737" max="9737" width="5.28515625" style="28" customWidth="1"/>
    <col min="9738" max="9739" width="5.42578125" style="28" customWidth="1"/>
    <col min="9740" max="9743" width="6.140625" style="28" customWidth="1"/>
    <col min="9744" max="9747" width="6.42578125" style="28" customWidth="1"/>
    <col min="9748" max="9748" width="1.28515625" style="28" customWidth="1"/>
    <col min="9749" max="9751" width="11.42578125" style="28"/>
    <col min="9752" max="9752" width="6.140625" style="28" customWidth="1"/>
    <col min="9753" max="9755" width="6.7109375" style="28" customWidth="1"/>
    <col min="9756" max="9756" width="6.140625" style="28" customWidth="1"/>
    <col min="9757" max="9757" width="6" style="28" customWidth="1"/>
    <col min="9758" max="9765" width="11.42578125" style="28"/>
    <col min="9766" max="9766" width="6.5703125" style="28" customWidth="1"/>
    <col min="9767" max="9767" width="9.140625" style="28" customWidth="1"/>
    <col min="9768" max="9768" width="8.5703125" style="28" customWidth="1"/>
    <col min="9769" max="9984" width="11.42578125" style="28"/>
    <col min="9985" max="9985" width="6.42578125" style="28" customWidth="1"/>
    <col min="9986" max="9986" width="3.42578125" style="28" customWidth="1"/>
    <col min="9987" max="9992" width="3" style="28" customWidth="1"/>
    <col min="9993" max="9993" width="5.28515625" style="28" customWidth="1"/>
    <col min="9994" max="9995" width="5.42578125" style="28" customWidth="1"/>
    <col min="9996" max="9999" width="6.140625" style="28" customWidth="1"/>
    <col min="10000" max="10003" width="6.42578125" style="28" customWidth="1"/>
    <col min="10004" max="10004" width="1.28515625" style="28" customWidth="1"/>
    <col min="10005" max="10007" width="11.42578125" style="28"/>
    <col min="10008" max="10008" width="6.140625" style="28" customWidth="1"/>
    <col min="10009" max="10011" width="6.7109375" style="28" customWidth="1"/>
    <col min="10012" max="10012" width="6.140625" style="28" customWidth="1"/>
    <col min="10013" max="10013" width="6" style="28" customWidth="1"/>
    <col min="10014" max="10021" width="11.42578125" style="28"/>
    <col min="10022" max="10022" width="6.5703125" style="28" customWidth="1"/>
    <col min="10023" max="10023" width="9.140625" style="28" customWidth="1"/>
    <col min="10024" max="10024" width="8.5703125" style="28" customWidth="1"/>
    <col min="10025" max="10240" width="11.42578125" style="28"/>
    <col min="10241" max="10241" width="6.42578125" style="28" customWidth="1"/>
    <col min="10242" max="10242" width="3.42578125" style="28" customWidth="1"/>
    <col min="10243" max="10248" width="3" style="28" customWidth="1"/>
    <col min="10249" max="10249" width="5.28515625" style="28" customWidth="1"/>
    <col min="10250" max="10251" width="5.42578125" style="28" customWidth="1"/>
    <col min="10252" max="10255" width="6.140625" style="28" customWidth="1"/>
    <col min="10256" max="10259" width="6.42578125" style="28" customWidth="1"/>
    <col min="10260" max="10260" width="1.28515625" style="28" customWidth="1"/>
    <col min="10261" max="10263" width="11.42578125" style="28"/>
    <col min="10264" max="10264" width="6.140625" style="28" customWidth="1"/>
    <col min="10265" max="10267" width="6.7109375" style="28" customWidth="1"/>
    <col min="10268" max="10268" width="6.140625" style="28" customWidth="1"/>
    <col min="10269" max="10269" width="6" style="28" customWidth="1"/>
    <col min="10270" max="10277" width="11.42578125" style="28"/>
    <col min="10278" max="10278" width="6.5703125" style="28" customWidth="1"/>
    <col min="10279" max="10279" width="9.140625" style="28" customWidth="1"/>
    <col min="10280" max="10280" width="8.5703125" style="28" customWidth="1"/>
    <col min="10281" max="10496" width="11.42578125" style="28"/>
    <col min="10497" max="10497" width="6.42578125" style="28" customWidth="1"/>
    <col min="10498" max="10498" width="3.42578125" style="28" customWidth="1"/>
    <col min="10499" max="10504" width="3" style="28" customWidth="1"/>
    <col min="10505" max="10505" width="5.28515625" style="28" customWidth="1"/>
    <col min="10506" max="10507" width="5.42578125" style="28" customWidth="1"/>
    <col min="10508" max="10511" width="6.140625" style="28" customWidth="1"/>
    <col min="10512" max="10515" width="6.42578125" style="28" customWidth="1"/>
    <col min="10516" max="10516" width="1.28515625" style="28" customWidth="1"/>
    <col min="10517" max="10519" width="11.42578125" style="28"/>
    <col min="10520" max="10520" width="6.140625" style="28" customWidth="1"/>
    <col min="10521" max="10523" width="6.7109375" style="28" customWidth="1"/>
    <col min="10524" max="10524" width="6.140625" style="28" customWidth="1"/>
    <col min="10525" max="10525" width="6" style="28" customWidth="1"/>
    <col min="10526" max="10533" width="11.42578125" style="28"/>
    <col min="10534" max="10534" width="6.5703125" style="28" customWidth="1"/>
    <col min="10535" max="10535" width="9.140625" style="28" customWidth="1"/>
    <col min="10536" max="10536" width="8.5703125" style="28" customWidth="1"/>
    <col min="10537" max="10752" width="11.42578125" style="28"/>
    <col min="10753" max="10753" width="6.42578125" style="28" customWidth="1"/>
    <col min="10754" max="10754" width="3.42578125" style="28" customWidth="1"/>
    <col min="10755" max="10760" width="3" style="28" customWidth="1"/>
    <col min="10761" max="10761" width="5.28515625" style="28" customWidth="1"/>
    <col min="10762" max="10763" width="5.42578125" style="28" customWidth="1"/>
    <col min="10764" max="10767" width="6.140625" style="28" customWidth="1"/>
    <col min="10768" max="10771" width="6.42578125" style="28" customWidth="1"/>
    <col min="10772" max="10772" width="1.28515625" style="28" customWidth="1"/>
    <col min="10773" max="10775" width="11.42578125" style="28"/>
    <col min="10776" max="10776" width="6.140625" style="28" customWidth="1"/>
    <col min="10777" max="10779" width="6.7109375" style="28" customWidth="1"/>
    <col min="10780" max="10780" width="6.140625" style="28" customWidth="1"/>
    <col min="10781" max="10781" width="6" style="28" customWidth="1"/>
    <col min="10782" max="10789" width="11.42578125" style="28"/>
    <col min="10790" max="10790" width="6.5703125" style="28" customWidth="1"/>
    <col min="10791" max="10791" width="9.140625" style="28" customWidth="1"/>
    <col min="10792" max="10792" width="8.5703125" style="28" customWidth="1"/>
    <col min="10793" max="11008" width="11.42578125" style="28"/>
    <col min="11009" max="11009" width="6.42578125" style="28" customWidth="1"/>
    <col min="11010" max="11010" width="3.42578125" style="28" customWidth="1"/>
    <col min="11011" max="11016" width="3" style="28" customWidth="1"/>
    <col min="11017" max="11017" width="5.28515625" style="28" customWidth="1"/>
    <col min="11018" max="11019" width="5.42578125" style="28" customWidth="1"/>
    <col min="11020" max="11023" width="6.140625" style="28" customWidth="1"/>
    <col min="11024" max="11027" width="6.42578125" style="28" customWidth="1"/>
    <col min="11028" max="11028" width="1.28515625" style="28" customWidth="1"/>
    <col min="11029" max="11031" width="11.42578125" style="28"/>
    <col min="11032" max="11032" width="6.140625" style="28" customWidth="1"/>
    <col min="11033" max="11035" width="6.7109375" style="28" customWidth="1"/>
    <col min="11036" max="11036" width="6.140625" style="28" customWidth="1"/>
    <col min="11037" max="11037" width="6" style="28" customWidth="1"/>
    <col min="11038" max="11045" width="11.42578125" style="28"/>
    <col min="11046" max="11046" width="6.5703125" style="28" customWidth="1"/>
    <col min="11047" max="11047" width="9.140625" style="28" customWidth="1"/>
    <col min="11048" max="11048" width="8.5703125" style="28" customWidth="1"/>
    <col min="11049" max="11264" width="11.42578125" style="28"/>
    <col min="11265" max="11265" width="6.42578125" style="28" customWidth="1"/>
    <col min="11266" max="11266" width="3.42578125" style="28" customWidth="1"/>
    <col min="11267" max="11272" width="3" style="28" customWidth="1"/>
    <col min="11273" max="11273" width="5.28515625" style="28" customWidth="1"/>
    <col min="11274" max="11275" width="5.42578125" style="28" customWidth="1"/>
    <col min="11276" max="11279" width="6.140625" style="28" customWidth="1"/>
    <col min="11280" max="11283" width="6.42578125" style="28" customWidth="1"/>
    <col min="11284" max="11284" width="1.28515625" style="28" customWidth="1"/>
    <col min="11285" max="11287" width="11.42578125" style="28"/>
    <col min="11288" max="11288" width="6.140625" style="28" customWidth="1"/>
    <col min="11289" max="11291" width="6.7109375" style="28" customWidth="1"/>
    <col min="11292" max="11292" width="6.140625" style="28" customWidth="1"/>
    <col min="11293" max="11293" width="6" style="28" customWidth="1"/>
    <col min="11294" max="11301" width="11.42578125" style="28"/>
    <col min="11302" max="11302" width="6.5703125" style="28" customWidth="1"/>
    <col min="11303" max="11303" width="9.140625" style="28" customWidth="1"/>
    <col min="11304" max="11304" width="8.5703125" style="28" customWidth="1"/>
    <col min="11305" max="11520" width="11.42578125" style="28"/>
    <col min="11521" max="11521" width="6.42578125" style="28" customWidth="1"/>
    <col min="11522" max="11522" width="3.42578125" style="28" customWidth="1"/>
    <col min="11523" max="11528" width="3" style="28" customWidth="1"/>
    <col min="11529" max="11529" width="5.28515625" style="28" customWidth="1"/>
    <col min="11530" max="11531" width="5.42578125" style="28" customWidth="1"/>
    <col min="11532" max="11535" width="6.140625" style="28" customWidth="1"/>
    <col min="11536" max="11539" width="6.42578125" style="28" customWidth="1"/>
    <col min="11540" max="11540" width="1.28515625" style="28" customWidth="1"/>
    <col min="11541" max="11543" width="11.42578125" style="28"/>
    <col min="11544" max="11544" width="6.140625" style="28" customWidth="1"/>
    <col min="11545" max="11547" width="6.7109375" style="28" customWidth="1"/>
    <col min="11548" max="11548" width="6.140625" style="28" customWidth="1"/>
    <col min="11549" max="11549" width="6" style="28" customWidth="1"/>
    <col min="11550" max="11557" width="11.42578125" style="28"/>
    <col min="11558" max="11558" width="6.5703125" style="28" customWidth="1"/>
    <col min="11559" max="11559" width="9.140625" style="28" customWidth="1"/>
    <col min="11560" max="11560" width="8.5703125" style="28" customWidth="1"/>
    <col min="11561" max="11776" width="11.42578125" style="28"/>
    <col min="11777" max="11777" width="6.42578125" style="28" customWidth="1"/>
    <col min="11778" max="11778" width="3.42578125" style="28" customWidth="1"/>
    <col min="11779" max="11784" width="3" style="28" customWidth="1"/>
    <col min="11785" max="11785" width="5.28515625" style="28" customWidth="1"/>
    <col min="11786" max="11787" width="5.42578125" style="28" customWidth="1"/>
    <col min="11788" max="11791" width="6.140625" style="28" customWidth="1"/>
    <col min="11792" max="11795" width="6.42578125" style="28" customWidth="1"/>
    <col min="11796" max="11796" width="1.28515625" style="28" customWidth="1"/>
    <col min="11797" max="11799" width="11.42578125" style="28"/>
    <col min="11800" max="11800" width="6.140625" style="28" customWidth="1"/>
    <col min="11801" max="11803" width="6.7109375" style="28" customWidth="1"/>
    <col min="11804" max="11804" width="6.140625" style="28" customWidth="1"/>
    <col min="11805" max="11805" width="6" style="28" customWidth="1"/>
    <col min="11806" max="11813" width="11.42578125" style="28"/>
    <col min="11814" max="11814" width="6.5703125" style="28" customWidth="1"/>
    <col min="11815" max="11815" width="9.140625" style="28" customWidth="1"/>
    <col min="11816" max="11816" width="8.5703125" style="28" customWidth="1"/>
    <col min="11817" max="12032" width="11.42578125" style="28"/>
    <col min="12033" max="12033" width="6.42578125" style="28" customWidth="1"/>
    <col min="12034" max="12034" width="3.42578125" style="28" customWidth="1"/>
    <col min="12035" max="12040" width="3" style="28" customWidth="1"/>
    <col min="12041" max="12041" width="5.28515625" style="28" customWidth="1"/>
    <col min="12042" max="12043" width="5.42578125" style="28" customWidth="1"/>
    <col min="12044" max="12047" width="6.140625" style="28" customWidth="1"/>
    <col min="12048" max="12051" width="6.42578125" style="28" customWidth="1"/>
    <col min="12052" max="12052" width="1.28515625" style="28" customWidth="1"/>
    <col min="12053" max="12055" width="11.42578125" style="28"/>
    <col min="12056" max="12056" width="6.140625" style="28" customWidth="1"/>
    <col min="12057" max="12059" width="6.7109375" style="28" customWidth="1"/>
    <col min="12060" max="12060" width="6.140625" style="28" customWidth="1"/>
    <col min="12061" max="12061" width="6" style="28" customWidth="1"/>
    <col min="12062" max="12069" width="11.42578125" style="28"/>
    <col min="12070" max="12070" width="6.5703125" style="28" customWidth="1"/>
    <col min="12071" max="12071" width="9.140625" style="28" customWidth="1"/>
    <col min="12072" max="12072" width="8.5703125" style="28" customWidth="1"/>
    <col min="12073" max="12288" width="11.42578125" style="28"/>
    <col min="12289" max="12289" width="6.42578125" style="28" customWidth="1"/>
    <col min="12290" max="12290" width="3.42578125" style="28" customWidth="1"/>
    <col min="12291" max="12296" width="3" style="28" customWidth="1"/>
    <col min="12297" max="12297" width="5.28515625" style="28" customWidth="1"/>
    <col min="12298" max="12299" width="5.42578125" style="28" customWidth="1"/>
    <col min="12300" max="12303" width="6.140625" style="28" customWidth="1"/>
    <col min="12304" max="12307" width="6.42578125" style="28" customWidth="1"/>
    <col min="12308" max="12308" width="1.28515625" style="28" customWidth="1"/>
    <col min="12309" max="12311" width="11.42578125" style="28"/>
    <col min="12312" max="12312" width="6.140625" style="28" customWidth="1"/>
    <col min="12313" max="12315" width="6.7109375" style="28" customWidth="1"/>
    <col min="12316" max="12316" width="6.140625" style="28" customWidth="1"/>
    <col min="12317" max="12317" width="6" style="28" customWidth="1"/>
    <col min="12318" max="12325" width="11.42578125" style="28"/>
    <col min="12326" max="12326" width="6.5703125" style="28" customWidth="1"/>
    <col min="12327" max="12327" width="9.140625" style="28" customWidth="1"/>
    <col min="12328" max="12328" width="8.5703125" style="28" customWidth="1"/>
    <col min="12329" max="12544" width="11.42578125" style="28"/>
    <col min="12545" max="12545" width="6.42578125" style="28" customWidth="1"/>
    <col min="12546" max="12546" width="3.42578125" style="28" customWidth="1"/>
    <col min="12547" max="12552" width="3" style="28" customWidth="1"/>
    <col min="12553" max="12553" width="5.28515625" style="28" customWidth="1"/>
    <col min="12554" max="12555" width="5.42578125" style="28" customWidth="1"/>
    <col min="12556" max="12559" width="6.140625" style="28" customWidth="1"/>
    <col min="12560" max="12563" width="6.42578125" style="28" customWidth="1"/>
    <col min="12564" max="12564" width="1.28515625" style="28" customWidth="1"/>
    <col min="12565" max="12567" width="11.42578125" style="28"/>
    <col min="12568" max="12568" width="6.140625" style="28" customWidth="1"/>
    <col min="12569" max="12571" width="6.7109375" style="28" customWidth="1"/>
    <col min="12572" max="12572" width="6.140625" style="28" customWidth="1"/>
    <col min="12573" max="12573" width="6" style="28" customWidth="1"/>
    <col min="12574" max="12581" width="11.42578125" style="28"/>
    <col min="12582" max="12582" width="6.5703125" style="28" customWidth="1"/>
    <col min="12583" max="12583" width="9.140625" style="28" customWidth="1"/>
    <col min="12584" max="12584" width="8.5703125" style="28" customWidth="1"/>
    <col min="12585" max="12800" width="11.42578125" style="28"/>
    <col min="12801" max="12801" width="6.42578125" style="28" customWidth="1"/>
    <col min="12802" max="12802" width="3.42578125" style="28" customWidth="1"/>
    <col min="12803" max="12808" width="3" style="28" customWidth="1"/>
    <col min="12809" max="12809" width="5.28515625" style="28" customWidth="1"/>
    <col min="12810" max="12811" width="5.42578125" style="28" customWidth="1"/>
    <col min="12812" max="12815" width="6.140625" style="28" customWidth="1"/>
    <col min="12816" max="12819" width="6.42578125" style="28" customWidth="1"/>
    <col min="12820" max="12820" width="1.28515625" style="28" customWidth="1"/>
    <col min="12821" max="12823" width="11.42578125" style="28"/>
    <col min="12824" max="12824" width="6.140625" style="28" customWidth="1"/>
    <col min="12825" max="12827" width="6.7109375" style="28" customWidth="1"/>
    <col min="12828" max="12828" width="6.140625" style="28" customWidth="1"/>
    <col min="12829" max="12829" width="6" style="28" customWidth="1"/>
    <col min="12830" max="12837" width="11.42578125" style="28"/>
    <col min="12838" max="12838" width="6.5703125" style="28" customWidth="1"/>
    <col min="12839" max="12839" width="9.140625" style="28" customWidth="1"/>
    <col min="12840" max="12840" width="8.5703125" style="28" customWidth="1"/>
    <col min="12841" max="13056" width="11.42578125" style="28"/>
    <col min="13057" max="13057" width="6.42578125" style="28" customWidth="1"/>
    <col min="13058" max="13058" width="3.42578125" style="28" customWidth="1"/>
    <col min="13059" max="13064" width="3" style="28" customWidth="1"/>
    <col min="13065" max="13065" width="5.28515625" style="28" customWidth="1"/>
    <col min="13066" max="13067" width="5.42578125" style="28" customWidth="1"/>
    <col min="13068" max="13071" width="6.140625" style="28" customWidth="1"/>
    <col min="13072" max="13075" width="6.42578125" style="28" customWidth="1"/>
    <col min="13076" max="13076" width="1.28515625" style="28" customWidth="1"/>
    <col min="13077" max="13079" width="11.42578125" style="28"/>
    <col min="13080" max="13080" width="6.140625" style="28" customWidth="1"/>
    <col min="13081" max="13083" width="6.7109375" style="28" customWidth="1"/>
    <col min="13084" max="13084" width="6.140625" style="28" customWidth="1"/>
    <col min="13085" max="13085" width="6" style="28" customWidth="1"/>
    <col min="13086" max="13093" width="11.42578125" style="28"/>
    <col min="13094" max="13094" width="6.5703125" style="28" customWidth="1"/>
    <col min="13095" max="13095" width="9.140625" style="28" customWidth="1"/>
    <col min="13096" max="13096" width="8.5703125" style="28" customWidth="1"/>
    <col min="13097" max="13312" width="11.42578125" style="28"/>
    <col min="13313" max="13313" width="6.42578125" style="28" customWidth="1"/>
    <col min="13314" max="13314" width="3.42578125" style="28" customWidth="1"/>
    <col min="13315" max="13320" width="3" style="28" customWidth="1"/>
    <col min="13321" max="13321" width="5.28515625" style="28" customWidth="1"/>
    <col min="13322" max="13323" width="5.42578125" style="28" customWidth="1"/>
    <col min="13324" max="13327" width="6.140625" style="28" customWidth="1"/>
    <col min="13328" max="13331" width="6.42578125" style="28" customWidth="1"/>
    <col min="13332" max="13332" width="1.28515625" style="28" customWidth="1"/>
    <col min="13333" max="13335" width="11.42578125" style="28"/>
    <col min="13336" max="13336" width="6.140625" style="28" customWidth="1"/>
    <col min="13337" max="13339" width="6.7109375" style="28" customWidth="1"/>
    <col min="13340" max="13340" width="6.140625" style="28" customWidth="1"/>
    <col min="13341" max="13341" width="6" style="28" customWidth="1"/>
    <col min="13342" max="13349" width="11.42578125" style="28"/>
    <col min="13350" max="13350" width="6.5703125" style="28" customWidth="1"/>
    <col min="13351" max="13351" width="9.140625" style="28" customWidth="1"/>
    <col min="13352" max="13352" width="8.5703125" style="28" customWidth="1"/>
    <col min="13353" max="13568" width="11.42578125" style="28"/>
    <col min="13569" max="13569" width="6.42578125" style="28" customWidth="1"/>
    <col min="13570" max="13570" width="3.42578125" style="28" customWidth="1"/>
    <col min="13571" max="13576" width="3" style="28" customWidth="1"/>
    <col min="13577" max="13577" width="5.28515625" style="28" customWidth="1"/>
    <col min="13578" max="13579" width="5.42578125" style="28" customWidth="1"/>
    <col min="13580" max="13583" width="6.140625" style="28" customWidth="1"/>
    <col min="13584" max="13587" width="6.42578125" style="28" customWidth="1"/>
    <col min="13588" max="13588" width="1.28515625" style="28" customWidth="1"/>
    <col min="13589" max="13591" width="11.42578125" style="28"/>
    <col min="13592" max="13592" width="6.140625" style="28" customWidth="1"/>
    <col min="13593" max="13595" width="6.7109375" style="28" customWidth="1"/>
    <col min="13596" max="13596" width="6.140625" style="28" customWidth="1"/>
    <col min="13597" max="13597" width="6" style="28" customWidth="1"/>
    <col min="13598" max="13605" width="11.42578125" style="28"/>
    <col min="13606" max="13606" width="6.5703125" style="28" customWidth="1"/>
    <col min="13607" max="13607" width="9.140625" style="28" customWidth="1"/>
    <col min="13608" max="13608" width="8.5703125" style="28" customWidth="1"/>
    <col min="13609" max="13824" width="11.42578125" style="28"/>
    <col min="13825" max="13825" width="6.42578125" style="28" customWidth="1"/>
    <col min="13826" max="13826" width="3.42578125" style="28" customWidth="1"/>
    <col min="13827" max="13832" width="3" style="28" customWidth="1"/>
    <col min="13833" max="13833" width="5.28515625" style="28" customWidth="1"/>
    <col min="13834" max="13835" width="5.42578125" style="28" customWidth="1"/>
    <col min="13836" max="13839" width="6.140625" style="28" customWidth="1"/>
    <col min="13840" max="13843" width="6.42578125" style="28" customWidth="1"/>
    <col min="13844" max="13844" width="1.28515625" style="28" customWidth="1"/>
    <col min="13845" max="13847" width="11.42578125" style="28"/>
    <col min="13848" max="13848" width="6.140625" style="28" customWidth="1"/>
    <col min="13849" max="13851" width="6.7109375" style="28" customWidth="1"/>
    <col min="13852" max="13852" width="6.140625" style="28" customWidth="1"/>
    <col min="13853" max="13853" width="6" style="28" customWidth="1"/>
    <col min="13854" max="13861" width="11.42578125" style="28"/>
    <col min="13862" max="13862" width="6.5703125" style="28" customWidth="1"/>
    <col min="13863" max="13863" width="9.140625" style="28" customWidth="1"/>
    <col min="13864" max="13864" width="8.5703125" style="28" customWidth="1"/>
    <col min="13865" max="14080" width="11.42578125" style="28"/>
    <col min="14081" max="14081" width="6.42578125" style="28" customWidth="1"/>
    <col min="14082" max="14082" width="3.42578125" style="28" customWidth="1"/>
    <col min="14083" max="14088" width="3" style="28" customWidth="1"/>
    <col min="14089" max="14089" width="5.28515625" style="28" customWidth="1"/>
    <col min="14090" max="14091" width="5.42578125" style="28" customWidth="1"/>
    <col min="14092" max="14095" width="6.140625" style="28" customWidth="1"/>
    <col min="14096" max="14099" width="6.42578125" style="28" customWidth="1"/>
    <col min="14100" max="14100" width="1.28515625" style="28" customWidth="1"/>
    <col min="14101" max="14103" width="11.42578125" style="28"/>
    <col min="14104" max="14104" width="6.140625" style="28" customWidth="1"/>
    <col min="14105" max="14107" width="6.7109375" style="28" customWidth="1"/>
    <col min="14108" max="14108" width="6.140625" style="28" customWidth="1"/>
    <col min="14109" max="14109" width="6" style="28" customWidth="1"/>
    <col min="14110" max="14117" width="11.42578125" style="28"/>
    <col min="14118" max="14118" width="6.5703125" style="28" customWidth="1"/>
    <col min="14119" max="14119" width="9.140625" style="28" customWidth="1"/>
    <col min="14120" max="14120" width="8.5703125" style="28" customWidth="1"/>
    <col min="14121" max="14336" width="11.42578125" style="28"/>
    <col min="14337" max="14337" width="6.42578125" style="28" customWidth="1"/>
    <col min="14338" max="14338" width="3.42578125" style="28" customWidth="1"/>
    <col min="14339" max="14344" width="3" style="28" customWidth="1"/>
    <col min="14345" max="14345" width="5.28515625" style="28" customWidth="1"/>
    <col min="14346" max="14347" width="5.42578125" style="28" customWidth="1"/>
    <col min="14348" max="14351" width="6.140625" style="28" customWidth="1"/>
    <col min="14352" max="14355" width="6.42578125" style="28" customWidth="1"/>
    <col min="14356" max="14356" width="1.28515625" style="28" customWidth="1"/>
    <col min="14357" max="14359" width="11.42578125" style="28"/>
    <col min="14360" max="14360" width="6.140625" style="28" customWidth="1"/>
    <col min="14361" max="14363" width="6.7109375" style="28" customWidth="1"/>
    <col min="14364" max="14364" width="6.140625" style="28" customWidth="1"/>
    <col min="14365" max="14365" width="6" style="28" customWidth="1"/>
    <col min="14366" max="14373" width="11.42578125" style="28"/>
    <col min="14374" max="14374" width="6.5703125" style="28" customWidth="1"/>
    <col min="14375" max="14375" width="9.140625" style="28" customWidth="1"/>
    <col min="14376" max="14376" width="8.5703125" style="28" customWidth="1"/>
    <col min="14377" max="14592" width="11.42578125" style="28"/>
    <col min="14593" max="14593" width="6.42578125" style="28" customWidth="1"/>
    <col min="14594" max="14594" width="3.42578125" style="28" customWidth="1"/>
    <col min="14595" max="14600" width="3" style="28" customWidth="1"/>
    <col min="14601" max="14601" width="5.28515625" style="28" customWidth="1"/>
    <col min="14602" max="14603" width="5.42578125" style="28" customWidth="1"/>
    <col min="14604" max="14607" width="6.140625" style="28" customWidth="1"/>
    <col min="14608" max="14611" width="6.42578125" style="28" customWidth="1"/>
    <col min="14612" max="14612" width="1.28515625" style="28" customWidth="1"/>
    <col min="14613" max="14615" width="11.42578125" style="28"/>
    <col min="14616" max="14616" width="6.140625" style="28" customWidth="1"/>
    <col min="14617" max="14619" width="6.7109375" style="28" customWidth="1"/>
    <col min="14620" max="14620" width="6.140625" style="28" customWidth="1"/>
    <col min="14621" max="14621" width="6" style="28" customWidth="1"/>
    <col min="14622" max="14629" width="11.42578125" style="28"/>
    <col min="14630" max="14630" width="6.5703125" style="28" customWidth="1"/>
    <col min="14631" max="14631" width="9.140625" style="28" customWidth="1"/>
    <col min="14632" max="14632" width="8.5703125" style="28" customWidth="1"/>
    <col min="14633" max="14848" width="11.42578125" style="28"/>
    <col min="14849" max="14849" width="6.42578125" style="28" customWidth="1"/>
    <col min="14850" max="14850" width="3.42578125" style="28" customWidth="1"/>
    <col min="14851" max="14856" width="3" style="28" customWidth="1"/>
    <col min="14857" max="14857" width="5.28515625" style="28" customWidth="1"/>
    <col min="14858" max="14859" width="5.42578125" style="28" customWidth="1"/>
    <col min="14860" max="14863" width="6.140625" style="28" customWidth="1"/>
    <col min="14864" max="14867" width="6.42578125" style="28" customWidth="1"/>
    <col min="14868" max="14868" width="1.28515625" style="28" customWidth="1"/>
    <col min="14869" max="14871" width="11.42578125" style="28"/>
    <col min="14872" max="14872" width="6.140625" style="28" customWidth="1"/>
    <col min="14873" max="14875" width="6.7109375" style="28" customWidth="1"/>
    <col min="14876" max="14876" width="6.140625" style="28" customWidth="1"/>
    <col min="14877" max="14877" width="6" style="28" customWidth="1"/>
    <col min="14878" max="14885" width="11.42578125" style="28"/>
    <col min="14886" max="14886" width="6.5703125" style="28" customWidth="1"/>
    <col min="14887" max="14887" width="9.140625" style="28" customWidth="1"/>
    <col min="14888" max="14888" width="8.5703125" style="28" customWidth="1"/>
    <col min="14889" max="15104" width="11.42578125" style="28"/>
    <col min="15105" max="15105" width="6.42578125" style="28" customWidth="1"/>
    <col min="15106" max="15106" width="3.42578125" style="28" customWidth="1"/>
    <col min="15107" max="15112" width="3" style="28" customWidth="1"/>
    <col min="15113" max="15113" width="5.28515625" style="28" customWidth="1"/>
    <col min="15114" max="15115" width="5.42578125" style="28" customWidth="1"/>
    <col min="15116" max="15119" width="6.140625" style="28" customWidth="1"/>
    <col min="15120" max="15123" width="6.42578125" style="28" customWidth="1"/>
    <col min="15124" max="15124" width="1.28515625" style="28" customWidth="1"/>
    <col min="15125" max="15127" width="11.42578125" style="28"/>
    <col min="15128" max="15128" width="6.140625" style="28" customWidth="1"/>
    <col min="15129" max="15131" width="6.7109375" style="28" customWidth="1"/>
    <col min="15132" max="15132" width="6.140625" style="28" customWidth="1"/>
    <col min="15133" max="15133" width="6" style="28" customWidth="1"/>
    <col min="15134" max="15141" width="11.42578125" style="28"/>
    <col min="15142" max="15142" width="6.5703125" style="28" customWidth="1"/>
    <col min="15143" max="15143" width="9.140625" style="28" customWidth="1"/>
    <col min="15144" max="15144" width="8.5703125" style="28" customWidth="1"/>
    <col min="15145" max="15360" width="11.42578125" style="28"/>
    <col min="15361" max="15361" width="6.42578125" style="28" customWidth="1"/>
    <col min="15362" max="15362" width="3.42578125" style="28" customWidth="1"/>
    <col min="15363" max="15368" width="3" style="28" customWidth="1"/>
    <col min="15369" max="15369" width="5.28515625" style="28" customWidth="1"/>
    <col min="15370" max="15371" width="5.42578125" style="28" customWidth="1"/>
    <col min="15372" max="15375" width="6.140625" style="28" customWidth="1"/>
    <col min="15376" max="15379" width="6.42578125" style="28" customWidth="1"/>
    <col min="15380" max="15380" width="1.28515625" style="28" customWidth="1"/>
    <col min="15381" max="15383" width="11.42578125" style="28"/>
    <col min="15384" max="15384" width="6.140625" style="28" customWidth="1"/>
    <col min="15385" max="15387" width="6.7109375" style="28" customWidth="1"/>
    <col min="15388" max="15388" width="6.140625" style="28" customWidth="1"/>
    <col min="15389" max="15389" width="6" style="28" customWidth="1"/>
    <col min="15390" max="15397" width="11.42578125" style="28"/>
    <col min="15398" max="15398" width="6.5703125" style="28" customWidth="1"/>
    <col min="15399" max="15399" width="9.140625" style="28" customWidth="1"/>
    <col min="15400" max="15400" width="8.5703125" style="28" customWidth="1"/>
    <col min="15401" max="15616" width="11.42578125" style="28"/>
    <col min="15617" max="15617" width="6.42578125" style="28" customWidth="1"/>
    <col min="15618" max="15618" width="3.42578125" style="28" customWidth="1"/>
    <col min="15619" max="15624" width="3" style="28" customWidth="1"/>
    <col min="15625" max="15625" width="5.28515625" style="28" customWidth="1"/>
    <col min="15626" max="15627" width="5.42578125" style="28" customWidth="1"/>
    <col min="15628" max="15631" width="6.140625" style="28" customWidth="1"/>
    <col min="15632" max="15635" width="6.42578125" style="28" customWidth="1"/>
    <col min="15636" max="15636" width="1.28515625" style="28" customWidth="1"/>
    <col min="15637" max="15639" width="11.42578125" style="28"/>
    <col min="15640" max="15640" width="6.140625" style="28" customWidth="1"/>
    <col min="15641" max="15643" width="6.7109375" style="28" customWidth="1"/>
    <col min="15644" max="15644" width="6.140625" style="28" customWidth="1"/>
    <col min="15645" max="15645" width="6" style="28" customWidth="1"/>
    <col min="15646" max="15653" width="11.42578125" style="28"/>
    <col min="15654" max="15654" width="6.5703125" style="28" customWidth="1"/>
    <col min="15655" max="15655" width="9.140625" style="28" customWidth="1"/>
    <col min="15656" max="15656" width="8.5703125" style="28" customWidth="1"/>
    <col min="15657" max="15872" width="11.42578125" style="28"/>
    <col min="15873" max="15873" width="6.42578125" style="28" customWidth="1"/>
    <col min="15874" max="15874" width="3.42578125" style="28" customWidth="1"/>
    <col min="15875" max="15880" width="3" style="28" customWidth="1"/>
    <col min="15881" max="15881" width="5.28515625" style="28" customWidth="1"/>
    <col min="15882" max="15883" width="5.42578125" style="28" customWidth="1"/>
    <col min="15884" max="15887" width="6.140625" style="28" customWidth="1"/>
    <col min="15888" max="15891" width="6.42578125" style="28" customWidth="1"/>
    <col min="15892" max="15892" width="1.28515625" style="28" customWidth="1"/>
    <col min="15893" max="15895" width="11.42578125" style="28"/>
    <col min="15896" max="15896" width="6.140625" style="28" customWidth="1"/>
    <col min="15897" max="15899" width="6.7109375" style="28" customWidth="1"/>
    <col min="15900" max="15900" width="6.140625" style="28" customWidth="1"/>
    <col min="15901" max="15901" width="6" style="28" customWidth="1"/>
    <col min="15902" max="15909" width="11.42578125" style="28"/>
    <col min="15910" max="15910" width="6.5703125" style="28" customWidth="1"/>
    <col min="15911" max="15911" width="9.140625" style="28" customWidth="1"/>
    <col min="15912" max="15912" width="8.5703125" style="28" customWidth="1"/>
    <col min="15913" max="16128" width="11.42578125" style="28"/>
    <col min="16129" max="16129" width="6.42578125" style="28" customWidth="1"/>
    <col min="16130" max="16130" width="3.42578125" style="28" customWidth="1"/>
    <col min="16131" max="16136" width="3" style="28" customWidth="1"/>
    <col min="16137" max="16137" width="5.28515625" style="28" customWidth="1"/>
    <col min="16138" max="16139" width="5.42578125" style="28" customWidth="1"/>
    <col min="16140" max="16143" width="6.140625" style="28" customWidth="1"/>
    <col min="16144" max="16147" width="6.42578125" style="28" customWidth="1"/>
    <col min="16148" max="16148" width="1.28515625" style="28" customWidth="1"/>
    <col min="16149" max="16151" width="11.42578125" style="28"/>
    <col min="16152" max="16152" width="6.140625" style="28" customWidth="1"/>
    <col min="16153" max="16155" width="6.7109375" style="28" customWidth="1"/>
    <col min="16156" max="16156" width="6.140625" style="28" customWidth="1"/>
    <col min="16157" max="16157" width="6" style="28" customWidth="1"/>
    <col min="16158" max="16165" width="11.42578125" style="28"/>
    <col min="16166" max="16166" width="6.5703125" style="28" customWidth="1"/>
    <col min="16167" max="16167" width="9.140625" style="28" customWidth="1"/>
    <col min="16168" max="16168" width="8.5703125" style="28" customWidth="1"/>
    <col min="16169" max="16384" width="11.42578125" style="28"/>
  </cols>
  <sheetData>
    <row r="1" spans="1:40">
      <c r="A1" s="28" t="s">
        <v>266</v>
      </c>
      <c r="B1" s="151" t="s">
        <v>267</v>
      </c>
      <c r="C1" s="151"/>
      <c r="D1" s="151"/>
      <c r="E1" s="151"/>
      <c r="F1" s="151"/>
      <c r="G1" s="151"/>
      <c r="H1" s="151"/>
      <c r="I1" s="152"/>
      <c r="J1" s="28" t="s">
        <v>268</v>
      </c>
      <c r="K1" s="29" t="s">
        <v>269</v>
      </c>
      <c r="L1" s="151" t="s">
        <v>270</v>
      </c>
      <c r="M1" s="151"/>
      <c r="N1" s="151"/>
      <c r="O1" s="152"/>
      <c r="P1" s="153" t="s">
        <v>271</v>
      </c>
      <c r="Q1" s="154"/>
      <c r="R1" s="154"/>
      <c r="S1" s="154"/>
      <c r="X1" s="36" t="s">
        <v>6</v>
      </c>
      <c r="Y1" s="157" t="s">
        <v>291</v>
      </c>
      <c r="Z1" s="158"/>
      <c r="AA1" s="159"/>
      <c r="AB1" s="155" t="s">
        <v>292</v>
      </c>
      <c r="AC1" s="156"/>
    </row>
    <row r="2" spans="1:40">
      <c r="A2" s="28" t="s">
        <v>266</v>
      </c>
      <c r="B2" s="28" t="s">
        <v>272</v>
      </c>
      <c r="C2" s="28" t="s">
        <v>273</v>
      </c>
      <c r="D2" s="28" t="s">
        <v>274</v>
      </c>
      <c r="E2" s="28" t="s">
        <v>275</v>
      </c>
      <c r="F2" s="28" t="s">
        <v>276</v>
      </c>
      <c r="G2" s="28" t="s">
        <v>277</v>
      </c>
      <c r="H2" s="28" t="s">
        <v>278</v>
      </c>
      <c r="I2" s="30" t="s">
        <v>279</v>
      </c>
      <c r="J2" s="151" t="s">
        <v>280</v>
      </c>
      <c r="K2" s="152"/>
      <c r="L2" s="28" t="s">
        <v>281</v>
      </c>
      <c r="M2" s="28" t="s">
        <v>282</v>
      </c>
      <c r="N2" s="28" t="s">
        <v>105</v>
      </c>
      <c r="O2" s="29" t="s">
        <v>283</v>
      </c>
      <c r="P2" s="28" t="s">
        <v>281</v>
      </c>
      <c r="Q2" s="28" t="s">
        <v>282</v>
      </c>
      <c r="R2" s="28" t="s">
        <v>105</v>
      </c>
      <c r="S2" s="29" t="s">
        <v>283</v>
      </c>
      <c r="X2" s="37"/>
      <c r="Y2" s="38" t="s">
        <v>293</v>
      </c>
      <c r="Z2" s="38" t="s">
        <v>294</v>
      </c>
      <c r="AA2" s="38" t="s">
        <v>295</v>
      </c>
      <c r="AB2" s="38" t="s">
        <v>293</v>
      </c>
      <c r="AC2" s="38" t="s">
        <v>294</v>
      </c>
      <c r="AL2" s="37"/>
      <c r="AM2" s="38" t="s">
        <v>296</v>
      </c>
      <c r="AN2" s="28" t="s">
        <v>297</v>
      </c>
    </row>
    <row r="3" spans="1:40">
      <c r="A3" s="28">
        <v>2001</v>
      </c>
      <c r="B3" s="28">
        <v>1</v>
      </c>
      <c r="C3" s="28">
        <v>2</v>
      </c>
      <c r="D3" s="28">
        <v>4</v>
      </c>
      <c r="E3" s="28">
        <v>1</v>
      </c>
      <c r="F3" s="28">
        <v>0</v>
      </c>
      <c r="G3" s="28">
        <v>0</v>
      </c>
      <c r="H3" s="28">
        <v>0</v>
      </c>
      <c r="I3" s="31">
        <v>7</v>
      </c>
      <c r="J3" s="32">
        <v>6</v>
      </c>
      <c r="K3" s="29">
        <v>4</v>
      </c>
      <c r="L3" s="28">
        <v>14</v>
      </c>
      <c r="M3" s="28">
        <v>0</v>
      </c>
      <c r="N3" s="28">
        <v>14</v>
      </c>
      <c r="O3" s="29">
        <v>7</v>
      </c>
      <c r="P3" s="28">
        <v>5</v>
      </c>
      <c r="Q3" s="28">
        <v>1</v>
      </c>
      <c r="R3" s="28">
        <v>4</v>
      </c>
      <c r="S3" s="28">
        <v>6</v>
      </c>
      <c r="X3" s="28" t="s">
        <v>298</v>
      </c>
      <c r="Y3" s="28">
        <v>8</v>
      </c>
      <c r="Z3" s="28">
        <v>3</v>
      </c>
      <c r="AA3" s="28">
        <v>11</v>
      </c>
      <c r="AB3" s="28">
        <f t="shared" ref="AB3:AC20" si="0">Y3/10</f>
        <v>0.8</v>
      </c>
      <c r="AC3" s="28">
        <f t="shared" si="0"/>
        <v>0.3</v>
      </c>
      <c r="AL3" s="28" t="s">
        <v>298</v>
      </c>
      <c r="AM3" s="28">
        <v>8</v>
      </c>
      <c r="AN3" s="28" t="e">
        <f t="shared" ref="AN3:AN13" si="1">AM3/Y$31</f>
        <v>#DIV/0!</v>
      </c>
    </row>
    <row r="4" spans="1:40">
      <c r="A4" s="28">
        <v>2002</v>
      </c>
      <c r="B4" s="28">
        <v>0</v>
      </c>
      <c r="C4" s="28">
        <v>1</v>
      </c>
      <c r="D4" s="28">
        <v>4</v>
      </c>
      <c r="E4" s="28">
        <v>1</v>
      </c>
      <c r="F4" s="28">
        <v>0</v>
      </c>
      <c r="G4" s="28">
        <v>0</v>
      </c>
      <c r="H4" s="28">
        <v>0</v>
      </c>
      <c r="I4" s="30">
        <v>6</v>
      </c>
      <c r="J4" s="28">
        <v>5</v>
      </c>
      <c r="K4" s="29">
        <v>3</v>
      </c>
      <c r="L4" s="28">
        <v>120</v>
      </c>
      <c r="M4" s="28">
        <v>0</v>
      </c>
      <c r="N4" s="28">
        <v>120</v>
      </c>
      <c r="O4" s="29">
        <v>6</v>
      </c>
      <c r="P4" s="28">
        <v>13</v>
      </c>
      <c r="Q4" s="28">
        <v>0</v>
      </c>
      <c r="R4" s="28">
        <v>13</v>
      </c>
      <c r="S4" s="28">
        <v>6</v>
      </c>
      <c r="X4" s="28" t="s">
        <v>299</v>
      </c>
      <c r="Y4" s="28">
        <v>4</v>
      </c>
      <c r="Z4" s="28">
        <v>2</v>
      </c>
      <c r="AA4" s="28">
        <v>6</v>
      </c>
      <c r="AB4" s="28">
        <f t="shared" si="0"/>
        <v>0.4</v>
      </c>
      <c r="AC4" s="28">
        <f t="shared" si="0"/>
        <v>0.2</v>
      </c>
      <c r="AL4" s="28" t="s">
        <v>299</v>
      </c>
      <c r="AM4" s="28">
        <f>Y4+AM3</f>
        <v>12</v>
      </c>
      <c r="AN4" s="28" t="e">
        <f t="shared" si="1"/>
        <v>#DIV/0!</v>
      </c>
    </row>
    <row r="5" spans="1:40">
      <c r="A5" s="28">
        <v>2003</v>
      </c>
      <c r="B5" s="28">
        <v>2</v>
      </c>
      <c r="C5" s="28">
        <v>6</v>
      </c>
      <c r="D5" s="28">
        <v>2</v>
      </c>
      <c r="E5" s="28">
        <v>0</v>
      </c>
      <c r="F5" s="28">
        <v>0</v>
      </c>
      <c r="G5" s="28">
        <v>0</v>
      </c>
      <c r="H5" s="28">
        <v>0</v>
      </c>
      <c r="I5" s="31">
        <v>8</v>
      </c>
      <c r="J5" s="28">
        <v>2</v>
      </c>
      <c r="K5" s="29">
        <v>0</v>
      </c>
      <c r="L5" s="28">
        <v>47</v>
      </c>
      <c r="M5" s="28">
        <v>2</v>
      </c>
      <c r="N5" s="28">
        <v>45</v>
      </c>
      <c r="O5" s="29">
        <v>6</v>
      </c>
      <c r="P5" s="28">
        <v>0</v>
      </c>
      <c r="Q5" s="28">
        <v>0</v>
      </c>
      <c r="R5" s="28">
        <v>0</v>
      </c>
      <c r="S5" s="28">
        <v>8</v>
      </c>
      <c r="X5" s="28" t="s">
        <v>300</v>
      </c>
      <c r="Y5" s="28">
        <v>5</v>
      </c>
      <c r="Z5" s="28">
        <v>4</v>
      </c>
      <c r="AA5" s="28">
        <v>9</v>
      </c>
      <c r="AB5" s="28">
        <f t="shared" si="0"/>
        <v>0.5</v>
      </c>
      <c r="AC5" s="28">
        <f t="shared" si="0"/>
        <v>0.4</v>
      </c>
      <c r="AL5" s="28" t="s">
        <v>300</v>
      </c>
      <c r="AM5" s="28">
        <f t="shared" ref="AM5:AM30" si="2">Y5+AM4</f>
        <v>17</v>
      </c>
      <c r="AN5" s="28" t="e">
        <f t="shared" si="1"/>
        <v>#DIV/0!</v>
      </c>
    </row>
    <row r="6" spans="1:40">
      <c r="A6" s="28">
        <v>2004</v>
      </c>
      <c r="B6" s="28">
        <v>1</v>
      </c>
      <c r="C6" s="28">
        <v>4</v>
      </c>
      <c r="D6" s="28">
        <v>4</v>
      </c>
      <c r="E6" s="28">
        <v>0</v>
      </c>
      <c r="F6" s="28">
        <v>0</v>
      </c>
      <c r="G6" s="28">
        <v>0</v>
      </c>
      <c r="H6" s="28">
        <v>0</v>
      </c>
      <c r="I6" s="31">
        <v>8</v>
      </c>
      <c r="J6" s="28">
        <v>6</v>
      </c>
      <c r="K6" s="29">
        <v>5</v>
      </c>
      <c r="L6" s="28">
        <v>81</v>
      </c>
      <c r="M6" s="28">
        <v>2</v>
      </c>
      <c r="N6" s="28">
        <v>79</v>
      </c>
      <c r="O6" s="29">
        <v>6</v>
      </c>
      <c r="P6" s="28">
        <v>0</v>
      </c>
      <c r="Q6" s="28">
        <v>0</v>
      </c>
      <c r="R6" s="28">
        <v>0</v>
      </c>
      <c r="S6" s="28">
        <v>8</v>
      </c>
      <c r="X6" s="28" t="s">
        <v>301</v>
      </c>
      <c r="Y6" s="28">
        <v>5</v>
      </c>
      <c r="Z6" s="28">
        <v>3</v>
      </c>
      <c r="AA6" s="28">
        <v>8</v>
      </c>
      <c r="AB6" s="28">
        <f t="shared" si="0"/>
        <v>0.5</v>
      </c>
      <c r="AC6" s="28">
        <f t="shared" si="0"/>
        <v>0.3</v>
      </c>
      <c r="AL6" s="28" t="s">
        <v>301</v>
      </c>
      <c r="AM6" s="28">
        <f t="shared" si="2"/>
        <v>22</v>
      </c>
      <c r="AN6" s="28" t="e">
        <f t="shared" si="1"/>
        <v>#DIV/0!</v>
      </c>
    </row>
    <row r="7" spans="1:40">
      <c r="A7" s="28">
        <v>2005</v>
      </c>
      <c r="B7" s="28">
        <v>1</v>
      </c>
      <c r="C7" s="33">
        <v>2</v>
      </c>
      <c r="D7" s="28">
        <v>1</v>
      </c>
      <c r="E7" s="33">
        <v>0</v>
      </c>
      <c r="F7" s="28">
        <v>0</v>
      </c>
      <c r="G7" s="28">
        <v>0</v>
      </c>
      <c r="H7" s="28">
        <v>0</v>
      </c>
      <c r="I7" s="30">
        <v>3</v>
      </c>
      <c r="J7" s="28">
        <v>2</v>
      </c>
      <c r="K7" s="29">
        <v>1</v>
      </c>
      <c r="L7" s="28">
        <v>96</v>
      </c>
      <c r="M7" s="28">
        <v>1</v>
      </c>
      <c r="N7" s="28">
        <v>95</v>
      </c>
      <c r="O7" s="29">
        <v>2</v>
      </c>
      <c r="P7" s="28">
        <v>0</v>
      </c>
      <c r="Q7" s="28">
        <v>0</v>
      </c>
      <c r="R7" s="28">
        <v>0</v>
      </c>
      <c r="S7" s="28">
        <v>3</v>
      </c>
      <c r="X7" s="28" t="s">
        <v>302</v>
      </c>
      <c r="Y7" s="28">
        <v>6</v>
      </c>
      <c r="Z7" s="28">
        <v>4</v>
      </c>
      <c r="AA7" s="28">
        <v>10</v>
      </c>
      <c r="AB7" s="28">
        <f>Y7/10</f>
        <v>0.6</v>
      </c>
      <c r="AC7" s="28">
        <f t="shared" si="0"/>
        <v>0.4</v>
      </c>
      <c r="AL7" s="28" t="s">
        <v>302</v>
      </c>
      <c r="AM7" s="28">
        <f t="shared" si="2"/>
        <v>28</v>
      </c>
      <c r="AN7" s="28" t="e">
        <f t="shared" si="1"/>
        <v>#DIV/0!</v>
      </c>
    </row>
    <row r="8" spans="1:40">
      <c r="A8" s="28">
        <v>2006</v>
      </c>
      <c r="B8" s="28" t="s">
        <v>284</v>
      </c>
      <c r="C8" s="28">
        <v>2</v>
      </c>
      <c r="D8" s="28">
        <v>1</v>
      </c>
      <c r="E8" s="28">
        <v>1</v>
      </c>
      <c r="F8" s="28">
        <v>0</v>
      </c>
      <c r="G8" s="28">
        <v>0</v>
      </c>
      <c r="H8" s="28">
        <v>0</v>
      </c>
      <c r="I8" s="30">
        <v>4</v>
      </c>
      <c r="J8" s="28">
        <v>3</v>
      </c>
      <c r="K8" s="29">
        <v>2</v>
      </c>
      <c r="L8" s="28">
        <v>236</v>
      </c>
      <c r="M8" s="28">
        <v>1</v>
      </c>
      <c r="N8" s="28">
        <v>235</v>
      </c>
      <c r="O8" s="29">
        <v>3</v>
      </c>
      <c r="P8" s="28">
        <v>0</v>
      </c>
      <c r="Q8" s="28">
        <v>0</v>
      </c>
      <c r="R8" s="28">
        <v>0</v>
      </c>
      <c r="S8" s="28">
        <v>4</v>
      </c>
      <c r="X8" s="28" t="s">
        <v>303</v>
      </c>
      <c r="Y8" s="28">
        <v>9</v>
      </c>
      <c r="Z8" s="28">
        <v>2</v>
      </c>
      <c r="AA8" s="28">
        <v>11</v>
      </c>
      <c r="AB8" s="28">
        <f t="shared" si="0"/>
        <v>0.9</v>
      </c>
      <c r="AC8" s="28">
        <f t="shared" si="0"/>
        <v>0.2</v>
      </c>
      <c r="AL8" s="28" t="s">
        <v>303</v>
      </c>
      <c r="AM8" s="28">
        <f t="shared" si="2"/>
        <v>37</v>
      </c>
      <c r="AN8" s="28" t="e">
        <f t="shared" si="1"/>
        <v>#DIV/0!</v>
      </c>
    </row>
    <row r="9" spans="1:40">
      <c r="A9" s="28">
        <v>2007</v>
      </c>
      <c r="B9" s="28">
        <v>0</v>
      </c>
      <c r="C9" s="28">
        <v>4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30">
        <v>4</v>
      </c>
      <c r="J9" s="28">
        <v>2</v>
      </c>
      <c r="K9" s="29">
        <v>2</v>
      </c>
      <c r="L9" s="28">
        <v>122</v>
      </c>
      <c r="M9" s="28">
        <v>0</v>
      </c>
      <c r="N9" s="28">
        <v>122</v>
      </c>
      <c r="O9" s="29">
        <v>4</v>
      </c>
      <c r="P9" s="28">
        <v>1</v>
      </c>
      <c r="Q9" s="28">
        <v>0</v>
      </c>
      <c r="R9" s="28">
        <v>0</v>
      </c>
      <c r="S9" s="28">
        <v>4</v>
      </c>
      <c r="X9" s="28" t="s">
        <v>304</v>
      </c>
      <c r="Y9" s="28">
        <v>4</v>
      </c>
      <c r="Z9" s="28">
        <v>2</v>
      </c>
      <c r="AA9" s="28">
        <v>6</v>
      </c>
      <c r="AB9" s="28">
        <f t="shared" si="0"/>
        <v>0.4</v>
      </c>
      <c r="AC9" s="28">
        <f t="shared" si="0"/>
        <v>0.2</v>
      </c>
      <c r="AL9" s="28" t="s">
        <v>304</v>
      </c>
      <c r="AM9" s="28">
        <f t="shared" si="2"/>
        <v>41</v>
      </c>
      <c r="AN9" s="28" t="e">
        <f t="shared" si="1"/>
        <v>#DIV/0!</v>
      </c>
    </row>
    <row r="10" spans="1:40">
      <c r="A10" s="28">
        <v>2008</v>
      </c>
      <c r="B10" s="28">
        <v>3</v>
      </c>
      <c r="C10" s="28">
        <v>4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30">
        <v>4</v>
      </c>
      <c r="J10" s="28">
        <v>3</v>
      </c>
      <c r="K10" s="29">
        <v>2</v>
      </c>
      <c r="L10" s="28">
        <v>219</v>
      </c>
      <c r="M10" s="28">
        <v>1</v>
      </c>
      <c r="N10" s="28">
        <v>218</v>
      </c>
      <c r="O10" s="29">
        <v>3</v>
      </c>
      <c r="P10" s="28">
        <v>0</v>
      </c>
      <c r="Q10" s="28">
        <v>0</v>
      </c>
      <c r="R10" s="28">
        <v>0</v>
      </c>
      <c r="S10" s="28">
        <v>4</v>
      </c>
      <c r="X10" s="28" t="s">
        <v>305</v>
      </c>
      <c r="Y10" s="28">
        <v>7</v>
      </c>
      <c r="Z10" s="28">
        <v>2</v>
      </c>
      <c r="AA10" s="28">
        <v>9</v>
      </c>
      <c r="AB10" s="28">
        <f t="shared" si="0"/>
        <v>0.7</v>
      </c>
      <c r="AC10" s="28">
        <f t="shared" si="0"/>
        <v>0.2</v>
      </c>
      <c r="AL10" s="28" t="s">
        <v>305</v>
      </c>
      <c r="AM10" s="28">
        <f t="shared" si="2"/>
        <v>48</v>
      </c>
      <c r="AN10" s="28" t="e">
        <f t="shared" si="1"/>
        <v>#DIV/0!</v>
      </c>
    </row>
    <row r="11" spans="1:40">
      <c r="A11" s="28">
        <v>2009</v>
      </c>
      <c r="B11" s="28" t="s">
        <v>284</v>
      </c>
      <c r="C11" s="28">
        <v>6</v>
      </c>
      <c r="D11" s="28">
        <v>1</v>
      </c>
      <c r="E11" s="28">
        <v>1</v>
      </c>
      <c r="F11" s="28">
        <v>0</v>
      </c>
      <c r="G11" s="28">
        <v>0</v>
      </c>
      <c r="H11" s="28">
        <v>0</v>
      </c>
      <c r="I11" s="30">
        <v>8</v>
      </c>
      <c r="J11" s="28">
        <v>5</v>
      </c>
      <c r="K11" s="29">
        <v>4</v>
      </c>
      <c r="L11" s="28">
        <v>21</v>
      </c>
      <c r="M11" s="28">
        <v>2</v>
      </c>
      <c r="N11" s="28">
        <v>19</v>
      </c>
      <c r="O11" s="29">
        <v>6</v>
      </c>
      <c r="P11" s="28">
        <v>12</v>
      </c>
      <c r="Q11" s="28">
        <v>0</v>
      </c>
      <c r="R11" s="28">
        <v>10</v>
      </c>
      <c r="S11" s="28">
        <v>8</v>
      </c>
      <c r="X11" s="28" t="s">
        <v>306</v>
      </c>
      <c r="Y11" s="28">
        <v>9</v>
      </c>
      <c r="Z11" s="28">
        <v>4</v>
      </c>
      <c r="AA11" s="28">
        <v>13</v>
      </c>
      <c r="AB11" s="28">
        <f t="shared" si="0"/>
        <v>0.9</v>
      </c>
      <c r="AC11" s="28">
        <f t="shared" si="0"/>
        <v>0.4</v>
      </c>
      <c r="AL11" s="28" t="s">
        <v>306</v>
      </c>
      <c r="AM11" s="28">
        <f t="shared" si="2"/>
        <v>57</v>
      </c>
      <c r="AN11" s="28" t="e">
        <f t="shared" si="1"/>
        <v>#DIV/0!</v>
      </c>
    </row>
    <row r="12" spans="1:40">
      <c r="A12" s="28">
        <v>2010</v>
      </c>
      <c r="B12" s="28">
        <v>4</v>
      </c>
      <c r="C12" s="28">
        <v>5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30">
        <v>5</v>
      </c>
      <c r="J12" s="28">
        <v>3</v>
      </c>
      <c r="K12" s="29">
        <v>1</v>
      </c>
      <c r="L12" s="28">
        <v>254</v>
      </c>
      <c r="M12" s="28">
        <v>1</v>
      </c>
      <c r="N12" s="28">
        <v>254</v>
      </c>
      <c r="O12" s="29">
        <v>4</v>
      </c>
      <c r="P12" s="28">
        <v>3</v>
      </c>
      <c r="Q12" s="28">
        <v>0</v>
      </c>
      <c r="R12" s="28">
        <v>3</v>
      </c>
      <c r="S12" s="28">
        <v>5</v>
      </c>
      <c r="V12" s="28">
        <f>M18/I18</f>
        <v>0.24675324675324675</v>
      </c>
      <c r="X12" s="28" t="s">
        <v>307</v>
      </c>
      <c r="Y12" s="28">
        <v>11</v>
      </c>
      <c r="Z12" s="28">
        <v>5</v>
      </c>
      <c r="AA12" s="28">
        <v>16</v>
      </c>
      <c r="AB12" s="28">
        <f t="shared" si="0"/>
        <v>1.1000000000000001</v>
      </c>
      <c r="AC12" s="28">
        <f t="shared" si="0"/>
        <v>0.5</v>
      </c>
      <c r="AL12" s="28" t="s">
        <v>307</v>
      </c>
      <c r="AM12" s="28">
        <f t="shared" si="2"/>
        <v>68</v>
      </c>
      <c r="AN12" s="28" t="e">
        <f t="shared" si="1"/>
        <v>#DIV/0!</v>
      </c>
    </row>
    <row r="13" spans="1:40">
      <c r="A13" s="28">
        <v>2011</v>
      </c>
      <c r="B13" s="28">
        <v>0</v>
      </c>
      <c r="C13" s="28">
        <v>2</v>
      </c>
      <c r="D13" s="28">
        <v>2</v>
      </c>
      <c r="E13" s="28">
        <v>0</v>
      </c>
      <c r="F13" s="28">
        <v>0</v>
      </c>
      <c r="G13" s="28">
        <v>0</v>
      </c>
      <c r="H13" s="28">
        <v>0</v>
      </c>
      <c r="I13" s="30">
        <v>4</v>
      </c>
      <c r="J13" s="28">
        <v>4</v>
      </c>
      <c r="K13" s="29">
        <v>4</v>
      </c>
      <c r="L13" s="28">
        <v>507</v>
      </c>
      <c r="M13" s="28">
        <v>2</v>
      </c>
      <c r="N13" s="28">
        <v>505</v>
      </c>
      <c r="O13" s="29">
        <v>2</v>
      </c>
      <c r="P13" s="28">
        <v>5</v>
      </c>
      <c r="Q13" s="28">
        <v>0</v>
      </c>
      <c r="R13" s="28">
        <v>5</v>
      </c>
      <c r="S13" s="28">
        <v>4</v>
      </c>
      <c r="V13" s="28">
        <f>N18/L18</f>
        <v>0.99159356725146197</v>
      </c>
      <c r="X13" s="28" t="s">
        <v>308</v>
      </c>
      <c r="Y13" s="28">
        <v>30</v>
      </c>
      <c r="Z13" s="28">
        <v>17</v>
      </c>
      <c r="AA13" s="28">
        <v>47</v>
      </c>
      <c r="AB13" s="28">
        <f t="shared" si="0"/>
        <v>3</v>
      </c>
      <c r="AC13" s="28">
        <f t="shared" si="0"/>
        <v>1.7</v>
      </c>
      <c r="AL13" s="28" t="s">
        <v>308</v>
      </c>
      <c r="AM13" s="28">
        <f t="shared" si="2"/>
        <v>98</v>
      </c>
      <c r="AN13" s="28" t="e">
        <f t="shared" si="1"/>
        <v>#DIV/0!</v>
      </c>
    </row>
    <row r="14" spans="1:40">
      <c r="A14" s="28">
        <v>2012</v>
      </c>
      <c r="B14" s="28">
        <v>1</v>
      </c>
      <c r="C14" s="28">
        <v>3</v>
      </c>
      <c r="D14" s="28">
        <v>2</v>
      </c>
      <c r="E14" s="28">
        <v>1</v>
      </c>
      <c r="F14" s="28">
        <v>0</v>
      </c>
      <c r="G14" s="28">
        <v>0</v>
      </c>
      <c r="H14" s="28">
        <v>0</v>
      </c>
      <c r="I14" s="30">
        <v>6</v>
      </c>
      <c r="J14" s="28">
        <v>4</v>
      </c>
      <c r="K14" s="29">
        <v>4</v>
      </c>
      <c r="L14" s="28">
        <v>327</v>
      </c>
      <c r="M14" s="28">
        <v>4</v>
      </c>
      <c r="N14" s="28">
        <v>323</v>
      </c>
      <c r="O14" s="29">
        <v>2</v>
      </c>
      <c r="P14" s="28">
        <v>28</v>
      </c>
      <c r="Q14" s="28">
        <v>1</v>
      </c>
      <c r="R14" s="28">
        <v>27</v>
      </c>
      <c r="S14" s="28">
        <v>5</v>
      </c>
      <c r="X14" s="28" t="s">
        <v>309</v>
      </c>
      <c r="Y14" s="28">
        <v>57</v>
      </c>
      <c r="Z14" s="28">
        <v>39</v>
      </c>
      <c r="AA14" s="28">
        <v>96</v>
      </c>
      <c r="AB14" s="28">
        <f t="shared" si="0"/>
        <v>5.7</v>
      </c>
      <c r="AC14" s="28">
        <f t="shared" si="0"/>
        <v>3.9</v>
      </c>
    </row>
    <row r="15" spans="1:40">
      <c r="A15" s="28">
        <v>2013</v>
      </c>
      <c r="B15" s="28">
        <v>0</v>
      </c>
      <c r="C15" s="28">
        <v>4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30">
        <v>4</v>
      </c>
      <c r="J15" s="28">
        <v>2</v>
      </c>
      <c r="K15" s="29">
        <v>1</v>
      </c>
      <c r="L15" s="28">
        <v>427</v>
      </c>
      <c r="M15" s="28">
        <v>1</v>
      </c>
      <c r="N15" s="28">
        <v>426</v>
      </c>
      <c r="O15" s="29">
        <v>3</v>
      </c>
      <c r="P15" s="28">
        <v>20</v>
      </c>
      <c r="Q15" s="28">
        <v>0</v>
      </c>
      <c r="R15" s="28">
        <v>20</v>
      </c>
      <c r="S15" s="28">
        <v>4</v>
      </c>
      <c r="X15" s="28" t="s">
        <v>310</v>
      </c>
      <c r="Y15" s="28">
        <v>78</v>
      </c>
      <c r="Z15" s="28">
        <v>40</v>
      </c>
      <c r="AA15" s="28">
        <v>118</v>
      </c>
      <c r="AB15" s="28">
        <f t="shared" si="0"/>
        <v>7.8</v>
      </c>
      <c r="AC15" s="28">
        <f t="shared" si="0"/>
        <v>4</v>
      </c>
    </row>
    <row r="16" spans="1:40">
      <c r="A16" s="28">
        <v>2014</v>
      </c>
      <c r="B16" s="28">
        <v>0</v>
      </c>
      <c r="C16" s="28">
        <v>2</v>
      </c>
      <c r="D16" s="28">
        <v>3</v>
      </c>
      <c r="E16" s="28">
        <v>1</v>
      </c>
      <c r="F16" s="28">
        <v>0</v>
      </c>
      <c r="G16" s="28">
        <v>0</v>
      </c>
      <c r="H16" s="28">
        <v>0</v>
      </c>
      <c r="I16" s="30">
        <v>6</v>
      </c>
      <c r="K16" s="29"/>
      <c r="L16" s="28">
        <v>265</v>
      </c>
      <c r="M16" s="28">
        <v>2</v>
      </c>
      <c r="N16" s="28">
        <v>258</v>
      </c>
      <c r="O16" s="29">
        <v>4</v>
      </c>
      <c r="P16" s="28">
        <v>13</v>
      </c>
      <c r="Q16" s="28">
        <v>0</v>
      </c>
      <c r="R16" s="28">
        <v>13</v>
      </c>
      <c r="S16" s="28">
        <v>6</v>
      </c>
    </row>
    <row r="17" spans="1:40">
      <c r="I17" s="30"/>
      <c r="K17" s="29"/>
      <c r="O17" s="29"/>
    </row>
    <row r="18" spans="1:40">
      <c r="A18" s="28" t="s">
        <v>108</v>
      </c>
      <c r="I18" s="29">
        <f>SUM(I3:I16)</f>
        <v>77</v>
      </c>
      <c r="J18" s="29">
        <f t="shared" ref="J18:K18" si="3">SUM(J3:J15)</f>
        <v>47</v>
      </c>
      <c r="K18" s="29">
        <f t="shared" si="3"/>
        <v>33</v>
      </c>
      <c r="L18" s="29">
        <f t="shared" ref="L18:S18" si="4">SUM(L3:L16)</f>
        <v>2736</v>
      </c>
      <c r="M18" s="29">
        <f t="shared" si="4"/>
        <v>19</v>
      </c>
      <c r="N18" s="29">
        <f t="shared" si="4"/>
        <v>2713</v>
      </c>
      <c r="O18" s="29">
        <f t="shared" si="4"/>
        <v>58</v>
      </c>
      <c r="P18" s="29">
        <f t="shared" si="4"/>
        <v>100</v>
      </c>
      <c r="Q18" s="29">
        <f t="shared" si="4"/>
        <v>2</v>
      </c>
      <c r="R18" s="29">
        <f t="shared" si="4"/>
        <v>95</v>
      </c>
      <c r="S18" s="29">
        <f t="shared" si="4"/>
        <v>75</v>
      </c>
      <c r="X18" s="28" t="s">
        <v>311</v>
      </c>
      <c r="Y18" s="28">
        <v>75</v>
      </c>
      <c r="Z18" s="28">
        <v>71</v>
      </c>
      <c r="AA18" s="28">
        <v>146</v>
      </c>
      <c r="AB18" s="28">
        <f t="shared" si="0"/>
        <v>7.5</v>
      </c>
      <c r="AC18" s="28">
        <f t="shared" si="0"/>
        <v>7.1</v>
      </c>
      <c r="AL18" s="28" t="s">
        <v>309</v>
      </c>
      <c r="AM18" s="28">
        <f>Y18+AM13</f>
        <v>173</v>
      </c>
      <c r="AN18" s="28" t="e">
        <f t="shared" ref="AN18:AN30" si="5">AM18/Y$31</f>
        <v>#DIV/0!</v>
      </c>
    </row>
    <row r="19" spans="1:40">
      <c r="I19" s="28" t="s">
        <v>285</v>
      </c>
      <c r="J19" s="34">
        <f>J18/I18</f>
        <v>0.61038961038961037</v>
      </c>
      <c r="K19" s="34">
        <f>K18/$I18</f>
        <v>0.42857142857142855</v>
      </c>
      <c r="M19" s="34">
        <f>M18/$I18</f>
        <v>0.24675324675324675</v>
      </c>
      <c r="X19" s="28" t="s">
        <v>312</v>
      </c>
      <c r="Y19" s="28">
        <v>112</v>
      </c>
      <c r="Z19" s="28">
        <v>59</v>
      </c>
      <c r="AA19" s="28">
        <v>171</v>
      </c>
      <c r="AB19" s="28">
        <f t="shared" si="0"/>
        <v>11.2</v>
      </c>
      <c r="AC19" s="28">
        <f t="shared" si="0"/>
        <v>5.9</v>
      </c>
      <c r="AL19" s="28" t="s">
        <v>310</v>
      </c>
      <c r="AM19" s="28">
        <f t="shared" si="2"/>
        <v>285</v>
      </c>
      <c r="AN19" s="28" t="e">
        <f t="shared" si="5"/>
        <v>#DIV/0!</v>
      </c>
    </row>
    <row r="20" spans="1:40">
      <c r="X20" s="28" t="s">
        <v>313</v>
      </c>
      <c r="Y20" s="28">
        <v>113</v>
      </c>
      <c r="Z20" s="28">
        <v>73</v>
      </c>
      <c r="AA20" s="28">
        <v>186</v>
      </c>
      <c r="AB20" s="28">
        <f t="shared" si="0"/>
        <v>11.3</v>
      </c>
      <c r="AC20" s="28">
        <f t="shared" si="0"/>
        <v>7.3</v>
      </c>
      <c r="AL20" s="28" t="s">
        <v>311</v>
      </c>
      <c r="AM20" s="28">
        <f t="shared" si="2"/>
        <v>398</v>
      </c>
      <c r="AN20" s="28" t="e">
        <f t="shared" si="5"/>
        <v>#DIV/0!</v>
      </c>
    </row>
    <row r="21" spans="1:40">
      <c r="X21" s="28" t="s">
        <v>314</v>
      </c>
      <c r="Y21" s="28">
        <v>91</v>
      </c>
      <c r="Z21" s="28">
        <v>60</v>
      </c>
      <c r="AA21" s="28">
        <v>151</v>
      </c>
      <c r="AB21" s="28">
        <f t="shared" ref="AB21:AC28" si="6">Y21/10</f>
        <v>9.1</v>
      </c>
      <c r="AC21" s="28">
        <f t="shared" si="6"/>
        <v>6</v>
      </c>
      <c r="AL21" s="28" t="s">
        <v>312</v>
      </c>
      <c r="AM21" s="28">
        <f t="shared" si="2"/>
        <v>489</v>
      </c>
      <c r="AN21" s="28" t="e">
        <f t="shared" si="5"/>
        <v>#DIV/0!</v>
      </c>
    </row>
    <row r="22" spans="1:40">
      <c r="X22" s="28" t="s">
        <v>315</v>
      </c>
      <c r="Y22" s="28">
        <v>79</v>
      </c>
      <c r="Z22" s="28">
        <v>49</v>
      </c>
      <c r="AA22" s="28">
        <v>128</v>
      </c>
      <c r="AB22" s="28">
        <f t="shared" si="6"/>
        <v>7.9</v>
      </c>
      <c r="AC22" s="28">
        <f t="shared" si="6"/>
        <v>4.9000000000000004</v>
      </c>
      <c r="AL22" s="28" t="s">
        <v>313</v>
      </c>
      <c r="AM22" s="28">
        <f t="shared" si="2"/>
        <v>568</v>
      </c>
      <c r="AN22" s="28" t="e">
        <f t="shared" si="5"/>
        <v>#DIV/0!</v>
      </c>
    </row>
    <row r="23" spans="1:40">
      <c r="X23" s="28" t="s">
        <v>316</v>
      </c>
      <c r="Y23" s="28">
        <v>58</v>
      </c>
      <c r="Z23" s="28">
        <v>34</v>
      </c>
      <c r="AA23" s="28">
        <v>92</v>
      </c>
      <c r="AB23" s="28">
        <f t="shared" si="6"/>
        <v>5.8</v>
      </c>
      <c r="AC23" s="28">
        <f t="shared" si="6"/>
        <v>3.4</v>
      </c>
      <c r="AL23" s="28" t="s">
        <v>314</v>
      </c>
      <c r="AM23" s="28">
        <f t="shared" si="2"/>
        <v>626</v>
      </c>
      <c r="AN23" s="28" t="e">
        <f t="shared" si="5"/>
        <v>#DIV/0!</v>
      </c>
    </row>
    <row r="24" spans="1:40">
      <c r="X24" s="28" t="s">
        <v>317</v>
      </c>
      <c r="Y24" s="28">
        <v>31</v>
      </c>
      <c r="Z24" s="28">
        <v>20</v>
      </c>
      <c r="AA24" s="28">
        <v>51</v>
      </c>
      <c r="AB24" s="28">
        <f t="shared" si="6"/>
        <v>3.1</v>
      </c>
      <c r="AC24" s="28">
        <f t="shared" si="6"/>
        <v>2</v>
      </c>
      <c r="AL24" s="28" t="s">
        <v>315</v>
      </c>
      <c r="AM24" s="28">
        <f t="shared" si="2"/>
        <v>657</v>
      </c>
      <c r="AN24" s="28" t="e">
        <f t="shared" si="5"/>
        <v>#DIV/0!</v>
      </c>
    </row>
    <row r="25" spans="1:40">
      <c r="X25" s="28" t="s">
        <v>318</v>
      </c>
      <c r="Y25" s="28">
        <v>23</v>
      </c>
      <c r="Z25" s="28">
        <v>13</v>
      </c>
      <c r="AA25" s="28">
        <v>36</v>
      </c>
      <c r="AB25" s="28">
        <f t="shared" si="6"/>
        <v>2.2999999999999998</v>
      </c>
      <c r="AC25" s="28">
        <f t="shared" si="6"/>
        <v>1.3</v>
      </c>
      <c r="AL25" s="28" t="s">
        <v>316</v>
      </c>
      <c r="AM25" s="28">
        <f t="shared" si="2"/>
        <v>680</v>
      </c>
      <c r="AN25" s="28" t="e">
        <f t="shared" si="5"/>
        <v>#DIV/0!</v>
      </c>
    </row>
    <row r="26" spans="1:40">
      <c r="X26" s="28" t="s">
        <v>319</v>
      </c>
      <c r="Y26" s="28">
        <v>10</v>
      </c>
      <c r="Z26" s="28">
        <v>5</v>
      </c>
      <c r="AA26" s="28">
        <v>15</v>
      </c>
      <c r="AB26" s="28">
        <f t="shared" si="6"/>
        <v>1</v>
      </c>
      <c r="AC26" s="28">
        <f t="shared" si="6"/>
        <v>0.5</v>
      </c>
      <c r="AL26" s="28" t="s">
        <v>317</v>
      </c>
      <c r="AM26" s="28">
        <f t="shared" si="2"/>
        <v>690</v>
      </c>
      <c r="AN26" s="28" t="e">
        <f t="shared" si="5"/>
        <v>#DIV/0!</v>
      </c>
    </row>
    <row r="27" spans="1:40">
      <c r="X27" s="28" t="s">
        <v>320</v>
      </c>
      <c r="Y27" s="28">
        <v>11</v>
      </c>
      <c r="Z27" s="28">
        <v>11</v>
      </c>
      <c r="AA27" s="28">
        <v>22</v>
      </c>
      <c r="AB27" s="28">
        <f t="shared" si="6"/>
        <v>1.1000000000000001</v>
      </c>
      <c r="AC27" s="28">
        <f t="shared" si="6"/>
        <v>1.1000000000000001</v>
      </c>
      <c r="AL27" s="28" t="s">
        <v>318</v>
      </c>
      <c r="AM27" s="28">
        <f t="shared" si="2"/>
        <v>701</v>
      </c>
      <c r="AN27" s="28" t="e">
        <f t="shared" si="5"/>
        <v>#DIV/0!</v>
      </c>
    </row>
    <row r="28" spans="1:40">
      <c r="X28" s="28" t="s">
        <v>321</v>
      </c>
      <c r="Y28" s="28">
        <v>9</v>
      </c>
      <c r="Z28" s="28">
        <v>2</v>
      </c>
      <c r="AA28" s="28">
        <v>11</v>
      </c>
      <c r="AB28" s="28">
        <f t="shared" si="6"/>
        <v>0.9</v>
      </c>
      <c r="AC28" s="28">
        <f t="shared" si="6"/>
        <v>0.2</v>
      </c>
      <c r="AL28" s="28" t="s">
        <v>319</v>
      </c>
      <c r="AM28" s="28">
        <f t="shared" si="2"/>
        <v>710</v>
      </c>
      <c r="AN28" s="28" t="e">
        <f t="shared" si="5"/>
        <v>#DIV/0!</v>
      </c>
    </row>
    <row r="29" spans="1:40">
      <c r="X29" s="28" t="s">
        <v>290</v>
      </c>
      <c r="Y29" s="28">
        <f>SUM(Y1:Y28)</f>
        <v>845</v>
      </c>
      <c r="AL29" s="28" t="s">
        <v>320</v>
      </c>
      <c r="AM29" s="28">
        <f t="shared" si="2"/>
        <v>1555</v>
      </c>
      <c r="AN29" s="28" t="e">
        <f t="shared" si="5"/>
        <v>#DIV/0!</v>
      </c>
    </row>
    <row r="30" spans="1:40">
      <c r="AL30" s="28" t="s">
        <v>321</v>
      </c>
      <c r="AM30" s="28">
        <f t="shared" si="2"/>
        <v>1555</v>
      </c>
      <c r="AN30" s="28" t="e">
        <f t="shared" si="5"/>
        <v>#DIV/0!</v>
      </c>
    </row>
    <row r="34" spans="22:29">
      <c r="V34" s="35" t="s">
        <v>286</v>
      </c>
      <c r="W34" s="28" t="s">
        <v>4</v>
      </c>
      <c r="X34" s="28" t="s">
        <v>137</v>
      </c>
      <c r="Y34" s="28" t="s">
        <v>287</v>
      </c>
      <c r="Z34" s="28" t="s">
        <v>288</v>
      </c>
      <c r="AA34" s="28" t="s">
        <v>289</v>
      </c>
      <c r="AB34" s="28" t="s">
        <v>290</v>
      </c>
    </row>
    <row r="35" spans="22:29">
      <c r="V35" s="28">
        <v>2001</v>
      </c>
      <c r="W35" s="28">
        <v>1</v>
      </c>
      <c r="X35" s="28">
        <v>0</v>
      </c>
      <c r="Y35" s="28">
        <v>5</v>
      </c>
      <c r="Z35" s="28">
        <v>2</v>
      </c>
      <c r="AA35" s="28">
        <v>0</v>
      </c>
      <c r="AB35" s="28">
        <v>7</v>
      </c>
      <c r="AC35" s="28">
        <f>SUM(W35:AA35)</f>
        <v>8</v>
      </c>
    </row>
    <row r="36" spans="22:29">
      <c r="V36" s="28">
        <v>2002</v>
      </c>
      <c r="W36" s="28">
        <v>0</v>
      </c>
      <c r="X36" s="28">
        <v>0</v>
      </c>
      <c r="Y36" s="28">
        <v>3</v>
      </c>
      <c r="Z36" s="28">
        <v>2</v>
      </c>
      <c r="AA36" s="28">
        <v>1</v>
      </c>
      <c r="AB36" s="30">
        <v>6</v>
      </c>
      <c r="AC36" s="28">
        <f t="shared" ref="AC36:AC48" si="7">SUM(W36:AA36)</f>
        <v>6</v>
      </c>
    </row>
    <row r="37" spans="22:29">
      <c r="V37" s="28">
        <v>2003</v>
      </c>
      <c r="W37" s="28">
        <v>0</v>
      </c>
      <c r="X37" s="28">
        <v>2</v>
      </c>
      <c r="Y37" s="28">
        <v>2</v>
      </c>
      <c r="Z37" s="28">
        <v>0</v>
      </c>
      <c r="AA37" s="28">
        <v>6</v>
      </c>
      <c r="AB37" s="31">
        <v>8</v>
      </c>
      <c r="AC37" s="28">
        <f t="shared" si="7"/>
        <v>10</v>
      </c>
    </row>
    <row r="38" spans="22:29">
      <c r="V38" s="28">
        <v>2004</v>
      </c>
      <c r="W38" s="28">
        <v>0</v>
      </c>
      <c r="X38" s="28">
        <v>2</v>
      </c>
      <c r="Y38" s="28">
        <v>5</v>
      </c>
      <c r="Z38" s="28">
        <v>1</v>
      </c>
      <c r="AA38" s="28">
        <v>2</v>
      </c>
      <c r="AB38" s="31">
        <v>8</v>
      </c>
      <c r="AC38" s="28">
        <f t="shared" si="7"/>
        <v>10</v>
      </c>
    </row>
    <row r="39" spans="22:29">
      <c r="V39" s="28">
        <v>2005</v>
      </c>
      <c r="W39" s="28">
        <v>0</v>
      </c>
      <c r="X39" s="28">
        <v>1</v>
      </c>
      <c r="Y39" s="28">
        <v>1</v>
      </c>
      <c r="Z39" s="28">
        <v>1</v>
      </c>
      <c r="AA39" s="28">
        <v>1</v>
      </c>
      <c r="AB39" s="30">
        <v>3</v>
      </c>
      <c r="AC39" s="28">
        <f t="shared" si="7"/>
        <v>4</v>
      </c>
    </row>
    <row r="40" spans="22:29">
      <c r="V40" s="28">
        <v>2006</v>
      </c>
      <c r="W40" s="28">
        <v>0</v>
      </c>
      <c r="X40" s="28">
        <v>1</v>
      </c>
      <c r="Y40" s="28">
        <v>2</v>
      </c>
      <c r="Z40" s="28">
        <v>1</v>
      </c>
      <c r="AA40" s="28">
        <v>1</v>
      </c>
      <c r="AB40" s="30">
        <v>4</v>
      </c>
      <c r="AC40" s="28">
        <f t="shared" si="7"/>
        <v>5</v>
      </c>
    </row>
    <row r="41" spans="22:29">
      <c r="V41" s="28">
        <v>2007</v>
      </c>
      <c r="W41" s="28">
        <v>0</v>
      </c>
      <c r="X41" s="28">
        <v>0</v>
      </c>
      <c r="Y41" s="28">
        <v>2</v>
      </c>
      <c r="Z41" s="28">
        <v>0</v>
      </c>
      <c r="AA41" s="28">
        <v>2</v>
      </c>
      <c r="AB41" s="30">
        <v>4</v>
      </c>
      <c r="AC41" s="28">
        <f t="shared" si="7"/>
        <v>4</v>
      </c>
    </row>
    <row r="42" spans="22:29">
      <c r="V42" s="28">
        <v>2008</v>
      </c>
      <c r="W42" s="28">
        <v>0</v>
      </c>
      <c r="X42" s="28">
        <v>1</v>
      </c>
      <c r="Y42" s="28">
        <v>2</v>
      </c>
      <c r="Z42" s="28">
        <v>1</v>
      </c>
      <c r="AA42" s="28">
        <v>1</v>
      </c>
      <c r="AB42" s="30">
        <v>4</v>
      </c>
      <c r="AC42" s="28">
        <f t="shared" si="7"/>
        <v>5</v>
      </c>
    </row>
    <row r="43" spans="22:29">
      <c r="V43" s="28">
        <v>2009</v>
      </c>
      <c r="W43" s="28">
        <v>0</v>
      </c>
      <c r="X43" s="28">
        <v>2</v>
      </c>
      <c r="Y43" s="28">
        <v>4</v>
      </c>
      <c r="Z43" s="28">
        <v>1</v>
      </c>
      <c r="AA43" s="28">
        <v>3</v>
      </c>
      <c r="AB43" s="30">
        <v>8</v>
      </c>
      <c r="AC43" s="28">
        <f t="shared" si="7"/>
        <v>10</v>
      </c>
    </row>
    <row r="44" spans="22:29">
      <c r="V44" s="28">
        <v>2010</v>
      </c>
      <c r="W44" s="28">
        <v>0</v>
      </c>
      <c r="X44" s="28">
        <v>1</v>
      </c>
      <c r="Y44" s="28">
        <v>1</v>
      </c>
      <c r="Z44" s="28">
        <v>2</v>
      </c>
      <c r="AA44" s="28">
        <v>2</v>
      </c>
      <c r="AB44" s="30">
        <v>5</v>
      </c>
      <c r="AC44" s="28">
        <f t="shared" si="7"/>
        <v>6</v>
      </c>
    </row>
    <row r="45" spans="22:29">
      <c r="V45" s="28">
        <v>2011</v>
      </c>
      <c r="W45" s="28">
        <v>0</v>
      </c>
      <c r="X45" s="28">
        <v>2</v>
      </c>
      <c r="Y45" s="28">
        <v>4</v>
      </c>
      <c r="Z45" s="28">
        <v>0</v>
      </c>
      <c r="AA45" s="28">
        <v>0</v>
      </c>
      <c r="AB45" s="30">
        <v>4</v>
      </c>
      <c r="AC45" s="28">
        <f t="shared" si="7"/>
        <v>6</v>
      </c>
    </row>
    <row r="46" spans="22:29">
      <c r="V46" s="28">
        <v>2012</v>
      </c>
      <c r="W46" s="28">
        <v>1</v>
      </c>
      <c r="X46" s="28">
        <v>3</v>
      </c>
      <c r="Y46" s="28">
        <v>4</v>
      </c>
      <c r="Z46" s="28">
        <v>0</v>
      </c>
      <c r="AA46" s="28">
        <v>2</v>
      </c>
      <c r="AB46" s="28">
        <v>6</v>
      </c>
      <c r="AC46" s="28">
        <f t="shared" si="7"/>
        <v>10</v>
      </c>
    </row>
    <row r="47" spans="22:29">
      <c r="V47" s="28">
        <v>2013</v>
      </c>
      <c r="W47" s="28">
        <v>0</v>
      </c>
      <c r="X47" s="28">
        <v>1</v>
      </c>
      <c r="Y47" s="28">
        <v>0</v>
      </c>
      <c r="Z47" s="28">
        <v>1</v>
      </c>
      <c r="AA47" s="28">
        <v>2</v>
      </c>
      <c r="AB47" s="28">
        <v>4</v>
      </c>
      <c r="AC47" s="28">
        <f t="shared" si="7"/>
        <v>4</v>
      </c>
    </row>
    <row r="48" spans="22:29">
      <c r="V48" s="28">
        <v>2014</v>
      </c>
      <c r="W48" s="28">
        <v>0</v>
      </c>
      <c r="X48" s="28">
        <v>2</v>
      </c>
      <c r="Y48" s="28">
        <v>2</v>
      </c>
      <c r="Z48" s="28">
        <v>3</v>
      </c>
      <c r="AA48" s="28">
        <v>1</v>
      </c>
      <c r="AB48" s="28">
        <v>6</v>
      </c>
      <c r="AC48" s="28">
        <f t="shared" si="7"/>
        <v>8</v>
      </c>
    </row>
    <row r="49" spans="1:22">
      <c r="V49" s="28">
        <v>2015</v>
      </c>
    </row>
    <row r="63" spans="1:22">
      <c r="A63" s="35" t="s">
        <v>286</v>
      </c>
      <c r="B63" s="28" t="s">
        <v>4</v>
      </c>
      <c r="C63" s="28" t="s">
        <v>137</v>
      </c>
      <c r="D63" s="28" t="s">
        <v>287</v>
      </c>
      <c r="E63" s="28" t="s">
        <v>288</v>
      </c>
      <c r="F63" s="28" t="s">
        <v>289</v>
      </c>
      <c r="G63" s="28" t="s">
        <v>290</v>
      </c>
    </row>
    <row r="64" spans="1:22">
      <c r="A64" s="28">
        <v>2001</v>
      </c>
      <c r="B64" s="28">
        <v>1</v>
      </c>
      <c r="C64" s="28">
        <v>0</v>
      </c>
      <c r="D64" s="28">
        <v>5</v>
      </c>
      <c r="E64" s="28">
        <v>2</v>
      </c>
      <c r="F64" s="28">
        <v>0</v>
      </c>
      <c r="G64" s="28">
        <v>7</v>
      </c>
      <c r="H64" s="28">
        <f>SUM(B64:F64)</f>
        <v>8</v>
      </c>
    </row>
    <row r="65" spans="1:8">
      <c r="A65" s="28">
        <v>2002</v>
      </c>
      <c r="B65" s="28">
        <v>0</v>
      </c>
      <c r="C65" s="28">
        <v>0</v>
      </c>
      <c r="D65" s="28">
        <v>3</v>
      </c>
      <c r="E65" s="28">
        <v>2</v>
      </c>
      <c r="F65" s="28">
        <v>1</v>
      </c>
      <c r="G65" s="30">
        <v>6</v>
      </c>
      <c r="H65" s="28">
        <f t="shared" ref="H65:H77" si="8">SUM(B65:F65)</f>
        <v>6</v>
      </c>
    </row>
    <row r="66" spans="1:8">
      <c r="A66" s="28">
        <v>2003</v>
      </c>
      <c r="B66" s="28">
        <v>0</v>
      </c>
      <c r="C66" s="28">
        <v>2</v>
      </c>
      <c r="D66" s="28">
        <v>0</v>
      </c>
      <c r="E66" s="28">
        <v>0</v>
      </c>
      <c r="F66" s="28">
        <v>6</v>
      </c>
      <c r="G66" s="31">
        <v>8</v>
      </c>
      <c r="H66" s="28">
        <f t="shared" si="8"/>
        <v>8</v>
      </c>
    </row>
    <row r="67" spans="1:8">
      <c r="A67" s="28">
        <v>2004</v>
      </c>
      <c r="B67" s="28">
        <v>0</v>
      </c>
      <c r="C67" s="28">
        <v>2</v>
      </c>
      <c r="D67" s="28">
        <v>3</v>
      </c>
      <c r="E67" s="28">
        <v>1</v>
      </c>
      <c r="F67" s="28">
        <v>2</v>
      </c>
      <c r="G67" s="31">
        <v>8</v>
      </c>
      <c r="H67" s="28">
        <f t="shared" si="8"/>
        <v>8</v>
      </c>
    </row>
    <row r="68" spans="1:8">
      <c r="A68" s="28">
        <v>2005</v>
      </c>
      <c r="B68" s="28">
        <v>0</v>
      </c>
      <c r="C68" s="28">
        <v>1</v>
      </c>
      <c r="D68" s="28">
        <v>0</v>
      </c>
      <c r="E68" s="28">
        <v>1</v>
      </c>
      <c r="F68" s="28">
        <v>1</v>
      </c>
      <c r="G68" s="30">
        <v>3</v>
      </c>
      <c r="H68" s="28">
        <f t="shared" si="8"/>
        <v>3</v>
      </c>
    </row>
    <row r="69" spans="1:8">
      <c r="A69" s="28">
        <v>2006</v>
      </c>
      <c r="B69" s="28">
        <v>0</v>
      </c>
      <c r="C69" s="28">
        <v>1</v>
      </c>
      <c r="D69" s="28">
        <v>1</v>
      </c>
      <c r="E69" s="28">
        <v>1</v>
      </c>
      <c r="F69" s="28">
        <v>1</v>
      </c>
      <c r="G69" s="30">
        <v>4</v>
      </c>
      <c r="H69" s="28">
        <f t="shared" si="8"/>
        <v>4</v>
      </c>
    </row>
    <row r="70" spans="1:8">
      <c r="A70" s="28">
        <v>2007</v>
      </c>
      <c r="B70" s="28">
        <v>0</v>
      </c>
      <c r="C70" s="28">
        <v>0</v>
      </c>
      <c r="D70" s="28">
        <v>2</v>
      </c>
      <c r="E70" s="28">
        <v>0</v>
      </c>
      <c r="F70" s="28">
        <v>2</v>
      </c>
      <c r="G70" s="30">
        <v>4</v>
      </c>
      <c r="H70" s="28">
        <f t="shared" si="8"/>
        <v>4</v>
      </c>
    </row>
    <row r="71" spans="1:8">
      <c r="A71" s="28">
        <v>2008</v>
      </c>
      <c r="B71" s="28">
        <v>0</v>
      </c>
      <c r="C71" s="28">
        <v>1</v>
      </c>
      <c r="D71" s="28">
        <v>1</v>
      </c>
      <c r="E71" s="28">
        <v>1</v>
      </c>
      <c r="F71" s="28">
        <v>1</v>
      </c>
      <c r="G71" s="30">
        <v>4</v>
      </c>
      <c r="H71" s="28">
        <f t="shared" si="8"/>
        <v>4</v>
      </c>
    </row>
    <row r="72" spans="1:8">
      <c r="A72" s="28">
        <v>2009</v>
      </c>
      <c r="B72" s="28">
        <v>0</v>
      </c>
      <c r="C72" s="28">
        <v>2</v>
      </c>
      <c r="D72" s="28">
        <v>2</v>
      </c>
      <c r="E72" s="28">
        <v>1</v>
      </c>
      <c r="F72" s="28">
        <v>3</v>
      </c>
      <c r="G72" s="30">
        <v>8</v>
      </c>
      <c r="H72" s="28">
        <f t="shared" si="8"/>
        <v>8</v>
      </c>
    </row>
    <row r="73" spans="1:8">
      <c r="A73" s="28">
        <v>2010</v>
      </c>
      <c r="B73" s="28">
        <v>0</v>
      </c>
      <c r="C73" s="28">
        <v>1</v>
      </c>
      <c r="D73" s="28">
        <v>0</v>
      </c>
      <c r="E73" s="28">
        <v>2</v>
      </c>
      <c r="F73" s="28">
        <v>2</v>
      </c>
      <c r="G73" s="30">
        <v>5</v>
      </c>
      <c r="H73" s="28">
        <f t="shared" si="8"/>
        <v>5</v>
      </c>
    </row>
    <row r="74" spans="1:8">
      <c r="A74" s="28">
        <v>2011</v>
      </c>
      <c r="B74" s="28">
        <v>0</v>
      </c>
      <c r="C74" s="28">
        <v>2</v>
      </c>
      <c r="D74" s="28">
        <v>2</v>
      </c>
      <c r="E74" s="28">
        <v>0</v>
      </c>
      <c r="F74" s="28">
        <v>0</v>
      </c>
      <c r="G74" s="30">
        <v>4</v>
      </c>
      <c r="H74" s="28">
        <f t="shared" si="8"/>
        <v>4</v>
      </c>
    </row>
    <row r="75" spans="1:8">
      <c r="A75" s="28">
        <v>2012</v>
      </c>
      <c r="B75" s="28">
        <v>1</v>
      </c>
      <c r="C75" s="28">
        <v>3</v>
      </c>
      <c r="D75" s="28">
        <v>1</v>
      </c>
      <c r="E75" s="28">
        <v>0</v>
      </c>
      <c r="F75" s="28">
        <v>2</v>
      </c>
      <c r="G75" s="28">
        <v>6</v>
      </c>
      <c r="H75" s="28">
        <f t="shared" si="8"/>
        <v>7</v>
      </c>
    </row>
    <row r="76" spans="1:8">
      <c r="A76" s="28">
        <v>2013</v>
      </c>
      <c r="B76" s="28">
        <v>0</v>
      </c>
      <c r="C76" s="28">
        <v>1</v>
      </c>
      <c r="D76" s="28">
        <v>0</v>
      </c>
      <c r="E76" s="28">
        <v>1</v>
      </c>
      <c r="F76" s="28">
        <v>2</v>
      </c>
      <c r="G76" s="28">
        <v>4</v>
      </c>
      <c r="H76" s="28">
        <f t="shared" si="8"/>
        <v>4</v>
      </c>
    </row>
    <row r="77" spans="1:8">
      <c r="A77" s="28">
        <v>2014</v>
      </c>
      <c r="B77" s="28">
        <v>0</v>
      </c>
      <c r="C77" s="28">
        <v>2</v>
      </c>
      <c r="D77" s="28">
        <v>0</v>
      </c>
      <c r="E77" s="28">
        <v>3</v>
      </c>
      <c r="F77" s="28">
        <v>1</v>
      </c>
      <c r="G77" s="28">
        <v>6</v>
      </c>
      <c r="H77" s="28">
        <f t="shared" si="8"/>
        <v>6</v>
      </c>
    </row>
    <row r="78" spans="1:8">
      <c r="A78" s="28">
        <v>2015</v>
      </c>
    </row>
  </sheetData>
  <mergeCells count="6">
    <mergeCell ref="AB1:AC1"/>
    <mergeCell ref="J2:K2"/>
    <mergeCell ref="B1:I1"/>
    <mergeCell ref="L1:O1"/>
    <mergeCell ref="P1:S1"/>
    <mergeCell ref="Y1:AA1"/>
  </mergeCells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42"/>
  <sheetViews>
    <sheetView topLeftCell="C10" workbookViewId="0">
      <selection activeCell="C12" sqref="C12:C16"/>
    </sheetView>
  </sheetViews>
  <sheetFormatPr defaultColWidth="11.42578125" defaultRowHeight="15"/>
  <cols>
    <col min="1" max="1" width="23.42578125" customWidth="1"/>
    <col min="2" max="2" width="7.28515625" customWidth="1"/>
    <col min="3" max="3" width="7.140625" customWidth="1"/>
    <col min="4" max="4" width="39.7109375" customWidth="1"/>
    <col min="5" max="5" width="11.28515625" customWidth="1"/>
  </cols>
  <sheetData>
    <row r="1" spans="1:5" ht="14.25" customHeight="1">
      <c r="A1" s="127" t="s">
        <v>373</v>
      </c>
      <c r="B1" s="128" t="s">
        <v>133</v>
      </c>
      <c r="C1" s="128" t="s">
        <v>374</v>
      </c>
      <c r="D1" s="129" t="s">
        <v>375</v>
      </c>
      <c r="E1" s="130" t="s">
        <v>376</v>
      </c>
    </row>
    <row r="2" spans="1:5" ht="14.25" customHeight="1">
      <c r="A2" s="160" t="s">
        <v>377</v>
      </c>
      <c r="B2" s="161" t="s">
        <v>213</v>
      </c>
      <c r="C2" s="131" t="s">
        <v>162</v>
      </c>
      <c r="D2" s="131" t="s">
        <v>378</v>
      </c>
      <c r="E2" t="s">
        <v>379</v>
      </c>
    </row>
    <row r="3" spans="1:5" ht="14.25" customHeight="1">
      <c r="A3" s="160"/>
      <c r="B3" s="161"/>
      <c r="C3" s="131" t="s">
        <v>158</v>
      </c>
      <c r="D3" s="131" t="s">
        <v>380</v>
      </c>
      <c r="E3" t="s">
        <v>294</v>
      </c>
    </row>
    <row r="4" spans="1:5" ht="14.25" customHeight="1">
      <c r="A4" s="160"/>
      <c r="B4" s="161"/>
      <c r="C4" s="131" t="s">
        <v>214</v>
      </c>
      <c r="D4" s="131" t="s">
        <v>381</v>
      </c>
      <c r="E4" t="s">
        <v>293</v>
      </c>
    </row>
    <row r="5" spans="1:5" ht="14.25" customHeight="1">
      <c r="A5" s="160"/>
      <c r="B5" s="161"/>
      <c r="C5" s="131" t="s">
        <v>159</v>
      </c>
      <c r="D5" s="131" t="s">
        <v>382</v>
      </c>
    </row>
    <row r="6" spans="1:5" ht="14.25" customHeight="1">
      <c r="A6" s="160" t="s">
        <v>383</v>
      </c>
      <c r="B6" s="161" t="s">
        <v>258</v>
      </c>
      <c r="C6" s="131" t="s">
        <v>165</v>
      </c>
      <c r="D6" s="131" t="s">
        <v>384</v>
      </c>
      <c r="E6" s="130" t="s">
        <v>385</v>
      </c>
    </row>
    <row r="7" spans="1:5" ht="14.25" customHeight="1">
      <c r="A7" s="160"/>
      <c r="B7" s="161"/>
      <c r="C7" s="131" t="s">
        <v>166</v>
      </c>
      <c r="D7" s="131" t="s">
        <v>386</v>
      </c>
      <c r="E7" t="s">
        <v>339</v>
      </c>
    </row>
    <row r="8" spans="1:5" ht="14.25" customHeight="1">
      <c r="A8" s="160"/>
      <c r="B8" s="161"/>
      <c r="C8" s="131" t="s">
        <v>387</v>
      </c>
      <c r="D8" s="131" t="s">
        <v>388</v>
      </c>
      <c r="E8" t="s">
        <v>389</v>
      </c>
    </row>
    <row r="9" spans="1:5" ht="14.25" customHeight="1">
      <c r="A9" s="160"/>
      <c r="B9" s="161"/>
      <c r="C9" s="131" t="s">
        <v>259</v>
      </c>
      <c r="D9" s="131" t="s">
        <v>390</v>
      </c>
      <c r="E9" t="s">
        <v>391</v>
      </c>
    </row>
    <row r="10" spans="1:5" ht="14.25" customHeight="1">
      <c r="A10" s="160"/>
      <c r="B10" s="161"/>
      <c r="C10" s="131" t="s">
        <v>178</v>
      </c>
      <c r="D10" s="131" t="s">
        <v>392</v>
      </c>
    </row>
    <row r="11" spans="1:5" ht="14.25" customHeight="1">
      <c r="A11" s="160"/>
      <c r="B11" s="161"/>
      <c r="C11" s="131" t="s">
        <v>260</v>
      </c>
      <c r="D11" s="131" t="s">
        <v>393</v>
      </c>
      <c r="E11" t="s">
        <v>394</v>
      </c>
    </row>
    <row r="12" spans="1:5" ht="14.25" customHeight="1">
      <c r="A12" s="160" t="s">
        <v>395</v>
      </c>
      <c r="B12" s="161" t="s">
        <v>146</v>
      </c>
      <c r="C12" s="131" t="s">
        <v>261</v>
      </c>
      <c r="D12" s="131" t="s">
        <v>396</v>
      </c>
      <c r="E12" t="s">
        <v>213</v>
      </c>
    </row>
    <row r="13" spans="1:5" ht="14.25" customHeight="1">
      <c r="A13" s="160"/>
      <c r="B13" s="161"/>
      <c r="C13" s="131" t="s">
        <v>215</v>
      </c>
      <c r="D13" s="131" t="s">
        <v>397</v>
      </c>
      <c r="E13" t="s">
        <v>258</v>
      </c>
    </row>
    <row r="14" spans="1:5" ht="14.25" customHeight="1">
      <c r="A14" s="160"/>
      <c r="B14" s="161"/>
      <c r="C14" s="131" t="s">
        <v>147</v>
      </c>
      <c r="D14" s="131" t="s">
        <v>398</v>
      </c>
      <c r="E14" t="s">
        <v>146</v>
      </c>
    </row>
    <row r="15" spans="1:5" ht="14.25" customHeight="1">
      <c r="A15" s="160"/>
      <c r="B15" s="161"/>
      <c r="C15" s="131" t="s">
        <v>155</v>
      </c>
      <c r="D15" s="131" t="s">
        <v>399</v>
      </c>
      <c r="E15" t="s">
        <v>191</v>
      </c>
    </row>
    <row r="16" spans="1:5" ht="14.25" customHeight="1">
      <c r="A16" s="160"/>
      <c r="B16" s="161"/>
      <c r="C16" s="131" t="s">
        <v>163</v>
      </c>
      <c r="D16" s="131" t="s">
        <v>400</v>
      </c>
      <c r="E16" t="s">
        <v>143</v>
      </c>
    </row>
    <row r="17" spans="1:5" ht="14.25" customHeight="1">
      <c r="A17" s="160" t="s">
        <v>401</v>
      </c>
      <c r="B17" s="161" t="s">
        <v>143</v>
      </c>
      <c r="C17" s="132" t="s">
        <v>161</v>
      </c>
      <c r="D17" s="131" t="s">
        <v>402</v>
      </c>
      <c r="E17" t="s">
        <v>330</v>
      </c>
    </row>
    <row r="18" spans="1:5" ht="14.25" customHeight="1">
      <c r="A18" s="160"/>
      <c r="B18" s="161"/>
      <c r="C18" s="132" t="s">
        <v>144</v>
      </c>
      <c r="D18" s="131" t="s">
        <v>403</v>
      </c>
      <c r="E18" t="s">
        <v>404</v>
      </c>
    </row>
    <row r="19" spans="1:5" ht="14.25" customHeight="1">
      <c r="A19" s="160"/>
      <c r="B19" s="161"/>
      <c r="C19" s="131" t="s">
        <v>253</v>
      </c>
      <c r="D19" s="131" t="s">
        <v>405</v>
      </c>
      <c r="E19" t="s">
        <v>206</v>
      </c>
    </row>
    <row r="20" spans="1:5" ht="14.25" customHeight="1">
      <c r="A20" s="160" t="s">
        <v>406</v>
      </c>
      <c r="B20" s="161" t="s">
        <v>191</v>
      </c>
      <c r="C20" s="131" t="s">
        <v>156</v>
      </c>
      <c r="D20" s="131" t="s">
        <v>407</v>
      </c>
      <c r="E20" t="s">
        <v>204</v>
      </c>
    </row>
    <row r="21" spans="1:5" ht="14.25" customHeight="1">
      <c r="A21" s="160"/>
      <c r="B21" s="161"/>
      <c r="C21" s="132" t="s">
        <v>345</v>
      </c>
      <c r="D21" s="131" t="s">
        <v>408</v>
      </c>
      <c r="E21" t="s">
        <v>230</v>
      </c>
    </row>
    <row r="22" spans="1:5" ht="14.25" customHeight="1">
      <c r="A22" s="160"/>
      <c r="B22" s="161"/>
      <c r="C22" s="132" t="s">
        <v>152</v>
      </c>
      <c r="D22" s="131" t="s">
        <v>409</v>
      </c>
      <c r="E22" t="s">
        <v>219</v>
      </c>
    </row>
    <row r="23" spans="1:5" ht="14.25" customHeight="1">
      <c r="A23" s="160" t="s">
        <v>410</v>
      </c>
      <c r="B23" s="162" t="s">
        <v>330</v>
      </c>
      <c r="C23" s="131" t="s">
        <v>335</v>
      </c>
      <c r="D23" s="131" t="s">
        <v>411</v>
      </c>
      <c r="E23" t="s">
        <v>412</v>
      </c>
    </row>
    <row r="24" spans="1:5" ht="14.25" customHeight="1">
      <c r="A24" s="160"/>
      <c r="B24" s="162"/>
      <c r="C24" s="131" t="s">
        <v>332</v>
      </c>
      <c r="D24" s="131" t="s">
        <v>413</v>
      </c>
      <c r="E24" t="s">
        <v>348</v>
      </c>
    </row>
    <row r="25" spans="1:5" ht="14.25" customHeight="1">
      <c r="A25" s="160" t="s">
        <v>414</v>
      </c>
      <c r="B25" s="162" t="s">
        <v>404</v>
      </c>
      <c r="C25" s="131" t="s">
        <v>415</v>
      </c>
      <c r="D25" s="131" t="s">
        <v>416</v>
      </c>
      <c r="E25" t="s">
        <v>227</v>
      </c>
    </row>
    <row r="26" spans="1:5" ht="14.25" customHeight="1">
      <c r="A26" s="160"/>
      <c r="B26" s="162"/>
      <c r="C26" s="131" t="s">
        <v>417</v>
      </c>
      <c r="D26" s="131" t="s">
        <v>418</v>
      </c>
      <c r="E26" t="s">
        <v>341</v>
      </c>
    </row>
    <row r="27" spans="1:5" ht="14.25" customHeight="1">
      <c r="A27" s="160" t="s">
        <v>419</v>
      </c>
      <c r="B27" s="162" t="s">
        <v>230</v>
      </c>
      <c r="C27" s="131" t="s">
        <v>173</v>
      </c>
      <c r="D27" s="131" t="s">
        <v>419</v>
      </c>
      <c r="E27" t="s">
        <v>420</v>
      </c>
    </row>
    <row r="28" spans="1:5" ht="14.25" customHeight="1">
      <c r="A28" s="160"/>
      <c r="B28" s="162"/>
      <c r="C28" s="131" t="s">
        <v>231</v>
      </c>
      <c r="D28" s="131" t="s">
        <v>421</v>
      </c>
      <c r="E28" t="s">
        <v>216</v>
      </c>
    </row>
    <row r="29" spans="1:5" ht="14.25" customHeight="1">
      <c r="A29" s="160" t="s">
        <v>422</v>
      </c>
      <c r="B29" s="161" t="s">
        <v>219</v>
      </c>
      <c r="C29" s="132" t="s">
        <v>220</v>
      </c>
      <c r="D29" s="131" t="s">
        <v>423</v>
      </c>
      <c r="E29" t="s">
        <v>221</v>
      </c>
    </row>
    <row r="30" spans="1:5" ht="14.25" customHeight="1">
      <c r="A30" s="160"/>
      <c r="B30" s="161"/>
      <c r="C30" s="132" t="s">
        <v>424</v>
      </c>
      <c r="D30" s="131" t="s">
        <v>425</v>
      </c>
      <c r="E30" t="s">
        <v>209</v>
      </c>
    </row>
    <row r="31" spans="1:5" ht="14.25" customHeight="1">
      <c r="A31" s="160" t="s">
        <v>426</v>
      </c>
      <c r="B31" s="162" t="s">
        <v>206</v>
      </c>
      <c r="C31" s="132" t="s">
        <v>208</v>
      </c>
      <c r="D31" s="131" t="s">
        <v>427</v>
      </c>
      <c r="E31" t="s">
        <v>254</v>
      </c>
    </row>
    <row r="32" spans="1:5" ht="14.25" customHeight="1">
      <c r="A32" s="160"/>
      <c r="B32" s="162"/>
      <c r="C32" s="132" t="s">
        <v>235</v>
      </c>
      <c r="D32" s="131" t="s">
        <v>428</v>
      </c>
      <c r="E32" t="s">
        <v>202</v>
      </c>
    </row>
    <row r="33" spans="1:5" ht="14.25" customHeight="1">
      <c r="A33" s="160"/>
      <c r="B33" s="162"/>
      <c r="C33" s="132" t="s">
        <v>207</v>
      </c>
      <c r="D33" s="131" t="s">
        <v>429</v>
      </c>
      <c r="E33" t="s">
        <v>223</v>
      </c>
    </row>
    <row r="34" spans="1:5" ht="14.25" customHeight="1">
      <c r="A34" s="160"/>
      <c r="B34" s="162"/>
      <c r="C34" s="132" t="s">
        <v>217</v>
      </c>
      <c r="D34" s="131" t="s">
        <v>430</v>
      </c>
      <c r="E34" t="s">
        <v>431</v>
      </c>
    </row>
    <row r="35" spans="1:5" ht="14.25" customHeight="1">
      <c r="A35" s="160"/>
      <c r="B35" s="162"/>
      <c r="C35" s="132" t="s">
        <v>218</v>
      </c>
      <c r="D35" s="131" t="s">
        <v>432</v>
      </c>
      <c r="E35" t="s">
        <v>222</v>
      </c>
    </row>
    <row r="36" spans="1:5" ht="14.25" customHeight="1">
      <c r="A36" s="160" t="s">
        <v>433</v>
      </c>
      <c r="B36" s="161" t="s">
        <v>204</v>
      </c>
      <c r="C36" s="131" t="s">
        <v>434</v>
      </c>
      <c r="D36" s="131" t="s">
        <v>435</v>
      </c>
      <c r="E36" t="s">
        <v>248</v>
      </c>
    </row>
    <row r="37" spans="1:5" ht="14.25" customHeight="1">
      <c r="A37" s="160"/>
      <c r="B37" s="161"/>
      <c r="C37" s="131" t="s">
        <v>205</v>
      </c>
      <c r="D37" s="131" t="s">
        <v>436</v>
      </c>
      <c r="E37" t="s">
        <v>138</v>
      </c>
    </row>
    <row r="38" spans="1:5" ht="14.25" customHeight="1">
      <c r="A38" s="160" t="s">
        <v>437</v>
      </c>
      <c r="B38" s="162" t="s">
        <v>412</v>
      </c>
      <c r="C38" s="131" t="s">
        <v>234</v>
      </c>
      <c r="D38" s="131" t="s">
        <v>438</v>
      </c>
      <c r="E38" t="s">
        <v>241</v>
      </c>
    </row>
    <row r="39" spans="1:5" ht="14.25" customHeight="1">
      <c r="A39" s="160"/>
      <c r="B39" s="162"/>
      <c r="C39" s="131" t="s">
        <v>439</v>
      </c>
      <c r="D39" s="131" t="s">
        <v>440</v>
      </c>
      <c r="E39" t="s">
        <v>441</v>
      </c>
    </row>
    <row r="40" spans="1:5" ht="14.25" customHeight="1">
      <c r="A40" s="160" t="s">
        <v>442</v>
      </c>
      <c r="B40" s="162" t="s">
        <v>348</v>
      </c>
      <c r="C40" s="133" t="s">
        <v>443</v>
      </c>
      <c r="D40" s="131" t="s">
        <v>444</v>
      </c>
      <c r="E40" t="s">
        <v>445</v>
      </c>
    </row>
    <row r="41" spans="1:5" ht="14.25" customHeight="1">
      <c r="A41" s="160"/>
      <c r="B41" s="162"/>
      <c r="C41" s="131" t="s">
        <v>350</v>
      </c>
      <c r="D41" s="131" t="s">
        <v>446</v>
      </c>
      <c r="E41" t="s">
        <v>344</v>
      </c>
    </row>
    <row r="42" spans="1:5" ht="14.25" customHeight="1">
      <c r="A42" s="160"/>
      <c r="B42" s="162"/>
      <c r="C42" s="131" t="s">
        <v>447</v>
      </c>
      <c r="D42" s="131" t="s">
        <v>448</v>
      </c>
      <c r="E42" t="s">
        <v>355</v>
      </c>
    </row>
    <row r="43" spans="1:5" ht="14.25" customHeight="1">
      <c r="A43" s="160"/>
      <c r="B43" s="162"/>
      <c r="C43" s="131" t="s">
        <v>449</v>
      </c>
      <c r="D43" s="131" t="s">
        <v>450</v>
      </c>
      <c r="E43" t="s">
        <v>238</v>
      </c>
    </row>
    <row r="44" spans="1:5" ht="14.25" customHeight="1">
      <c r="A44" s="160"/>
      <c r="B44" s="162"/>
      <c r="C44" s="131" t="s">
        <v>358</v>
      </c>
      <c r="D44" s="131" t="s">
        <v>451</v>
      </c>
      <c r="E44" t="s">
        <v>452</v>
      </c>
    </row>
    <row r="45" spans="1:5" ht="14.25" customHeight="1">
      <c r="A45" s="160"/>
      <c r="B45" s="162"/>
      <c r="C45" s="131" t="s">
        <v>186</v>
      </c>
      <c r="D45" s="131" t="s">
        <v>453</v>
      </c>
      <c r="E45" t="s">
        <v>454</v>
      </c>
    </row>
    <row r="46" spans="1:5" ht="14.25" customHeight="1">
      <c r="A46" s="160"/>
      <c r="B46" s="162"/>
      <c r="C46" s="131" t="s">
        <v>349</v>
      </c>
      <c r="D46" s="131" t="s">
        <v>455</v>
      </c>
      <c r="E46" t="s">
        <v>456</v>
      </c>
    </row>
    <row r="47" spans="1:5" ht="14.25" customHeight="1">
      <c r="A47" s="160" t="s">
        <v>457</v>
      </c>
      <c r="B47" s="161" t="s">
        <v>227</v>
      </c>
      <c r="C47" s="132" t="s">
        <v>228</v>
      </c>
      <c r="D47" s="131" t="s">
        <v>458</v>
      </c>
      <c r="E47" t="s">
        <v>459</v>
      </c>
    </row>
    <row r="48" spans="1:5" ht="14.25" customHeight="1">
      <c r="A48" s="160"/>
      <c r="B48" s="161"/>
      <c r="C48" s="132" t="s">
        <v>232</v>
      </c>
      <c r="D48" s="131" t="s">
        <v>460</v>
      </c>
      <c r="E48" t="s">
        <v>461</v>
      </c>
    </row>
    <row r="49" spans="1:5" ht="14.25" customHeight="1">
      <c r="A49" s="160" t="s">
        <v>462</v>
      </c>
      <c r="B49" s="162" t="s">
        <v>341</v>
      </c>
      <c r="C49" s="131" t="s">
        <v>342</v>
      </c>
      <c r="D49" s="131" t="s">
        <v>463</v>
      </c>
      <c r="E49" t="s">
        <v>464</v>
      </c>
    </row>
    <row r="50" spans="1:5" ht="14.25" customHeight="1">
      <c r="A50" s="160"/>
      <c r="B50" s="162"/>
      <c r="C50" s="131" t="s">
        <v>465</v>
      </c>
      <c r="D50" s="131" t="s">
        <v>466</v>
      </c>
      <c r="E50" t="s">
        <v>467</v>
      </c>
    </row>
    <row r="51" spans="1:5" ht="14.25" customHeight="1">
      <c r="A51" s="134" t="s">
        <v>468</v>
      </c>
      <c r="B51" s="135" t="s">
        <v>420</v>
      </c>
      <c r="C51" s="131" t="s">
        <v>469</v>
      </c>
      <c r="D51" s="132" t="s">
        <v>468</v>
      </c>
      <c r="E51" t="s">
        <v>470</v>
      </c>
    </row>
    <row r="52" spans="1:5" ht="14.25" customHeight="1">
      <c r="A52" s="160" t="s">
        <v>471</v>
      </c>
      <c r="B52" s="162" t="s">
        <v>216</v>
      </c>
      <c r="C52" s="132" t="s">
        <v>182</v>
      </c>
      <c r="D52" s="131" t="s">
        <v>472</v>
      </c>
      <c r="E52" t="s">
        <v>473</v>
      </c>
    </row>
    <row r="53" spans="1:5" ht="14.25" customHeight="1">
      <c r="A53" s="160"/>
      <c r="B53" s="162"/>
      <c r="C53" s="131" t="s">
        <v>183</v>
      </c>
      <c r="D53" s="131" t="s">
        <v>474</v>
      </c>
      <c r="E53" t="s">
        <v>475</v>
      </c>
    </row>
    <row r="54" spans="1:5" ht="14.25" customHeight="1">
      <c r="A54" s="160"/>
      <c r="B54" s="162"/>
      <c r="C54" s="131" t="s">
        <v>184</v>
      </c>
      <c r="D54" s="131" t="s">
        <v>476</v>
      </c>
      <c r="E54" t="s">
        <v>352</v>
      </c>
    </row>
    <row r="55" spans="1:5" ht="14.25" customHeight="1">
      <c r="A55" s="160"/>
      <c r="B55" s="162"/>
      <c r="C55" s="131" t="s">
        <v>168</v>
      </c>
      <c r="D55" s="131" t="s">
        <v>477</v>
      </c>
      <c r="E55" t="s">
        <v>478</v>
      </c>
    </row>
    <row r="56" spans="1:5" ht="14.25" customHeight="1">
      <c r="A56" s="160"/>
      <c r="B56" s="162"/>
      <c r="C56" s="131" t="s">
        <v>199</v>
      </c>
      <c r="D56" s="131" t="s">
        <v>479</v>
      </c>
      <c r="E56" t="s">
        <v>480</v>
      </c>
    </row>
    <row r="57" spans="1:5" ht="14.25" customHeight="1">
      <c r="A57" s="160"/>
      <c r="B57" s="162"/>
      <c r="C57" s="132" t="s">
        <v>481</v>
      </c>
      <c r="D57" s="131" t="s">
        <v>482</v>
      </c>
      <c r="E57" t="s">
        <v>483</v>
      </c>
    </row>
    <row r="58" spans="1:5" ht="14.25" customHeight="1">
      <c r="A58" s="160"/>
      <c r="B58" s="162"/>
      <c r="C58" s="131" t="s">
        <v>484</v>
      </c>
      <c r="D58" s="131" t="s">
        <v>485</v>
      </c>
      <c r="E58" t="s">
        <v>486</v>
      </c>
    </row>
    <row r="59" spans="1:5" ht="14.25" customHeight="1">
      <c r="A59" s="160"/>
      <c r="B59" s="162"/>
      <c r="C59" s="131" t="s">
        <v>181</v>
      </c>
      <c r="D59" s="131" t="s">
        <v>487</v>
      </c>
      <c r="E59" t="s">
        <v>488</v>
      </c>
    </row>
    <row r="60" spans="1:5" ht="14.25" customHeight="1">
      <c r="A60" s="160"/>
      <c r="B60" s="162"/>
      <c r="C60" s="131" t="s">
        <v>363</v>
      </c>
      <c r="D60" s="131" t="s">
        <v>489</v>
      </c>
      <c r="E60" t="s">
        <v>490</v>
      </c>
    </row>
    <row r="61" spans="1:5" ht="14.25" customHeight="1">
      <c r="A61" s="160"/>
      <c r="B61" s="162"/>
      <c r="C61" s="131" t="s">
        <v>180</v>
      </c>
      <c r="D61" s="131" t="s">
        <v>491</v>
      </c>
      <c r="E61" t="s">
        <v>492</v>
      </c>
    </row>
    <row r="62" spans="1:5" ht="14.25" customHeight="1">
      <c r="A62" s="160" t="s">
        <v>493</v>
      </c>
      <c r="B62" s="162" t="s">
        <v>221</v>
      </c>
      <c r="C62" s="131" t="s">
        <v>362</v>
      </c>
      <c r="D62" s="131" t="s">
        <v>494</v>
      </c>
      <c r="E62" t="s">
        <v>495</v>
      </c>
    </row>
    <row r="63" spans="1:5" ht="14.25" customHeight="1">
      <c r="A63" s="160"/>
      <c r="B63" s="162"/>
      <c r="C63" s="131" t="s">
        <v>229</v>
      </c>
      <c r="D63" s="131" t="s">
        <v>496</v>
      </c>
    </row>
    <row r="64" spans="1:5" ht="14.25" customHeight="1">
      <c r="A64" s="160"/>
      <c r="B64" s="162"/>
      <c r="C64" s="131" t="s">
        <v>177</v>
      </c>
      <c r="D64" s="131" t="s">
        <v>497</v>
      </c>
    </row>
    <row r="65" spans="1:4" ht="14.25" customHeight="1">
      <c r="A65" s="160" t="s">
        <v>498</v>
      </c>
      <c r="B65" s="162" t="s">
        <v>209</v>
      </c>
      <c r="C65" s="131" t="s">
        <v>197</v>
      </c>
      <c r="D65" s="131" t="s">
        <v>499</v>
      </c>
    </row>
    <row r="66" spans="1:4" ht="14.25" customHeight="1">
      <c r="A66" s="160"/>
      <c r="B66" s="162"/>
      <c r="C66" s="131" t="s">
        <v>210</v>
      </c>
      <c r="D66" s="131" t="s">
        <v>500</v>
      </c>
    </row>
    <row r="67" spans="1:4" ht="14.25" customHeight="1">
      <c r="A67" s="160"/>
      <c r="B67" s="162"/>
      <c r="C67" s="131" t="s">
        <v>212</v>
      </c>
      <c r="D67" s="131" t="s">
        <v>501</v>
      </c>
    </row>
    <row r="68" spans="1:4" ht="14.25" customHeight="1">
      <c r="A68" s="160"/>
      <c r="B68" s="162"/>
      <c r="C68" s="131" t="s">
        <v>211</v>
      </c>
      <c r="D68" s="131" t="s">
        <v>502</v>
      </c>
    </row>
    <row r="69" spans="1:4" ht="14.25" customHeight="1">
      <c r="A69" s="160" t="s">
        <v>503</v>
      </c>
      <c r="B69" s="162" t="s">
        <v>254</v>
      </c>
      <c r="C69" s="131" t="s">
        <v>504</v>
      </c>
      <c r="D69" s="131" t="s">
        <v>505</v>
      </c>
    </row>
    <row r="70" spans="1:4" ht="14.25" customHeight="1">
      <c r="A70" s="160"/>
      <c r="B70" s="162"/>
      <c r="C70" s="131" t="s">
        <v>256</v>
      </c>
      <c r="D70" s="131" t="s">
        <v>506</v>
      </c>
    </row>
    <row r="71" spans="1:4" ht="14.25" customHeight="1">
      <c r="A71" s="160"/>
      <c r="B71" s="162"/>
      <c r="C71" s="131" t="s">
        <v>255</v>
      </c>
      <c r="D71" s="131" t="s">
        <v>507</v>
      </c>
    </row>
    <row r="72" spans="1:4" ht="14.25" customHeight="1">
      <c r="A72" s="160"/>
      <c r="B72" s="162"/>
      <c r="C72" s="131" t="s">
        <v>190</v>
      </c>
      <c r="D72" s="131" t="s">
        <v>508</v>
      </c>
    </row>
    <row r="73" spans="1:4" ht="14.25" customHeight="1">
      <c r="A73" s="160"/>
      <c r="B73" s="162"/>
      <c r="C73" s="131" t="s">
        <v>198</v>
      </c>
      <c r="D73" s="131" t="s">
        <v>509</v>
      </c>
    </row>
    <row r="74" spans="1:4" ht="14.25" customHeight="1">
      <c r="A74" s="160"/>
      <c r="B74" s="162"/>
      <c r="C74" s="131" t="s">
        <v>257</v>
      </c>
      <c r="D74" s="131" t="s">
        <v>510</v>
      </c>
    </row>
    <row r="75" spans="1:4" ht="14.25" customHeight="1">
      <c r="A75" s="160" t="s">
        <v>511</v>
      </c>
      <c r="B75" s="161" t="s">
        <v>202</v>
      </c>
      <c r="C75" s="132" t="s">
        <v>236</v>
      </c>
      <c r="D75" s="131" t="s">
        <v>512</v>
      </c>
    </row>
    <row r="76" spans="1:4" ht="14.25" customHeight="1">
      <c r="A76" s="160"/>
      <c r="B76" s="161"/>
      <c r="C76" s="132" t="s">
        <v>237</v>
      </c>
      <c r="D76" s="131" t="s">
        <v>513</v>
      </c>
    </row>
    <row r="77" spans="1:4" ht="14.25" customHeight="1">
      <c r="A77" s="160"/>
      <c r="B77" s="161"/>
      <c r="C77" s="132" t="s">
        <v>170</v>
      </c>
      <c r="D77" s="131" t="s">
        <v>511</v>
      </c>
    </row>
    <row r="78" spans="1:4" ht="14.25" customHeight="1">
      <c r="A78" s="160"/>
      <c r="B78" s="161"/>
      <c r="C78" s="131" t="s">
        <v>514</v>
      </c>
      <c r="D78" s="131" t="s">
        <v>515</v>
      </c>
    </row>
    <row r="79" spans="1:4" ht="14.25" customHeight="1">
      <c r="A79" s="160"/>
      <c r="B79" s="161"/>
      <c r="C79" s="131" t="s">
        <v>203</v>
      </c>
      <c r="D79" s="131" t="s">
        <v>516</v>
      </c>
    </row>
    <row r="80" spans="1:4" ht="14.25" customHeight="1">
      <c r="A80" s="160"/>
      <c r="B80" s="161"/>
      <c r="C80" s="132" t="s">
        <v>252</v>
      </c>
      <c r="D80" s="131" t="s">
        <v>517</v>
      </c>
    </row>
    <row r="81" spans="1:4" ht="14.25" customHeight="1">
      <c r="A81" s="160"/>
      <c r="B81" s="161"/>
      <c r="C81" s="132" t="s">
        <v>518</v>
      </c>
      <c r="D81" s="131" t="s">
        <v>519</v>
      </c>
    </row>
    <row r="82" spans="1:4" ht="14.25" customHeight="1">
      <c r="A82" s="160"/>
      <c r="B82" s="161"/>
      <c r="C82" s="132" t="s">
        <v>251</v>
      </c>
      <c r="D82" s="131" t="s">
        <v>520</v>
      </c>
    </row>
    <row r="83" spans="1:4" ht="14.25" customHeight="1">
      <c r="A83" s="160" t="s">
        <v>521</v>
      </c>
      <c r="B83" s="162" t="s">
        <v>223</v>
      </c>
      <c r="C83" s="131" t="s">
        <v>522</v>
      </c>
      <c r="D83" s="131" t="s">
        <v>523</v>
      </c>
    </row>
    <row r="84" spans="1:4" ht="14.25" customHeight="1">
      <c r="A84" s="160"/>
      <c r="B84" s="162"/>
      <c r="C84" s="131" t="s">
        <v>224</v>
      </c>
      <c r="D84" s="131" t="s">
        <v>524</v>
      </c>
    </row>
    <row r="85" spans="1:4" ht="14.25" customHeight="1">
      <c r="A85" s="160" t="s">
        <v>525</v>
      </c>
      <c r="B85" s="162" t="s">
        <v>431</v>
      </c>
      <c r="C85" s="131" t="s">
        <v>526</v>
      </c>
      <c r="D85" s="131" t="s">
        <v>527</v>
      </c>
    </row>
    <row r="86" spans="1:4" ht="14.25" customHeight="1">
      <c r="A86" s="160"/>
      <c r="B86" s="162"/>
      <c r="C86" s="131" t="s">
        <v>528</v>
      </c>
      <c r="D86" s="131" t="s">
        <v>529</v>
      </c>
    </row>
    <row r="87" spans="1:4" ht="14.25" customHeight="1">
      <c r="A87" s="160" t="s">
        <v>530</v>
      </c>
      <c r="B87" s="161" t="s">
        <v>222</v>
      </c>
      <c r="C87" s="132" t="s">
        <v>531</v>
      </c>
      <c r="D87" s="131" t="s">
        <v>532</v>
      </c>
    </row>
    <row r="88" spans="1:4" ht="14.25" customHeight="1">
      <c r="A88" s="160"/>
      <c r="B88" s="161"/>
      <c r="C88" s="132" t="s">
        <v>188</v>
      </c>
      <c r="D88" s="131" t="s">
        <v>533</v>
      </c>
    </row>
    <row r="89" spans="1:4" ht="14.25" customHeight="1">
      <c r="A89" s="160"/>
      <c r="B89" s="161"/>
      <c r="C89" s="131" t="s">
        <v>346</v>
      </c>
      <c r="D89" s="131" t="s">
        <v>534</v>
      </c>
    </row>
    <row r="90" spans="1:4" ht="14.25" customHeight="1">
      <c r="A90" s="160" t="s">
        <v>535</v>
      </c>
      <c r="B90" s="161" t="s">
        <v>248</v>
      </c>
      <c r="C90" s="132" t="s">
        <v>245</v>
      </c>
      <c r="D90" s="131" t="s">
        <v>536</v>
      </c>
    </row>
    <row r="91" spans="1:4" ht="14.25" customHeight="1">
      <c r="A91" s="160"/>
      <c r="B91" s="161"/>
      <c r="C91" s="132" t="s">
        <v>537</v>
      </c>
      <c r="D91" s="131" t="s">
        <v>535</v>
      </c>
    </row>
    <row r="92" spans="1:4" ht="14.25" customHeight="1">
      <c r="A92" s="160" t="s">
        <v>538</v>
      </c>
      <c r="B92" s="162" t="s">
        <v>138</v>
      </c>
      <c r="C92" s="131" t="s">
        <v>139</v>
      </c>
      <c r="D92" s="131" t="s">
        <v>539</v>
      </c>
    </row>
    <row r="93" spans="1:4" ht="14.25" customHeight="1">
      <c r="A93" s="160"/>
      <c r="B93" s="162"/>
      <c r="C93" s="131" t="s">
        <v>338</v>
      </c>
      <c r="D93" s="131" t="s">
        <v>540</v>
      </c>
    </row>
    <row r="94" spans="1:4" ht="14.25" customHeight="1">
      <c r="A94" s="160"/>
      <c r="B94" s="162"/>
      <c r="C94" s="131" t="s">
        <v>541</v>
      </c>
      <c r="D94" s="131" t="s">
        <v>542</v>
      </c>
    </row>
    <row r="95" spans="1:4" ht="14.25" customHeight="1">
      <c r="A95" s="160"/>
      <c r="B95" s="162"/>
      <c r="C95" s="131" t="s">
        <v>361</v>
      </c>
      <c r="D95" s="131" t="s">
        <v>543</v>
      </c>
    </row>
    <row r="96" spans="1:4" ht="14.25" customHeight="1">
      <c r="A96" s="160"/>
      <c r="B96" s="162"/>
      <c r="C96" s="131" t="s">
        <v>544</v>
      </c>
      <c r="D96" s="131" t="s">
        <v>545</v>
      </c>
    </row>
    <row r="97" spans="1:4" ht="14.25" customHeight="1">
      <c r="A97" s="160" t="s">
        <v>546</v>
      </c>
      <c r="B97" s="162" t="s">
        <v>241</v>
      </c>
      <c r="C97" s="132" t="s">
        <v>547</v>
      </c>
      <c r="D97" s="131" t="s">
        <v>548</v>
      </c>
    </row>
    <row r="98" spans="1:4" ht="14.25" customHeight="1">
      <c r="A98" s="160"/>
      <c r="B98" s="162"/>
      <c r="C98" s="132" t="s">
        <v>150</v>
      </c>
      <c r="D98" s="131" t="s">
        <v>549</v>
      </c>
    </row>
    <row r="99" spans="1:4" ht="14.25" customHeight="1">
      <c r="A99" s="160"/>
      <c r="B99" s="162"/>
      <c r="C99" s="131" t="s">
        <v>550</v>
      </c>
      <c r="D99" s="131" t="s">
        <v>551</v>
      </c>
    </row>
    <row r="100" spans="1:4" ht="14.25" customHeight="1">
      <c r="A100" s="160"/>
      <c r="B100" s="162"/>
      <c r="C100" s="131" t="s">
        <v>242</v>
      </c>
      <c r="D100" s="131" t="s">
        <v>552</v>
      </c>
    </row>
    <row r="101" spans="1:4" ht="14.25" customHeight="1">
      <c r="A101" s="136" t="s">
        <v>553</v>
      </c>
      <c r="B101" s="135" t="s">
        <v>441</v>
      </c>
      <c r="C101" s="131" t="s">
        <v>194</v>
      </c>
      <c r="D101" s="131" t="s">
        <v>553</v>
      </c>
    </row>
    <row r="102" spans="1:4" ht="14.25" customHeight="1">
      <c r="A102" s="160" t="s">
        <v>554</v>
      </c>
      <c r="B102" s="161" t="s">
        <v>445</v>
      </c>
      <c r="C102" s="131" t="s">
        <v>555</v>
      </c>
      <c r="D102" s="131" t="s">
        <v>556</v>
      </c>
    </row>
    <row r="103" spans="1:4" ht="14.25" customHeight="1">
      <c r="A103" s="160"/>
      <c r="B103" s="161"/>
      <c r="C103" s="132" t="s">
        <v>557</v>
      </c>
      <c r="D103" s="131" t="s">
        <v>558</v>
      </c>
    </row>
    <row r="104" spans="1:4" ht="14.25" customHeight="1">
      <c r="A104" s="160"/>
      <c r="B104" s="161"/>
      <c r="C104" s="132" t="s">
        <v>559</v>
      </c>
      <c r="D104" s="131" t="s">
        <v>560</v>
      </c>
    </row>
    <row r="105" spans="1:4" ht="14.25" customHeight="1">
      <c r="A105" s="160"/>
      <c r="B105" s="161"/>
      <c r="C105" s="132" t="s">
        <v>561</v>
      </c>
      <c r="D105" s="131" t="s">
        <v>562</v>
      </c>
    </row>
    <row r="106" spans="1:4" ht="14.25" customHeight="1">
      <c r="A106" s="136" t="s">
        <v>563</v>
      </c>
      <c r="B106" s="135" t="s">
        <v>344</v>
      </c>
      <c r="C106" s="132" t="s">
        <v>201</v>
      </c>
      <c r="D106" s="131" t="s">
        <v>563</v>
      </c>
    </row>
    <row r="107" spans="1:4" ht="14.25" customHeight="1">
      <c r="A107" s="160" t="s">
        <v>564</v>
      </c>
      <c r="B107" s="162" t="s">
        <v>355</v>
      </c>
      <c r="C107" s="131" t="s">
        <v>356</v>
      </c>
      <c r="D107" s="131" t="s">
        <v>565</v>
      </c>
    </row>
    <row r="108" spans="1:4" ht="14.25" customHeight="1">
      <c r="A108" s="160"/>
      <c r="B108" s="162"/>
      <c r="C108" s="131" t="s">
        <v>566</v>
      </c>
      <c r="D108" s="131" t="s">
        <v>567</v>
      </c>
    </row>
    <row r="109" spans="1:4" ht="14.25" customHeight="1">
      <c r="A109" s="160"/>
      <c r="B109" s="162"/>
      <c r="C109" s="131" t="s">
        <v>568</v>
      </c>
      <c r="D109" s="131" t="s">
        <v>569</v>
      </c>
    </row>
    <row r="110" spans="1:4" ht="14.25" customHeight="1">
      <c r="A110" s="134" t="s">
        <v>570</v>
      </c>
      <c r="B110" s="135" t="s">
        <v>452</v>
      </c>
      <c r="C110" s="131" t="s">
        <v>571</v>
      </c>
      <c r="D110" s="131" t="s">
        <v>570</v>
      </c>
    </row>
    <row r="111" spans="1:4" ht="14.25" customHeight="1">
      <c r="A111" s="160" t="s">
        <v>572</v>
      </c>
      <c r="B111" s="162" t="s">
        <v>238</v>
      </c>
      <c r="C111" s="131" t="s">
        <v>239</v>
      </c>
      <c r="D111" s="131" t="s">
        <v>573</v>
      </c>
    </row>
    <row r="112" spans="1:4" ht="14.25" customHeight="1">
      <c r="A112" s="160"/>
      <c r="B112" s="162"/>
      <c r="C112" s="131" t="s">
        <v>574</v>
      </c>
      <c r="D112" s="131" t="s">
        <v>575</v>
      </c>
    </row>
    <row r="113" spans="1:4" ht="14.25" customHeight="1">
      <c r="A113" s="160" t="s">
        <v>576</v>
      </c>
      <c r="B113" s="162" t="s">
        <v>454</v>
      </c>
      <c r="C113" s="131" t="s">
        <v>577</v>
      </c>
      <c r="D113" s="131" t="s">
        <v>578</v>
      </c>
    </row>
    <row r="114" spans="1:4" ht="14.25" customHeight="1">
      <c r="A114" s="160"/>
      <c r="B114" s="162"/>
      <c r="C114" s="131" t="s">
        <v>579</v>
      </c>
      <c r="D114" s="131" t="s">
        <v>580</v>
      </c>
    </row>
    <row r="115" spans="1:4" ht="14.25" customHeight="1">
      <c r="A115" s="160" t="s">
        <v>581</v>
      </c>
      <c r="B115" s="162" t="s">
        <v>456</v>
      </c>
      <c r="C115" s="131" t="s">
        <v>582</v>
      </c>
      <c r="D115" s="131" t="s">
        <v>583</v>
      </c>
    </row>
    <row r="116" spans="1:4" ht="14.25" customHeight="1">
      <c r="A116" s="160"/>
      <c r="B116" s="162"/>
      <c r="C116" s="131" t="s">
        <v>584</v>
      </c>
      <c r="D116" s="131" t="s">
        <v>585</v>
      </c>
    </row>
    <row r="117" spans="1:4" ht="14.25" customHeight="1">
      <c r="A117" s="160"/>
      <c r="B117" s="162"/>
      <c r="C117" s="131" t="s">
        <v>586</v>
      </c>
      <c r="D117" s="131" t="s">
        <v>587</v>
      </c>
    </row>
    <row r="118" spans="1:4" ht="14.25" customHeight="1">
      <c r="A118" s="160" t="s">
        <v>588</v>
      </c>
      <c r="B118" s="162" t="s">
        <v>459</v>
      </c>
      <c r="C118" s="131" t="s">
        <v>589</v>
      </c>
      <c r="D118" s="131" t="s">
        <v>590</v>
      </c>
    </row>
    <row r="119" spans="1:4" ht="14.25" customHeight="1">
      <c r="A119" s="160"/>
      <c r="B119" s="162"/>
      <c r="C119" s="131" t="s">
        <v>591</v>
      </c>
      <c r="D119" s="131" t="s">
        <v>592</v>
      </c>
    </row>
    <row r="120" spans="1:4" ht="14.25" customHeight="1">
      <c r="A120" s="160" t="s">
        <v>593</v>
      </c>
      <c r="B120" s="162" t="s">
        <v>461</v>
      </c>
      <c r="C120" s="131" t="s">
        <v>594</v>
      </c>
      <c r="D120" s="131" t="s">
        <v>595</v>
      </c>
    </row>
    <row r="121" spans="1:4" ht="14.25" customHeight="1">
      <c r="A121" s="163"/>
      <c r="B121" s="162"/>
      <c r="C121" s="131" t="s">
        <v>596</v>
      </c>
      <c r="D121" s="131" t="s">
        <v>597</v>
      </c>
    </row>
    <row r="122" spans="1:4" ht="14.25" customHeight="1">
      <c r="A122" s="160" t="s">
        <v>598</v>
      </c>
      <c r="B122" s="162" t="s">
        <v>464</v>
      </c>
      <c r="C122" s="132" t="s">
        <v>599</v>
      </c>
      <c r="D122" s="131" t="s">
        <v>600</v>
      </c>
    </row>
    <row r="123" spans="1:4" ht="14.25" customHeight="1">
      <c r="A123" s="160"/>
      <c r="B123" s="162"/>
      <c r="C123" s="132" t="s">
        <v>601</v>
      </c>
      <c r="D123" s="131" t="s">
        <v>602</v>
      </c>
    </row>
    <row r="124" spans="1:4" ht="14.25" customHeight="1">
      <c r="A124" s="160" t="s">
        <v>603</v>
      </c>
      <c r="B124" s="162" t="s">
        <v>467</v>
      </c>
      <c r="C124" s="131" t="s">
        <v>604</v>
      </c>
      <c r="D124" s="131" t="s">
        <v>605</v>
      </c>
    </row>
    <row r="125" spans="1:4" ht="14.25" customHeight="1">
      <c r="A125" s="160"/>
      <c r="B125" s="162"/>
      <c r="C125" s="131" t="s">
        <v>606</v>
      </c>
      <c r="D125" s="131" t="s">
        <v>607</v>
      </c>
    </row>
    <row r="126" spans="1:4" ht="14.25" customHeight="1">
      <c r="A126" s="136" t="s">
        <v>608</v>
      </c>
      <c r="B126" s="135" t="s">
        <v>470</v>
      </c>
      <c r="C126" s="132" t="s">
        <v>609</v>
      </c>
      <c r="D126" s="131" t="s">
        <v>608</v>
      </c>
    </row>
    <row r="127" spans="1:4" ht="14.25" customHeight="1">
      <c r="A127" s="160" t="s">
        <v>610</v>
      </c>
      <c r="B127" s="162" t="s">
        <v>352</v>
      </c>
      <c r="C127" s="131" t="s">
        <v>611</v>
      </c>
      <c r="D127" s="131" t="s">
        <v>612</v>
      </c>
    </row>
    <row r="128" spans="1:4" ht="14.25" customHeight="1">
      <c r="A128" s="160"/>
      <c r="B128" s="162"/>
      <c r="C128" s="131" t="s">
        <v>250</v>
      </c>
      <c r="D128" s="131" t="s">
        <v>613</v>
      </c>
    </row>
    <row r="129" spans="1:4" ht="14.25" customHeight="1">
      <c r="A129" s="160"/>
      <c r="B129" s="162"/>
      <c r="C129" s="131" t="s">
        <v>353</v>
      </c>
      <c r="D129" s="131" t="s">
        <v>614</v>
      </c>
    </row>
    <row r="130" spans="1:4" ht="14.25" customHeight="1">
      <c r="A130" s="160"/>
      <c r="B130" s="162"/>
      <c r="C130" s="131" t="s">
        <v>615</v>
      </c>
      <c r="D130" s="131" t="s">
        <v>612</v>
      </c>
    </row>
    <row r="131" spans="1:4" ht="14.25" customHeight="1">
      <c r="A131" s="160" t="s">
        <v>616</v>
      </c>
      <c r="B131" s="162" t="s">
        <v>473</v>
      </c>
      <c r="C131" s="131" t="s">
        <v>617</v>
      </c>
      <c r="D131" s="131" t="s">
        <v>618</v>
      </c>
    </row>
    <row r="132" spans="1:4" ht="14.25" customHeight="1">
      <c r="A132" s="160"/>
      <c r="B132" s="162"/>
      <c r="C132" s="131" t="s">
        <v>619</v>
      </c>
      <c r="D132" s="131" t="s">
        <v>616</v>
      </c>
    </row>
    <row r="133" spans="1:4" ht="14.25" customHeight="1">
      <c r="A133" s="136" t="s">
        <v>620</v>
      </c>
      <c r="B133" s="135" t="s">
        <v>475</v>
      </c>
      <c r="C133" s="131" t="s">
        <v>621</v>
      </c>
      <c r="D133" s="131" t="s">
        <v>620</v>
      </c>
    </row>
    <row r="134" spans="1:4" ht="14.25" customHeight="1">
      <c r="A134" s="136" t="s">
        <v>622</v>
      </c>
      <c r="B134" s="135" t="s">
        <v>480</v>
      </c>
      <c r="C134" s="131" t="s">
        <v>623</v>
      </c>
      <c r="D134" s="131" t="s">
        <v>622</v>
      </c>
    </row>
    <row r="135" spans="1:4" ht="14.25" customHeight="1">
      <c r="A135" s="136" t="s">
        <v>624</v>
      </c>
      <c r="B135" s="135" t="s">
        <v>478</v>
      </c>
      <c r="C135" s="131" t="s">
        <v>625</v>
      </c>
      <c r="D135" s="131" t="s">
        <v>624</v>
      </c>
    </row>
    <row r="136" spans="1:4" ht="14.25" customHeight="1">
      <c r="A136" s="136" t="s">
        <v>626</v>
      </c>
      <c r="B136" s="135" t="s">
        <v>483</v>
      </c>
      <c r="C136" s="131" t="s">
        <v>627</v>
      </c>
      <c r="D136" s="131" t="s">
        <v>626</v>
      </c>
    </row>
    <row r="137" spans="1:4" ht="14.25" customHeight="1">
      <c r="A137" s="136" t="s">
        <v>628</v>
      </c>
      <c r="B137" s="135" t="s">
        <v>486</v>
      </c>
      <c r="C137" s="131" t="s">
        <v>629</v>
      </c>
      <c r="D137" s="131" t="s">
        <v>628</v>
      </c>
    </row>
    <row r="138" spans="1:4" ht="14.25" customHeight="1">
      <c r="A138" s="137" t="s">
        <v>630</v>
      </c>
      <c r="B138" s="135" t="s">
        <v>488</v>
      </c>
      <c r="C138" s="138" t="s">
        <v>631</v>
      </c>
      <c r="D138" s="138" t="s">
        <v>630</v>
      </c>
    </row>
    <row r="139" spans="1:4" ht="14.25" customHeight="1">
      <c r="A139" s="137" t="s">
        <v>632</v>
      </c>
      <c r="B139" s="139" t="s">
        <v>490</v>
      </c>
      <c r="C139" s="140" t="s">
        <v>633</v>
      </c>
      <c r="D139" s="140" t="s">
        <v>632</v>
      </c>
    </row>
    <row r="140" spans="1:4" ht="14.25" customHeight="1">
      <c r="A140" s="136" t="s">
        <v>634</v>
      </c>
      <c r="B140" s="135" t="s">
        <v>492</v>
      </c>
      <c r="C140" s="131" t="s">
        <v>635</v>
      </c>
      <c r="D140" s="131" t="s">
        <v>634</v>
      </c>
    </row>
    <row r="141" spans="1:4" ht="14.25" customHeight="1">
      <c r="A141" s="136" t="s">
        <v>636</v>
      </c>
      <c r="B141" s="135" t="s">
        <v>495</v>
      </c>
      <c r="C141" s="131" t="s">
        <v>637</v>
      </c>
      <c r="D141" s="131" t="s">
        <v>636</v>
      </c>
    </row>
    <row r="142" spans="1:4" ht="14.25" customHeight="1">
      <c r="A142" s="141"/>
      <c r="B142" s="141"/>
      <c r="C142" s="132" t="s">
        <v>638</v>
      </c>
      <c r="D142" s="141"/>
    </row>
  </sheetData>
  <mergeCells count="74">
    <mergeCell ref="A131:A132"/>
    <mergeCell ref="B131:B132"/>
    <mergeCell ref="A122:A123"/>
    <mergeCell ref="B122:B123"/>
    <mergeCell ref="A124:A125"/>
    <mergeCell ref="B124:B125"/>
    <mergeCell ref="A127:A130"/>
    <mergeCell ref="B127:B130"/>
    <mergeCell ref="A115:A117"/>
    <mergeCell ref="B115:B117"/>
    <mergeCell ref="A118:A119"/>
    <mergeCell ref="B118:B119"/>
    <mergeCell ref="A120:A121"/>
    <mergeCell ref="B120:B121"/>
    <mergeCell ref="A107:A109"/>
    <mergeCell ref="B107:B109"/>
    <mergeCell ref="A111:A112"/>
    <mergeCell ref="B111:B112"/>
    <mergeCell ref="A113:A114"/>
    <mergeCell ref="B113:B114"/>
    <mergeCell ref="A92:A96"/>
    <mergeCell ref="B92:B96"/>
    <mergeCell ref="A97:A100"/>
    <mergeCell ref="B97:B100"/>
    <mergeCell ref="A102:A105"/>
    <mergeCell ref="B102:B105"/>
    <mergeCell ref="A85:A86"/>
    <mergeCell ref="B85:B86"/>
    <mergeCell ref="A87:A89"/>
    <mergeCell ref="B87:B89"/>
    <mergeCell ref="A90:A91"/>
    <mergeCell ref="B90:B91"/>
    <mergeCell ref="A69:A74"/>
    <mergeCell ref="B69:B74"/>
    <mergeCell ref="A75:A82"/>
    <mergeCell ref="B75:B82"/>
    <mergeCell ref="A83:A84"/>
    <mergeCell ref="B83:B84"/>
    <mergeCell ref="A52:A61"/>
    <mergeCell ref="B52:B61"/>
    <mergeCell ref="A62:A64"/>
    <mergeCell ref="B62:B64"/>
    <mergeCell ref="A65:A68"/>
    <mergeCell ref="B65:B68"/>
    <mergeCell ref="A40:A46"/>
    <mergeCell ref="B40:B46"/>
    <mergeCell ref="A47:A48"/>
    <mergeCell ref="B47:B48"/>
    <mergeCell ref="A49:A50"/>
    <mergeCell ref="B49:B50"/>
    <mergeCell ref="A31:A35"/>
    <mergeCell ref="B31:B35"/>
    <mergeCell ref="A36:A37"/>
    <mergeCell ref="B36:B37"/>
    <mergeCell ref="A38:A39"/>
    <mergeCell ref="B38:B39"/>
    <mergeCell ref="A25:A26"/>
    <mergeCell ref="B25:B26"/>
    <mergeCell ref="A27:A28"/>
    <mergeCell ref="B27:B28"/>
    <mergeCell ref="A29:A30"/>
    <mergeCell ref="B29:B30"/>
    <mergeCell ref="A17:A19"/>
    <mergeCell ref="B17:B19"/>
    <mergeCell ref="A20:A22"/>
    <mergeCell ref="B20:B22"/>
    <mergeCell ref="A23:A24"/>
    <mergeCell ref="B23:B24"/>
    <mergeCell ref="A2:A5"/>
    <mergeCell ref="B2:B5"/>
    <mergeCell ref="A6:A11"/>
    <mergeCell ref="B6:B11"/>
    <mergeCell ref="A12:A16"/>
    <mergeCell ref="B12:B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Tornade</vt:lpstr>
      <vt:lpstr>WFCN</vt:lpstr>
      <vt:lpstr>Statistique</vt:lpstr>
      <vt:lpstr>Stat_Tornade</vt:lpstr>
      <vt:lpstr>Stat_Tornade_V2017</vt:lpstr>
      <vt:lpstr>Carte&amp;Code</vt:lpstr>
    </vt:vector>
  </TitlesOfParts>
  <Company>Environment Climate Change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Carim</cp:lastModifiedBy>
  <dcterms:created xsi:type="dcterms:W3CDTF">2019-05-17T12:32:56Z</dcterms:created>
  <dcterms:modified xsi:type="dcterms:W3CDTF">2019-05-22T18:21:43Z</dcterms:modified>
</cp:coreProperties>
</file>