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jpeg" ContentType="image/jpeg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4320" windowWidth="20115" windowHeight="3750" activeTab="1"/>
  </bookViews>
  <sheets>
    <sheet name="Variables" sheetId="31" r:id="rId1"/>
    <sheet name="Formulaire" sheetId="27" r:id="rId2"/>
    <sheet name="Base" sheetId="26" r:id="rId3"/>
    <sheet name="Synthèse" sheetId="29" r:id="rId4"/>
    <sheet name="Edition" sheetId="33" r:id="rId5"/>
  </sheets>
  <functionGroups/>
  <definedNames>
    <definedName name="_xlnm._FilterDatabase" localSheetId="2" hidden="1">Base!$E$1:$Q$1</definedName>
    <definedName name="ETABLISSEMENTS">OFFSET(Variables!$O$2,0,0,COUNTA(Variables!$O:$O)-1,1)</definedName>
    <definedName name="_xlnm.Print_Area" localSheetId="2">Base!$A$1:$H$1</definedName>
    <definedName name="_xlnm.Print_Area" localSheetId="4">Edition!$A$1:$S$41</definedName>
  </definedNames>
  <calcPr calcId="125725" fullPrecision="0"/>
</workbook>
</file>

<file path=xl/calcChain.xml><?xml version="1.0" encoding="utf-8"?>
<calcChain xmlns="http://schemas.openxmlformats.org/spreadsheetml/2006/main">
  <c r="R13" i="33"/>
  <c r="R17"/>
  <c r="R21"/>
  <c r="P13"/>
  <c r="P17"/>
  <c r="P21"/>
  <c r="A1" i="26" l="1"/>
  <c r="G3"/>
  <c r="G4"/>
  <c r="G5"/>
  <c r="G6"/>
  <c r="G7"/>
  <c r="G2"/>
  <c r="J7" l="1"/>
  <c r="J4"/>
  <c r="J2"/>
  <c r="J5"/>
  <c r="J3"/>
  <c r="J6"/>
  <c r="E25" i="33"/>
  <c r="AI10" i="29" l="1"/>
  <c r="AI9"/>
  <c r="AI8"/>
  <c r="AI7"/>
  <c r="AI6"/>
  <c r="AI5"/>
  <c r="AK10"/>
  <c r="AK9"/>
  <c r="AK8"/>
  <c r="AK7"/>
  <c r="AK6"/>
  <c r="AK5"/>
  <c r="AJ10"/>
  <c r="AJ9"/>
  <c r="AJ8"/>
  <c r="AJ7"/>
  <c r="AJ6"/>
  <c r="AJ5"/>
  <c r="AH10"/>
  <c r="AH9"/>
  <c r="AH8"/>
  <c r="AH7"/>
  <c r="AH6"/>
  <c r="AH4"/>
  <c r="AH3"/>
  <c r="AG10"/>
  <c r="AG9"/>
  <c r="AG8"/>
  <c r="AG7"/>
  <c r="AG6"/>
  <c r="AG4"/>
  <c r="AG3"/>
  <c r="AF10"/>
  <c r="AF9"/>
  <c r="AF8"/>
  <c r="AF7"/>
  <c r="AF6"/>
  <c r="AF4"/>
  <c r="AF3"/>
  <c r="AE10"/>
  <c r="AE9"/>
  <c r="AE8"/>
  <c r="AE7"/>
  <c r="AE6"/>
  <c r="AE5"/>
  <c r="AE4"/>
  <c r="AE3"/>
  <c r="AE2"/>
  <c r="AD10"/>
  <c r="AD9"/>
  <c r="AD8"/>
  <c r="AD7"/>
  <c r="AD6"/>
  <c r="AD5"/>
  <c r="AD4"/>
  <c r="AD3"/>
  <c r="AD2"/>
  <c r="AD11" s="1"/>
  <c r="AC10"/>
  <c r="AC9"/>
  <c r="AC8"/>
  <c r="AC7"/>
  <c r="AC6"/>
  <c r="AC5"/>
  <c r="AC4"/>
  <c r="AC3"/>
  <c r="AC2"/>
  <c r="AC11" s="1"/>
  <c r="AB10"/>
  <c r="AB9"/>
  <c r="AB8"/>
  <c r="AB7"/>
  <c r="AB6"/>
  <c r="AB5"/>
  <c r="AB4"/>
  <c r="AB3"/>
  <c r="AB2"/>
  <c r="AA10"/>
  <c r="AA9"/>
  <c r="AA8"/>
  <c r="AA7"/>
  <c r="AA6"/>
  <c r="AA5"/>
  <c r="AA4"/>
  <c r="AA3"/>
  <c r="AA2"/>
  <c r="AA11" s="1"/>
  <c r="Z10"/>
  <c r="Z9"/>
  <c r="Z8"/>
  <c r="Z7"/>
  <c r="Z6"/>
  <c r="Z5"/>
  <c r="Z4"/>
  <c r="Z3"/>
  <c r="Z2"/>
  <c r="Z11" s="1"/>
  <c r="Y10"/>
  <c r="AN10" s="1"/>
  <c r="Y9"/>
  <c r="AN9" s="1"/>
  <c r="Y8"/>
  <c r="AN8" s="1"/>
  <c r="Y7"/>
  <c r="AN7" s="1"/>
  <c r="Y6"/>
  <c r="AN6" s="1"/>
  <c r="Y5"/>
  <c r="Y4"/>
  <c r="Y3"/>
  <c r="Y2"/>
  <c r="X10"/>
  <c r="AM10" s="1"/>
  <c r="X9"/>
  <c r="AM9" s="1"/>
  <c r="X8"/>
  <c r="AM8" s="1"/>
  <c r="X7"/>
  <c r="AM7" s="1"/>
  <c r="X6"/>
  <c r="AM6" s="1"/>
  <c r="X5"/>
  <c r="X4"/>
  <c r="X3"/>
  <c r="X2"/>
  <c r="X11" s="1"/>
  <c r="W10"/>
  <c r="W9"/>
  <c r="W8"/>
  <c r="W7"/>
  <c r="W6"/>
  <c r="W5"/>
  <c r="W4"/>
  <c r="W3"/>
  <c r="W2"/>
  <c r="W11" s="1"/>
  <c r="V10"/>
  <c r="V9"/>
  <c r="V8"/>
  <c r="V7"/>
  <c r="V6"/>
  <c r="V5"/>
  <c r="V4"/>
  <c r="V3"/>
  <c r="V2"/>
  <c r="U10"/>
  <c r="U9"/>
  <c r="U8"/>
  <c r="U7"/>
  <c r="U6"/>
  <c r="U5"/>
  <c r="U4"/>
  <c r="U3"/>
  <c r="U2"/>
  <c r="U11" s="1"/>
  <c r="T10"/>
  <c r="T9"/>
  <c r="T8"/>
  <c r="T7"/>
  <c r="T6"/>
  <c r="T4"/>
  <c r="T3"/>
  <c r="S10"/>
  <c r="S9"/>
  <c r="S8"/>
  <c r="S7"/>
  <c r="S6"/>
  <c r="S5"/>
  <c r="S4"/>
  <c r="S2"/>
  <c r="R10"/>
  <c r="R9"/>
  <c r="R8"/>
  <c r="R7"/>
  <c r="R6"/>
  <c r="R5"/>
  <c r="R4"/>
  <c r="R3"/>
  <c r="R2"/>
  <c r="V11" l="1"/>
  <c r="AB11"/>
  <c r="Y11"/>
  <c r="AE11"/>
  <c r="AK3"/>
  <c r="AN3" s="1"/>
  <c r="AJ3"/>
  <c r="AM3" s="1"/>
  <c r="S3"/>
  <c r="AI3"/>
  <c r="AH5"/>
  <c r="AN5" s="1"/>
  <c r="AG5"/>
  <c r="AM5" s="1"/>
  <c r="AF5"/>
  <c r="T5"/>
  <c r="AG2"/>
  <c r="AF2"/>
  <c r="AH2"/>
  <c r="AJ4"/>
  <c r="AM4" s="1"/>
  <c r="AI4"/>
  <c r="AK4"/>
  <c r="AN4" s="1"/>
  <c r="AI2"/>
  <c r="AK2"/>
  <c r="T2"/>
  <c r="AJ2"/>
  <c r="Q2"/>
  <c r="Q10"/>
  <c r="Q9"/>
  <c r="Q8"/>
  <c r="Q7"/>
  <c r="Q6"/>
  <c r="Q5"/>
  <c r="Q4"/>
  <c r="Q3"/>
  <c r="P10"/>
  <c r="P9"/>
  <c r="P8"/>
  <c r="P7"/>
  <c r="P6"/>
  <c r="P5"/>
  <c r="P4"/>
  <c r="P3"/>
  <c r="P2"/>
  <c r="O10"/>
  <c r="O9"/>
  <c r="O8"/>
  <c r="O7"/>
  <c r="O6"/>
  <c r="O5"/>
  <c r="O4"/>
  <c r="O3"/>
  <c r="O2"/>
  <c r="N10"/>
  <c r="N9"/>
  <c r="N8"/>
  <c r="N7"/>
  <c r="N6"/>
  <c r="N5"/>
  <c r="N4"/>
  <c r="N3"/>
  <c r="N2"/>
  <c r="M10"/>
  <c r="M9"/>
  <c r="M8"/>
  <c r="M7"/>
  <c r="M6"/>
  <c r="M5"/>
  <c r="M4"/>
  <c r="M3"/>
  <c r="M2"/>
  <c r="L10"/>
  <c r="L9"/>
  <c r="L8"/>
  <c r="L7"/>
  <c r="L6"/>
  <c r="L5"/>
  <c r="L4"/>
  <c r="L3"/>
  <c r="L2"/>
  <c r="K10"/>
  <c r="K9"/>
  <c r="K8"/>
  <c r="K7"/>
  <c r="K6"/>
  <c r="K5"/>
  <c r="K4"/>
  <c r="K3"/>
  <c r="K2"/>
  <c r="R11"/>
  <c r="S11"/>
  <c r="AF11"/>
  <c r="J10"/>
  <c r="J9"/>
  <c r="J8"/>
  <c r="J7"/>
  <c r="J6"/>
  <c r="J5"/>
  <c r="J4"/>
  <c r="J3"/>
  <c r="J2"/>
  <c r="I10"/>
  <c r="I9"/>
  <c r="I8"/>
  <c r="I7"/>
  <c r="I6"/>
  <c r="I5"/>
  <c r="I4"/>
  <c r="I3"/>
  <c r="I2"/>
  <c r="G10"/>
  <c r="G9"/>
  <c r="G8"/>
  <c r="G7"/>
  <c r="G6"/>
  <c r="G5"/>
  <c r="G4"/>
  <c r="G3"/>
  <c r="H2"/>
  <c r="H3"/>
  <c r="H4"/>
  <c r="H5"/>
  <c r="H6"/>
  <c r="H7"/>
  <c r="H8"/>
  <c r="H9"/>
  <c r="G2"/>
  <c r="H10"/>
  <c r="AN2" l="1"/>
  <c r="AM2"/>
  <c r="AK11"/>
  <c r="R29" i="33" s="1"/>
  <c r="AG11" i="29"/>
  <c r="P25" i="33" s="1"/>
  <c r="AI11" i="29"/>
  <c r="T11"/>
  <c r="AJ11"/>
  <c r="P29" i="33" s="1"/>
  <c r="I11" i="29"/>
  <c r="AH11"/>
  <c r="J11"/>
  <c r="Q11"/>
  <c r="P11"/>
  <c r="O11"/>
  <c r="N11"/>
  <c r="M11"/>
  <c r="L11"/>
  <c r="K11"/>
  <c r="H11"/>
  <c r="G11"/>
  <c r="F10"/>
  <c r="F9"/>
  <c r="F8"/>
  <c r="F7"/>
  <c r="F6"/>
  <c r="F5"/>
  <c r="F4"/>
  <c r="F3"/>
  <c r="F2"/>
  <c r="F11" s="1"/>
  <c r="E10"/>
  <c r="E9"/>
  <c r="E8"/>
  <c r="E7"/>
  <c r="E6"/>
  <c r="E5"/>
  <c r="E4"/>
  <c r="E3"/>
  <c r="E2"/>
  <c r="C10"/>
  <c r="C9"/>
  <c r="C8"/>
  <c r="C7"/>
  <c r="C6"/>
  <c r="C5"/>
  <c r="C4"/>
  <c r="C3"/>
  <c r="C2"/>
  <c r="AN11" l="1"/>
  <c r="R25" i="33"/>
  <c r="R34"/>
  <c r="R32"/>
  <c r="AM11" i="29"/>
  <c r="C11"/>
  <c r="E11"/>
  <c r="B10"/>
  <c r="D10" s="1"/>
  <c r="B9"/>
  <c r="D9" s="1"/>
  <c r="B8"/>
  <c r="D8" s="1"/>
  <c r="B7"/>
  <c r="D7" s="1"/>
  <c r="B6"/>
  <c r="D6" s="1"/>
  <c r="B5"/>
  <c r="D5" s="1"/>
  <c r="B4"/>
  <c r="D4" s="1"/>
  <c r="B3"/>
  <c r="D3" s="1"/>
  <c r="B2"/>
  <c r="D2" s="1"/>
  <c r="D11" l="1"/>
  <c r="B11"/>
  <c r="A1" i="27"/>
</calcChain>
</file>

<file path=xl/sharedStrings.xml><?xml version="1.0" encoding="utf-8"?>
<sst xmlns="http://schemas.openxmlformats.org/spreadsheetml/2006/main" count="287" uniqueCount="159">
  <si>
    <t>ENFANTS</t>
  </si>
  <si>
    <t>AGE</t>
  </si>
  <si>
    <t>ENTREE</t>
  </si>
  <si>
    <t>SORTIE</t>
  </si>
  <si>
    <t>ACCUEIL</t>
  </si>
  <si>
    <t>TARIF</t>
  </si>
  <si>
    <t>DATE           DE NAISSANCE</t>
  </si>
  <si>
    <t>NOMBRE   DE JOURS RESTANT</t>
  </si>
  <si>
    <t>NOMBRE   DE JOURS D'ACCUEIL</t>
  </si>
  <si>
    <t>HEURES MOIS</t>
  </si>
  <si>
    <t>MONTANT MENSUEL</t>
  </si>
  <si>
    <t>RESERVATION</t>
  </si>
  <si>
    <t>ABRI.MAT</t>
  </si>
  <si>
    <t>SALARIE</t>
  </si>
  <si>
    <t>ETABLISSEMENT 1</t>
  </si>
  <si>
    <t>ETABLISSEMENT</t>
  </si>
  <si>
    <t>ETABLISSEMENT 2</t>
  </si>
  <si>
    <t>ETABLISSEMENT 3</t>
  </si>
  <si>
    <t>ETABLISSEMENT 4</t>
  </si>
  <si>
    <t>ETABLISSEMENT 5</t>
  </si>
  <si>
    <t>ETABLISSEMENT 6</t>
  </si>
  <si>
    <t>ETABLISSEMENT 7</t>
  </si>
  <si>
    <t>ETABLISSEMENT 8</t>
  </si>
  <si>
    <t>ETABLISSEMENT 9</t>
  </si>
  <si>
    <t>Label</t>
  </si>
  <si>
    <t>CONTRAT</t>
  </si>
  <si>
    <t>DATE D'ENTREE :</t>
  </si>
  <si>
    <t>valvert</t>
  </si>
  <si>
    <t>Top</t>
  </si>
  <si>
    <t>Tag</t>
  </si>
  <si>
    <t>O</t>
  </si>
  <si>
    <t>ControlTipText</t>
  </si>
  <si>
    <t>Message</t>
  </si>
  <si>
    <t xml:space="preserve">SEPA </t>
  </si>
  <si>
    <t>REVENU</t>
  </si>
  <si>
    <t>FRATRIE</t>
  </si>
  <si>
    <t>NOM &amp; PRENOM</t>
  </si>
  <si>
    <t>DATE DE NAISSANCE</t>
  </si>
  <si>
    <t>DATE DE SORTIE</t>
  </si>
  <si>
    <t>JOUR DE PRESENCE</t>
  </si>
  <si>
    <t>JOUR HEBDOMADAIRE</t>
  </si>
  <si>
    <t>MENSUALITE</t>
  </si>
  <si>
    <t>TARIF HEURE</t>
  </si>
  <si>
    <t>TOTAL MENSUEL</t>
  </si>
  <si>
    <t>ADHESION N-1</t>
  </si>
  <si>
    <t>ADHESION</t>
  </si>
  <si>
    <t>PLACE RESERVATION</t>
  </si>
  <si>
    <t>ABRI MATERNEL</t>
  </si>
  <si>
    <t>VALVERT</t>
  </si>
  <si>
    <t>F</t>
  </si>
  <si>
    <t>REGULIER</t>
  </si>
  <si>
    <t>X</t>
  </si>
  <si>
    <t xml:space="preserve">DATE D'ENTREE </t>
  </si>
  <si>
    <t>inscrits</t>
  </si>
  <si>
    <t>sortis</t>
  </si>
  <si>
    <t>ETABLISSEMENTS</t>
  </si>
  <si>
    <t>GENERALE</t>
  </si>
  <si>
    <t>fratrie</t>
  </si>
  <si>
    <t>abri mat</t>
  </si>
  <si>
    <t>occasionnel</t>
  </si>
  <si>
    <t>1 jour</t>
  </si>
  <si>
    <t>heures</t>
  </si>
  <si>
    <t>montant</t>
  </si>
  <si>
    <t>2 jours</t>
  </si>
  <si>
    <t>3 jours</t>
  </si>
  <si>
    <t>4 jours</t>
  </si>
  <si>
    <t>5 jours</t>
  </si>
  <si>
    <t xml:space="preserve">ANNEE </t>
  </si>
  <si>
    <t>E9</t>
  </si>
  <si>
    <t>E13</t>
  </si>
  <si>
    <t>E17</t>
  </si>
  <si>
    <t>PRESENTS</t>
  </si>
  <si>
    <t>INSCRITS</t>
  </si>
  <si>
    <t>SORTIS</t>
  </si>
  <si>
    <t>DESISTEMENT</t>
  </si>
  <si>
    <t>REGULIERS</t>
  </si>
  <si>
    <t>PERISCOLAIRE</t>
  </si>
  <si>
    <t>OCCASIONNEL</t>
  </si>
  <si>
    <t>PRESENT</t>
  </si>
  <si>
    <t>ABRI MAT</t>
  </si>
  <si>
    <t>1 JOUR</t>
  </si>
  <si>
    <t>HEURES</t>
  </si>
  <si>
    <t>MONTANT</t>
  </si>
  <si>
    <t>SALARIES</t>
  </si>
  <si>
    <t>2 JOURS</t>
  </si>
  <si>
    <t>3 JOURS</t>
  </si>
  <si>
    <t>TOTAL ADHESION</t>
  </si>
  <si>
    <t>4 JOURS</t>
  </si>
  <si>
    <t>5 JOURS</t>
  </si>
  <si>
    <t>ADHESION MANQUANTE</t>
  </si>
  <si>
    <t>DESISTEMENT AVEC ADHESION</t>
  </si>
  <si>
    <t>TOTAL HEURES</t>
  </si>
  <si>
    <t>ADHESION IRRECUPERABLE</t>
  </si>
  <si>
    <t>TOTAL MONTANT</t>
  </si>
  <si>
    <t>COMMENTAIRE</t>
  </si>
  <si>
    <t>C3</t>
  </si>
  <si>
    <t>C9</t>
  </si>
  <si>
    <t>R3</t>
  </si>
  <si>
    <t>G9</t>
  </si>
  <si>
    <t>I9</t>
  </si>
  <si>
    <t>C13</t>
  </si>
  <si>
    <t>G13</t>
  </si>
  <si>
    <t>I13</t>
  </si>
  <si>
    <t>C17</t>
  </si>
  <si>
    <t>I17</t>
  </si>
  <si>
    <t>E21</t>
  </si>
  <si>
    <t>G21</t>
  </si>
  <si>
    <t>G29</t>
  </si>
  <si>
    <t>G31</t>
  </si>
  <si>
    <t>G33</t>
  </si>
  <si>
    <t>N9</t>
  </si>
  <si>
    <t>P9</t>
  </si>
  <si>
    <t>R9</t>
  </si>
  <si>
    <t>N13</t>
  </si>
  <si>
    <t>P13</t>
  </si>
  <si>
    <t>R13</t>
  </si>
  <si>
    <t>N17</t>
  </si>
  <si>
    <t>P17</t>
  </si>
  <si>
    <t>R17</t>
  </si>
  <si>
    <t>N21</t>
  </si>
  <si>
    <t>P21</t>
  </si>
  <si>
    <t>R21</t>
  </si>
  <si>
    <t>G17</t>
  </si>
  <si>
    <t>N25</t>
  </si>
  <si>
    <t>P25</t>
  </si>
  <si>
    <t>R25</t>
  </si>
  <si>
    <t>N29</t>
  </si>
  <si>
    <t>P29</t>
  </si>
  <si>
    <t>R29</t>
  </si>
  <si>
    <t>E25</t>
  </si>
  <si>
    <t>R32</t>
  </si>
  <si>
    <t>R34</t>
  </si>
  <si>
    <t>total adh</t>
  </si>
  <si>
    <t>total heures</t>
  </si>
  <si>
    <t>total montant</t>
  </si>
  <si>
    <t>ALINE</t>
  </si>
  <si>
    <t xml:space="preserve">ADHESION </t>
  </si>
  <si>
    <t>D</t>
  </si>
  <si>
    <t>JEAN</t>
  </si>
  <si>
    <t>ISABELLE</t>
  </si>
  <si>
    <t>SANDRINE</t>
  </si>
  <si>
    <t>NINA</t>
  </si>
  <si>
    <t>PIERRE</t>
  </si>
  <si>
    <t>présents</t>
  </si>
  <si>
    <t>désistements</t>
  </si>
  <si>
    <t>réservation</t>
  </si>
  <si>
    <t>présent</t>
  </si>
  <si>
    <t>périscolaire</t>
  </si>
  <si>
    <t>désistement adhesion</t>
  </si>
  <si>
    <t>adhésion manquante</t>
  </si>
  <si>
    <t>adhésion</t>
  </si>
  <si>
    <t>adhésion n-1</t>
  </si>
  <si>
    <t>salarié</t>
  </si>
  <si>
    <t>réguliers</t>
  </si>
  <si>
    <t>irréccup</t>
  </si>
  <si>
    <t>Saisir le NOM &amp; PRENOM</t>
  </si>
  <si>
    <t>DATE D'ENTREE</t>
  </si>
  <si>
    <t>Saisir l' ETABLISSEMENT</t>
  </si>
  <si>
    <t>Date de la dernière utilisation du fichier : Tuesday 31 October 2017 à 12:25</t>
  </si>
</sst>
</file>

<file path=xl/styles.xml><?xml version="1.0" encoding="utf-8"?>
<styleSheet xmlns="http://schemas.openxmlformats.org/spreadsheetml/2006/main">
  <fonts count="2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color theme="4" tint="-0.249977111117893"/>
      <name val="Calibri"/>
      <family val="2"/>
      <scheme val="minor"/>
    </font>
    <font>
      <b/>
      <sz val="5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theme="9" tint="-0.249977111117893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4" tint="-0.249977111117893"/>
      <name val="Calibri"/>
      <family val="2"/>
      <scheme val="minor"/>
    </font>
    <font>
      <b/>
      <sz val="16"/>
      <color theme="3" tint="-0.249977111117893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color theme="9" tint="-0.249977111117893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2" tint="-0.89999084444715716"/>
      <name val="Calibri"/>
      <family val="2"/>
      <scheme val="minor"/>
    </font>
    <font>
      <sz val="11"/>
      <color theme="2" tint="-0.89999084444715716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6"/>
      <color theme="3" tint="0.3999755851924192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rgb="FF333333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</fills>
  <borders count="3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138">
    <xf numFmtId="0" fontId="0" fillId="0" borderId="0" xfId="0"/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NumberFormat="1"/>
    <xf numFmtId="0" fontId="0" fillId="0" borderId="0" xfId="0" applyBorder="1" applyAlignment="1">
      <alignment vertical="center"/>
    </xf>
    <xf numFmtId="0" fontId="0" fillId="0" borderId="0" xfId="0"/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8" fillId="0" borderId="0" xfId="0" applyFont="1"/>
    <xf numFmtId="0" fontId="16" fillId="0" borderId="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5" fillId="0" borderId="0" xfId="0" applyFont="1" applyBorder="1" applyAlignment="1">
      <alignment horizontal="centerContinuous" vertical="center"/>
    </xf>
    <xf numFmtId="0" fontId="8" fillId="0" borderId="0" xfId="0" applyFont="1" applyBorder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0" fillId="0" borderId="14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4" xfId="0" applyBorder="1"/>
    <xf numFmtId="0" fontId="0" fillId="0" borderId="7" xfId="0" applyBorder="1"/>
    <xf numFmtId="0" fontId="0" fillId="0" borderId="15" xfId="0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18" xfId="0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0" xfId="0" applyBorder="1" applyAlignment="1">
      <alignment horizontal="centerContinuous" vertical="center"/>
    </xf>
    <xf numFmtId="0" fontId="13" fillId="0" borderId="0" xfId="0" applyFont="1" applyBorder="1" applyAlignment="1">
      <alignment horizontal="centerContinuous" vertical="center"/>
    </xf>
    <xf numFmtId="0" fontId="18" fillId="0" borderId="0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0" fontId="1" fillId="0" borderId="15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0" fillId="0" borderId="19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0" fillId="0" borderId="14" xfId="0" applyBorder="1" applyAlignment="1">
      <alignment horizontal="center"/>
    </xf>
    <xf numFmtId="0" fontId="0" fillId="0" borderId="17" xfId="0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8" fillId="0" borderId="0" xfId="0" applyFont="1" applyBorder="1" applyAlignment="1">
      <alignment vertical="center"/>
    </xf>
    <xf numFmtId="0" fontId="16" fillId="0" borderId="0" xfId="0" applyFont="1" applyBorder="1" applyAlignment="1">
      <alignment horizontal="centerContinuous" vertical="center"/>
    </xf>
    <xf numFmtId="0" fontId="17" fillId="0" borderId="0" xfId="0" applyFont="1" applyBorder="1" applyAlignment="1">
      <alignment horizontal="centerContinuous" vertical="center"/>
    </xf>
    <xf numFmtId="0" fontId="4" fillId="0" borderId="0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8" fillId="0" borderId="14" xfId="0" applyFont="1" applyBorder="1" applyAlignment="1">
      <alignment horizontal="left" vertical="center"/>
    </xf>
    <xf numFmtId="0" fontId="18" fillId="0" borderId="15" xfId="0" applyFont="1" applyBorder="1" applyAlignment="1">
      <alignment horizontal="left" vertical="center"/>
    </xf>
    <xf numFmtId="0" fontId="18" fillId="0" borderId="16" xfId="0" applyFont="1" applyBorder="1" applyAlignment="1">
      <alignment horizontal="left" vertical="center"/>
    </xf>
    <xf numFmtId="0" fontId="18" fillId="0" borderId="17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18" fillId="0" borderId="18" xfId="0" applyFont="1" applyBorder="1" applyAlignment="1">
      <alignment horizontal="left" vertical="center"/>
    </xf>
    <xf numFmtId="0" fontId="18" fillId="0" borderId="19" xfId="0" applyFont="1" applyBorder="1" applyAlignment="1">
      <alignment horizontal="left" vertical="center"/>
    </xf>
    <xf numFmtId="0" fontId="18" fillId="0" borderId="4" xfId="0" applyFont="1" applyBorder="1" applyAlignment="1">
      <alignment horizontal="left" vertical="center"/>
    </xf>
    <xf numFmtId="0" fontId="18" fillId="0" borderId="7" xfId="0" applyFont="1" applyBorder="1" applyAlignment="1">
      <alignment horizontal="left" vertical="center"/>
    </xf>
    <xf numFmtId="0" fontId="19" fillId="0" borderId="0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3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textRotation="90" wrapText="1"/>
    </xf>
    <xf numFmtId="0" fontId="6" fillId="2" borderId="2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left" vertical="center"/>
    </xf>
    <xf numFmtId="0" fontId="0" fillId="0" borderId="20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22" xfId="0" applyNumberFormat="1" applyBorder="1" applyAlignment="1">
      <alignment horizontal="center" vertical="center"/>
    </xf>
    <xf numFmtId="0" fontId="0" fillId="0" borderId="24" xfId="0" applyNumberFormat="1" applyBorder="1" applyAlignment="1">
      <alignment horizontal="center" vertical="center"/>
    </xf>
    <xf numFmtId="0" fontId="0" fillId="0" borderId="10" xfId="0" applyNumberFormat="1" applyBorder="1" applyAlignment="1">
      <alignment horizontal="left" vertical="center"/>
    </xf>
    <xf numFmtId="14" fontId="0" fillId="0" borderId="22" xfId="0" applyNumberFormat="1" applyBorder="1" applyAlignment="1">
      <alignment horizontal="center" vertical="center"/>
    </xf>
    <xf numFmtId="14" fontId="0" fillId="0" borderId="24" xfId="0" applyNumberFormat="1" applyBorder="1" applyAlignment="1">
      <alignment horizontal="center" vertical="center"/>
    </xf>
    <xf numFmtId="0" fontId="0" fillId="0" borderId="25" xfId="0" applyNumberFormat="1" applyBorder="1" applyAlignment="1">
      <alignment horizontal="center" vertical="center"/>
    </xf>
    <xf numFmtId="0" fontId="0" fillId="0" borderId="23" xfId="0" applyNumberFormat="1" applyBorder="1" applyAlignment="1">
      <alignment horizontal="center" vertical="center"/>
    </xf>
    <xf numFmtId="14" fontId="0" fillId="0" borderId="25" xfId="0" applyNumberFormat="1" applyBorder="1" applyAlignment="1">
      <alignment horizontal="center" vertical="center"/>
    </xf>
    <xf numFmtId="14" fontId="0" fillId="0" borderId="23" xfId="0" applyNumberFormat="1" applyBorder="1" applyAlignment="1">
      <alignment horizontal="center" vertical="center"/>
    </xf>
    <xf numFmtId="0" fontId="0" fillId="0" borderId="26" xfId="0" applyNumberFormat="1" applyBorder="1" applyAlignment="1">
      <alignment horizontal="center" vertical="center"/>
    </xf>
    <xf numFmtId="0" fontId="0" fillId="0" borderId="27" xfId="0" applyNumberFormat="1" applyBorder="1" applyAlignment="1">
      <alignment horizontal="center" vertical="center"/>
    </xf>
    <xf numFmtId="0" fontId="0" fillId="0" borderId="21" xfId="0" applyNumberFormat="1" applyBorder="1" applyAlignment="1">
      <alignment horizontal="left" vertical="center"/>
    </xf>
    <xf numFmtId="14" fontId="1" fillId="2" borderId="4" xfId="0" applyNumberFormat="1" applyFont="1" applyFill="1" applyBorder="1" applyAlignment="1">
      <alignment horizontal="center" vertical="center"/>
    </xf>
    <xf numFmtId="0" fontId="1" fillId="2" borderId="4" xfId="0" applyNumberFormat="1" applyFont="1" applyFill="1" applyBorder="1" applyAlignment="1">
      <alignment horizontal="center" vertical="center"/>
    </xf>
    <xf numFmtId="0" fontId="1" fillId="2" borderId="28" xfId="0" applyNumberFormat="1" applyFont="1" applyFill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/>
    </xf>
    <xf numFmtId="0" fontId="1" fillId="0" borderId="20" xfId="0" applyNumberFormat="1" applyFont="1" applyBorder="1" applyAlignment="1">
      <alignment horizontal="center" vertical="center"/>
    </xf>
    <xf numFmtId="0" fontId="1" fillId="0" borderId="29" xfId="0" applyNumberFormat="1" applyFont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12" fillId="2" borderId="5" xfId="0" applyNumberFormat="1" applyFont="1" applyFill="1" applyBorder="1" applyAlignment="1">
      <alignment horizontal="center" vertical="center" wrapText="1"/>
    </xf>
    <xf numFmtId="0" fontId="12" fillId="0" borderId="26" xfId="0" applyNumberFormat="1" applyFont="1" applyBorder="1" applyAlignment="1">
      <alignment horizontal="center" vertical="center"/>
    </xf>
    <xf numFmtId="0" fontId="12" fillId="0" borderId="27" xfId="0" applyNumberFormat="1" applyFont="1" applyBorder="1" applyAlignment="1">
      <alignment horizontal="center" vertical="center"/>
    </xf>
    <xf numFmtId="0" fontId="12" fillId="0" borderId="0" xfId="0" applyNumberFormat="1" applyFont="1" applyAlignment="1">
      <alignment horizontal="center" vertical="center"/>
    </xf>
    <xf numFmtId="0" fontId="4" fillId="2" borderId="2" xfId="0" applyNumberFormat="1" applyFont="1" applyFill="1" applyBorder="1" applyAlignment="1">
      <alignment horizontal="center" vertical="center" wrapText="1"/>
    </xf>
    <xf numFmtId="0" fontId="4" fillId="0" borderId="25" xfId="0" applyNumberFormat="1" applyFont="1" applyBorder="1" applyAlignment="1">
      <alignment horizontal="center" vertical="center"/>
    </xf>
    <xf numFmtId="0" fontId="4" fillId="0" borderId="23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1" fillId="2" borderId="6" xfId="0" applyNumberFormat="1" applyFont="1" applyFill="1" applyBorder="1" applyAlignment="1">
      <alignment horizontal="center" vertical="center"/>
    </xf>
    <xf numFmtId="0" fontId="1" fillId="2" borderId="6" xfId="0" applyNumberFormat="1" applyFont="1" applyFill="1" applyBorder="1" applyAlignment="1">
      <alignment horizontal="center" vertical="center" textRotation="90"/>
    </xf>
    <xf numFmtId="0" fontId="20" fillId="2" borderId="2" xfId="0" applyNumberFormat="1" applyFont="1" applyFill="1" applyBorder="1" applyAlignment="1">
      <alignment horizontal="center" vertical="center" textRotation="90"/>
    </xf>
    <xf numFmtId="4" fontId="0" fillId="0" borderId="12" xfId="0" applyNumberFormat="1" applyBorder="1" applyAlignment="1">
      <alignment horizontal="center" vertical="center"/>
    </xf>
    <xf numFmtId="4" fontId="9" fillId="0" borderId="13" xfId="0" applyNumberFormat="1" applyFont="1" applyBorder="1" applyAlignment="1">
      <alignment horizontal="center" vertical="center"/>
    </xf>
    <xf numFmtId="4" fontId="8" fillId="0" borderId="13" xfId="0" applyNumberFormat="1" applyFont="1" applyBorder="1" applyAlignment="1">
      <alignment horizontal="center" vertical="center"/>
    </xf>
    <xf numFmtId="4" fontId="4" fillId="0" borderId="11" xfId="0" applyNumberFormat="1" applyFont="1" applyBorder="1" applyAlignment="1">
      <alignment horizontal="center" vertical="center"/>
    </xf>
    <xf numFmtId="4" fontId="16" fillId="0" borderId="11" xfId="0" applyNumberFormat="1" applyFont="1" applyBorder="1" applyAlignment="1">
      <alignment horizontal="center" vertical="center"/>
    </xf>
    <xf numFmtId="4" fontId="0" fillId="0" borderId="11" xfId="0" applyNumberFormat="1" applyBorder="1" applyAlignment="1">
      <alignment horizontal="center" vertical="center"/>
    </xf>
    <xf numFmtId="3" fontId="1" fillId="0" borderId="11" xfId="0" applyNumberFormat="1" applyFont="1" applyBorder="1" applyAlignment="1">
      <alignment horizontal="center" vertical="center"/>
    </xf>
    <xf numFmtId="3" fontId="16" fillId="0" borderId="11" xfId="0" applyNumberFormat="1" applyFont="1" applyBorder="1" applyAlignment="1">
      <alignment horizontal="center" vertical="center"/>
    </xf>
    <xf numFmtId="3" fontId="8" fillId="0" borderId="11" xfId="0" applyNumberFormat="1" applyFont="1" applyBorder="1" applyAlignment="1">
      <alignment horizontal="center" vertical="center"/>
    </xf>
    <xf numFmtId="3" fontId="8" fillId="0" borderId="12" xfId="0" applyNumberFormat="1" applyFont="1" applyBorder="1" applyAlignment="1">
      <alignment horizontal="centerContinuous" vertical="center"/>
    </xf>
    <xf numFmtId="3" fontId="8" fillId="0" borderId="10" xfId="0" applyNumberFormat="1" applyFont="1" applyBorder="1" applyAlignment="1">
      <alignment horizontal="centerContinuous" vertical="center"/>
    </xf>
    <xf numFmtId="3" fontId="8" fillId="0" borderId="13" xfId="0" applyNumberFormat="1" applyFont="1" applyBorder="1" applyAlignment="1">
      <alignment horizontal="centerContinuous" vertical="center"/>
    </xf>
    <xf numFmtId="3" fontId="13" fillId="0" borderId="11" xfId="0" applyNumberFormat="1" applyFont="1" applyBorder="1" applyAlignment="1">
      <alignment horizontal="center" vertical="center"/>
    </xf>
    <xf numFmtId="14" fontId="22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18" fillId="0" borderId="4" xfId="0" applyFont="1" applyBorder="1" applyAlignment="1">
      <alignment horizontal="center" vertical="center"/>
    </xf>
    <xf numFmtId="0" fontId="23" fillId="0" borderId="0" xfId="0" applyFont="1"/>
    <xf numFmtId="4" fontId="0" fillId="0" borderId="0" xfId="0" applyNumberFormat="1"/>
  </cellXfs>
  <cellStyles count="3">
    <cellStyle name="Normal" xfId="0" builtinId="0"/>
    <cellStyle name="Normal 2" xfId="1"/>
    <cellStyle name="Normal 3" xfId="2"/>
  </cellStyles>
  <dxfs count="8">
    <dxf>
      <fill>
        <gradientFill degree="90">
          <stop position="0">
            <color theme="5" tint="0.40000610370189521"/>
          </stop>
          <stop position="1">
            <color rgb="FFFF0000"/>
          </stop>
        </gradientFill>
      </fill>
    </dxf>
    <dxf>
      <border>
        <left/>
        <right/>
        <top/>
      </border>
    </dxf>
    <dxf>
      <fill>
        <patternFill>
          <bgColor rgb="FF9966FF"/>
        </patternFill>
      </fill>
    </dxf>
    <dxf>
      <fill>
        <patternFill patternType="darkDown">
          <f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gradientFill degree="90">
          <stop position="0">
            <color theme="5" tint="0.40000610370189521"/>
          </stop>
          <stop position="1">
            <color rgb="FFFF0000"/>
          </stop>
        </gradientFill>
      </fill>
    </dxf>
    <dxf>
      <border>
        <left/>
        <right/>
        <top/>
      </border>
    </dxf>
  </dxfs>
  <tableStyles count="0" defaultTableStyle="TableStyleMedium2" defaultPivotStyle="PivotStyleLight16"/>
  <colors>
    <mruColors>
      <color rgb="FF9966FF"/>
      <color rgb="FFCC99FF"/>
      <color rgb="FFFFCCFF"/>
      <color rgb="FF57DFFF"/>
      <color rgb="FFFF99FF"/>
      <color rgb="FFFFFF99"/>
      <color rgb="FF33D8FF"/>
      <color rgb="FF47DCFF"/>
      <color rgb="FF1DD4FF"/>
      <color rgb="FF00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38100</xdr:rowOff>
    </xdr:from>
    <xdr:to>
      <xdr:col>12</xdr:col>
      <xdr:colOff>0</xdr:colOff>
      <xdr:row>28</xdr:row>
      <xdr:rowOff>28575</xdr:rowOff>
    </xdr:to>
    <xdr:pic macro="[0]!Liste">
      <xdr:nvPicPr>
        <xdr:cNvPr id="3" name="Image 2" descr="smiley tire langue.jpg"/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3810000" y="38100"/>
          <a:ext cx="5334000" cy="5334000"/>
        </a:xfrm>
        <a:prstGeom prst="rect">
          <a:avLst/>
        </a:prstGeom>
      </xdr:spPr>
    </xdr:pic>
    <xdr:clientData/>
  </xdr:twoCellAnchor>
  <xdr:twoCellAnchor editAs="oneCell">
    <xdr:from>
      <xdr:col>14</xdr:col>
      <xdr:colOff>533400</xdr:colOff>
      <xdr:row>0</xdr:row>
      <xdr:rowOff>28575</xdr:rowOff>
    </xdr:from>
    <xdr:to>
      <xdr:col>18</xdr:col>
      <xdr:colOff>123825</xdr:colOff>
      <xdr:row>12</xdr:row>
      <xdr:rowOff>66675</xdr:rowOff>
    </xdr:to>
    <xdr:pic macro="[0]!Synth"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EFEFE"/>
            </a:clrFrom>
            <a:clrTo>
              <a:srgbClr val="FEFEFE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1201400" y="28575"/>
          <a:ext cx="2638425" cy="2333625"/>
        </a:xfrm>
        <a:prstGeom prst="rect">
          <a:avLst/>
        </a:prstGeom>
        <a:solidFill>
          <a:srgbClr val="FFFFFF">
            <a:shade val="85000"/>
          </a:srgbClr>
        </a:solidFill>
        <a:ln w="190500" cap="rnd">
          <a:solidFill>
            <a:srgbClr val="FFFFFF"/>
          </a:solidFill>
        </a:ln>
        <a:effectLst>
          <a:outerShdw blurRad="36195" dist="12700" dir="11400000" algn="tl" rotWithShape="0">
            <a:srgbClr val="000000">
              <a:alpha val="33000"/>
            </a:srgbClr>
          </a:outerShdw>
        </a:effectLst>
        <a:scene3d>
          <a:camera prst="perspectiveContrastingLeftFacing">
            <a:rot lat="540000" lon="2100000" rev="0"/>
          </a:camera>
          <a:lightRig rig="soft" dir="t"/>
        </a:scene3d>
        <a:sp3d contourW="12700" prstMaterial="matte">
          <a:bevelT w="63500" h="50800"/>
          <a:contourClr>
            <a:srgbClr val="C0C0C0"/>
          </a:contourClr>
        </a:sp3d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00"/>
  <dimension ref="B1:P40"/>
  <sheetViews>
    <sheetView workbookViewId="0">
      <selection activeCell="B1" sqref="B1"/>
    </sheetView>
  </sheetViews>
  <sheetFormatPr defaultColWidth="11.42578125" defaultRowHeight="15"/>
  <cols>
    <col min="1" max="1" width="11.42578125" style="3"/>
    <col min="2" max="2" width="21.7109375" style="3" bestFit="1" customWidth="1"/>
    <col min="3" max="3" width="4.28515625" style="3" bestFit="1" customWidth="1"/>
    <col min="4" max="4" width="11.42578125" style="4"/>
    <col min="5" max="5" width="21.7109375" style="3" bestFit="1" customWidth="1"/>
    <col min="6" max="6" width="24.7109375" style="3" bestFit="1" customWidth="1"/>
    <col min="7" max="7" width="20" style="3" bestFit="1" customWidth="1"/>
    <col min="8" max="8" width="20.85546875" style="3" bestFit="1" customWidth="1"/>
    <col min="9" max="14" width="11.42578125" style="3"/>
    <col min="15" max="15" width="16.5703125" style="3" bestFit="1" customWidth="1"/>
    <col min="16" max="16384" width="11.42578125" style="3"/>
  </cols>
  <sheetData>
    <row r="1" spans="2:16">
      <c r="B1" s="5" t="s">
        <v>24</v>
      </c>
      <c r="C1" s="5" t="s">
        <v>28</v>
      </c>
      <c r="D1" s="6" t="s">
        <v>29</v>
      </c>
      <c r="E1" s="5" t="s">
        <v>31</v>
      </c>
      <c r="F1" s="5" t="s">
        <v>32</v>
      </c>
      <c r="H1" s="3" t="s">
        <v>67</v>
      </c>
      <c r="I1" s="3" t="s">
        <v>95</v>
      </c>
      <c r="O1" s="5" t="s">
        <v>55</v>
      </c>
    </row>
    <row r="2" spans="2:16">
      <c r="B2" s="3" t="s">
        <v>25</v>
      </c>
      <c r="C2" s="3">
        <v>20</v>
      </c>
      <c r="E2" s="3" t="s">
        <v>25</v>
      </c>
      <c r="H2" s="3" t="s">
        <v>53</v>
      </c>
      <c r="I2" s="7" t="s">
        <v>96</v>
      </c>
      <c r="O2" s="7" t="s">
        <v>56</v>
      </c>
      <c r="P2" s="3">
        <v>11</v>
      </c>
    </row>
    <row r="3" spans="2:16">
      <c r="B3" s="3" t="s">
        <v>33</v>
      </c>
      <c r="C3" s="3">
        <v>20</v>
      </c>
      <c r="E3" s="3" t="s">
        <v>33</v>
      </c>
      <c r="H3" s="3" t="s">
        <v>54</v>
      </c>
      <c r="I3" s="7" t="s">
        <v>68</v>
      </c>
      <c r="O3" s="7" t="s">
        <v>14</v>
      </c>
      <c r="P3" s="3">
        <v>2</v>
      </c>
    </row>
    <row r="4" spans="2:16">
      <c r="B4" s="3" t="s">
        <v>34</v>
      </c>
      <c r="C4" s="3">
        <v>20</v>
      </c>
      <c r="E4" s="3" t="s">
        <v>34</v>
      </c>
      <c r="H4" s="7" t="s">
        <v>143</v>
      </c>
      <c r="I4" s="7" t="s">
        <v>97</v>
      </c>
      <c r="O4" s="7" t="s">
        <v>16</v>
      </c>
      <c r="P4" s="7">
        <v>3</v>
      </c>
    </row>
    <row r="5" spans="2:16">
      <c r="B5" s="3" t="s">
        <v>35</v>
      </c>
      <c r="C5" s="3">
        <v>20</v>
      </c>
      <c r="E5" s="3" t="s">
        <v>35</v>
      </c>
      <c r="H5" s="7" t="s">
        <v>144</v>
      </c>
      <c r="I5" s="7" t="s">
        <v>98</v>
      </c>
      <c r="O5" s="7" t="s">
        <v>17</v>
      </c>
      <c r="P5" s="7">
        <v>4</v>
      </c>
    </row>
    <row r="6" spans="2:16">
      <c r="B6" s="3" t="s">
        <v>36</v>
      </c>
      <c r="C6" s="3">
        <v>50</v>
      </c>
      <c r="D6" s="4" t="s">
        <v>30</v>
      </c>
      <c r="E6" s="3" t="s">
        <v>36</v>
      </c>
      <c r="F6" s="7" t="s">
        <v>155</v>
      </c>
      <c r="H6" s="3" t="s">
        <v>57</v>
      </c>
      <c r="I6" s="7" t="s">
        <v>99</v>
      </c>
      <c r="O6" s="7" t="s">
        <v>18</v>
      </c>
      <c r="P6" s="7">
        <v>5</v>
      </c>
    </row>
    <row r="7" spans="2:16">
      <c r="B7" s="3" t="s">
        <v>37</v>
      </c>
      <c r="C7" s="3">
        <v>50</v>
      </c>
      <c r="D7" s="4" t="s">
        <v>30</v>
      </c>
      <c r="E7" s="3" t="s">
        <v>37</v>
      </c>
      <c r="F7" s="3" t="s">
        <v>37</v>
      </c>
      <c r="H7" s="7" t="s">
        <v>145</v>
      </c>
      <c r="I7" s="7" t="s">
        <v>100</v>
      </c>
      <c r="O7" s="7" t="s">
        <v>19</v>
      </c>
      <c r="P7" s="7">
        <v>6</v>
      </c>
    </row>
    <row r="8" spans="2:16">
      <c r="B8" s="3" t="s">
        <v>1</v>
      </c>
      <c r="C8" s="3">
        <v>80</v>
      </c>
      <c r="D8" s="4" t="s">
        <v>30</v>
      </c>
      <c r="E8" s="3" t="s">
        <v>1</v>
      </c>
      <c r="F8" s="3" t="s">
        <v>1</v>
      </c>
      <c r="H8" s="7" t="s">
        <v>146</v>
      </c>
      <c r="I8" s="7" t="s">
        <v>69</v>
      </c>
      <c r="O8" s="7" t="s">
        <v>20</v>
      </c>
      <c r="P8" s="7">
        <v>7</v>
      </c>
    </row>
    <row r="9" spans="2:16">
      <c r="B9" s="3" t="s">
        <v>52</v>
      </c>
      <c r="C9" s="3">
        <v>80</v>
      </c>
      <c r="D9" s="4" t="s">
        <v>30</v>
      </c>
      <c r="E9" s="3" t="s">
        <v>26</v>
      </c>
      <c r="F9" s="7" t="s">
        <v>156</v>
      </c>
      <c r="H9" s="3" t="s">
        <v>58</v>
      </c>
      <c r="I9" s="7" t="s">
        <v>101</v>
      </c>
      <c r="O9" s="7" t="s">
        <v>21</v>
      </c>
      <c r="P9" s="7">
        <v>8</v>
      </c>
    </row>
    <row r="10" spans="2:16">
      <c r="B10" s="3" t="s">
        <v>38</v>
      </c>
      <c r="C10" s="3">
        <v>80</v>
      </c>
      <c r="D10" s="4" t="s">
        <v>30</v>
      </c>
      <c r="E10" s="3" t="s">
        <v>38</v>
      </c>
      <c r="F10" s="3" t="s">
        <v>38</v>
      </c>
      <c r="H10" s="7" t="s">
        <v>146</v>
      </c>
      <c r="I10" s="7" t="s">
        <v>102</v>
      </c>
      <c r="O10" s="7" t="s">
        <v>22</v>
      </c>
      <c r="P10" s="7">
        <v>9</v>
      </c>
    </row>
    <row r="11" spans="2:16">
      <c r="B11" s="3" t="s">
        <v>39</v>
      </c>
      <c r="C11" s="3">
        <v>150</v>
      </c>
      <c r="D11" s="4" t="s">
        <v>30</v>
      </c>
      <c r="E11" s="3" t="s">
        <v>39</v>
      </c>
      <c r="F11" s="3" t="s">
        <v>39</v>
      </c>
      <c r="H11" s="7" t="s">
        <v>152</v>
      </c>
      <c r="I11" s="7" t="s">
        <v>103</v>
      </c>
      <c r="O11" s="7" t="s">
        <v>23</v>
      </c>
      <c r="P11" s="7">
        <v>10</v>
      </c>
    </row>
    <row r="12" spans="2:16">
      <c r="B12" s="7" t="s">
        <v>4</v>
      </c>
      <c r="C12" s="3">
        <v>180</v>
      </c>
      <c r="E12" s="7" t="s">
        <v>4</v>
      </c>
      <c r="H12" s="7" t="s">
        <v>146</v>
      </c>
      <c r="I12" s="7" t="s">
        <v>70</v>
      </c>
    </row>
    <row r="13" spans="2:16">
      <c r="B13" s="3" t="s">
        <v>40</v>
      </c>
      <c r="C13" s="3">
        <v>210</v>
      </c>
      <c r="E13" s="3" t="s">
        <v>40</v>
      </c>
      <c r="H13" s="3" t="s">
        <v>27</v>
      </c>
      <c r="I13" s="7" t="s">
        <v>122</v>
      </c>
    </row>
    <row r="14" spans="2:16">
      <c r="B14" s="3" t="s">
        <v>41</v>
      </c>
      <c r="C14" s="3">
        <v>240</v>
      </c>
      <c r="E14" s="3" t="s">
        <v>41</v>
      </c>
      <c r="H14" s="7" t="s">
        <v>146</v>
      </c>
      <c r="I14" s="7" t="s">
        <v>104</v>
      </c>
    </row>
    <row r="15" spans="2:16">
      <c r="B15" s="3" t="s">
        <v>42</v>
      </c>
      <c r="C15" s="3">
        <v>270</v>
      </c>
      <c r="E15" s="3" t="s">
        <v>42</v>
      </c>
      <c r="H15" s="7" t="s">
        <v>151</v>
      </c>
      <c r="I15" s="7" t="s">
        <v>105</v>
      </c>
    </row>
    <row r="16" spans="2:16">
      <c r="B16" s="3" t="s">
        <v>43</v>
      </c>
      <c r="C16" s="3">
        <v>300</v>
      </c>
      <c r="E16" s="3" t="s">
        <v>43</v>
      </c>
      <c r="H16" s="7" t="s">
        <v>150</v>
      </c>
      <c r="I16" s="7" t="s">
        <v>106</v>
      </c>
    </row>
    <row r="17" spans="2:9">
      <c r="B17" s="3" t="s">
        <v>44</v>
      </c>
      <c r="C17" s="3">
        <v>120</v>
      </c>
      <c r="E17" s="3" t="s">
        <v>44</v>
      </c>
      <c r="H17" s="7" t="s">
        <v>149</v>
      </c>
      <c r="I17" s="7" t="s">
        <v>107</v>
      </c>
    </row>
    <row r="18" spans="2:9">
      <c r="B18" s="3" t="s">
        <v>45</v>
      </c>
      <c r="C18" s="3">
        <v>150</v>
      </c>
      <c r="E18" s="3" t="s">
        <v>45</v>
      </c>
      <c r="H18" s="7" t="s">
        <v>148</v>
      </c>
      <c r="I18" s="7" t="s">
        <v>108</v>
      </c>
    </row>
    <row r="19" spans="2:9">
      <c r="B19" s="3" t="s">
        <v>46</v>
      </c>
      <c r="C19" s="3">
        <v>180</v>
      </c>
      <c r="E19" s="3" t="s">
        <v>46</v>
      </c>
      <c r="H19" s="7" t="s">
        <v>154</v>
      </c>
      <c r="I19" s="7" t="s">
        <v>109</v>
      </c>
    </row>
    <row r="20" spans="2:9">
      <c r="B20" s="3" t="s">
        <v>47</v>
      </c>
      <c r="C20" s="3">
        <v>210</v>
      </c>
      <c r="E20" s="3" t="s">
        <v>47</v>
      </c>
      <c r="H20" s="7" t="s">
        <v>153</v>
      </c>
      <c r="I20" s="7" t="s">
        <v>110</v>
      </c>
    </row>
    <row r="21" spans="2:9">
      <c r="B21" s="3" t="s">
        <v>13</v>
      </c>
      <c r="C21" s="3">
        <v>240</v>
      </c>
      <c r="E21" s="3" t="s">
        <v>13</v>
      </c>
      <c r="H21" s="7" t="s">
        <v>147</v>
      </c>
      <c r="I21" s="7" t="s">
        <v>111</v>
      </c>
    </row>
    <row r="22" spans="2:9">
      <c r="B22" s="3" t="s">
        <v>48</v>
      </c>
      <c r="C22" s="3">
        <v>270</v>
      </c>
      <c r="E22" s="3" t="s">
        <v>48</v>
      </c>
      <c r="H22" s="3" t="s">
        <v>59</v>
      </c>
      <c r="I22" s="7" t="s">
        <v>112</v>
      </c>
    </row>
    <row r="23" spans="2:9">
      <c r="B23" s="3" t="s">
        <v>15</v>
      </c>
      <c r="C23" s="3">
        <v>300</v>
      </c>
      <c r="D23" s="4" t="s">
        <v>30</v>
      </c>
      <c r="E23" s="3" t="s">
        <v>15</v>
      </c>
      <c r="F23" s="7" t="s">
        <v>157</v>
      </c>
      <c r="H23" s="3" t="s">
        <v>60</v>
      </c>
      <c r="I23" s="7" t="s">
        <v>113</v>
      </c>
    </row>
    <row r="24" spans="2:9">
      <c r="H24" s="3" t="s">
        <v>61</v>
      </c>
      <c r="I24" s="7" t="s">
        <v>114</v>
      </c>
    </row>
    <row r="25" spans="2:9">
      <c r="H25" s="3" t="s">
        <v>62</v>
      </c>
      <c r="I25" s="7" t="s">
        <v>115</v>
      </c>
    </row>
    <row r="26" spans="2:9">
      <c r="H26" s="3" t="s">
        <v>63</v>
      </c>
      <c r="I26" s="7" t="s">
        <v>116</v>
      </c>
    </row>
    <row r="27" spans="2:9">
      <c r="H27" s="3" t="s">
        <v>61</v>
      </c>
      <c r="I27" s="7" t="s">
        <v>117</v>
      </c>
    </row>
    <row r="28" spans="2:9">
      <c r="H28" s="3" t="s">
        <v>62</v>
      </c>
      <c r="I28" s="7" t="s">
        <v>118</v>
      </c>
    </row>
    <row r="29" spans="2:9">
      <c r="H29" s="3" t="s">
        <v>64</v>
      </c>
      <c r="I29" s="7" t="s">
        <v>119</v>
      </c>
    </row>
    <row r="30" spans="2:9">
      <c r="H30" s="3" t="s">
        <v>61</v>
      </c>
      <c r="I30" s="7" t="s">
        <v>120</v>
      </c>
    </row>
    <row r="31" spans="2:9">
      <c r="H31" s="3" t="s">
        <v>62</v>
      </c>
      <c r="I31" s="7" t="s">
        <v>121</v>
      </c>
    </row>
    <row r="32" spans="2:9">
      <c r="H32" s="3" t="s">
        <v>65</v>
      </c>
      <c r="I32" s="7" t="s">
        <v>123</v>
      </c>
    </row>
    <row r="33" spans="8:9">
      <c r="H33" s="3" t="s">
        <v>61</v>
      </c>
      <c r="I33" s="7" t="s">
        <v>124</v>
      </c>
    </row>
    <row r="34" spans="8:9">
      <c r="H34" s="3" t="s">
        <v>62</v>
      </c>
      <c r="I34" s="7" t="s">
        <v>125</v>
      </c>
    </row>
    <row r="35" spans="8:9">
      <c r="H35" s="3" t="s">
        <v>66</v>
      </c>
      <c r="I35" s="7" t="s">
        <v>126</v>
      </c>
    </row>
    <row r="36" spans="8:9">
      <c r="H36" s="3" t="s">
        <v>61</v>
      </c>
      <c r="I36" s="7" t="s">
        <v>127</v>
      </c>
    </row>
    <row r="37" spans="8:9">
      <c r="H37" s="3" t="s">
        <v>62</v>
      </c>
      <c r="I37" s="7" t="s">
        <v>128</v>
      </c>
    </row>
    <row r="38" spans="8:9">
      <c r="H38" s="3" t="s">
        <v>132</v>
      </c>
      <c r="I38" s="3" t="s">
        <v>129</v>
      </c>
    </row>
    <row r="39" spans="8:9">
      <c r="H39" s="3" t="s">
        <v>133</v>
      </c>
      <c r="I39" s="3" t="s">
        <v>130</v>
      </c>
    </row>
    <row r="40" spans="8:9">
      <c r="H40" s="3" t="s">
        <v>134</v>
      </c>
      <c r="I40" s="3" t="s">
        <v>131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04"/>
  <dimension ref="A1:Q30"/>
  <sheetViews>
    <sheetView showGridLines="0" tabSelected="1" zoomScaleNormal="100" workbookViewId="0"/>
  </sheetViews>
  <sheetFormatPr defaultColWidth="11.42578125" defaultRowHeight="15"/>
  <sheetData>
    <row r="1" spans="1:17" ht="15.75">
      <c r="A1" s="131">
        <f ca="1">TODAY()</f>
        <v>43039</v>
      </c>
    </row>
    <row r="12" spans="1:17">
      <c r="Q12" s="8"/>
    </row>
    <row r="30" spans="6:6" ht="21">
      <c r="F30" s="24" t="s">
        <v>158</v>
      </c>
    </row>
  </sheetData>
  <pageMargins left="0.7" right="0.7" top="0.75" bottom="0.75" header="0.3" footer="0.3"/>
  <pageSetup paperSize="9" orientation="portrait" r:id="rId1"/>
  <drawing r:id="rId2"/>
  <legacyDrawing r:id="rId3"/>
  <controls>
    <control shapeId="1032" r:id="rId4" name="CommandButton2"/>
    <control shapeId="1034" r:id="rId5" name="CommandButton3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02"/>
  <dimension ref="A1:V7"/>
  <sheetViews>
    <sheetView zoomScaleNormal="100" workbookViewId="0">
      <pane xSplit="5" ySplit="1" topLeftCell="F2" activePane="bottomRight" state="frozen"/>
      <selection pane="topRight" activeCell="F1" sqref="F1"/>
      <selection pane="bottomLeft" activeCell="A5" sqref="A5"/>
      <selection pane="bottomRight"/>
    </sheetView>
  </sheetViews>
  <sheetFormatPr defaultColWidth="11.42578125" defaultRowHeight="15"/>
  <cols>
    <col min="1" max="1" width="8.42578125" style="106" bestFit="1" customWidth="1"/>
    <col min="2" max="4" width="2" style="106" customWidth="1"/>
    <col min="5" max="5" width="10.140625" style="82" bestFit="1" customWidth="1"/>
    <col min="6" max="6" width="11.42578125" style="2"/>
    <col min="7" max="7" width="20.5703125" style="2" bestFit="1" customWidth="1"/>
    <col min="8" max="10" width="11.42578125" style="2"/>
    <col min="11" max="11" width="14.42578125" style="2" customWidth="1"/>
    <col min="12" max="12" width="11.42578125" style="2"/>
    <col min="13" max="13" width="12.140625" style="114" bestFit="1" customWidth="1"/>
    <col min="14" max="14" width="11.42578125" style="2"/>
    <col min="15" max="15" width="11.5703125" style="110" customWidth="1"/>
    <col min="16" max="17" width="11.42578125" style="2"/>
    <col min="18" max="21" width="4.42578125" style="2" customWidth="1"/>
    <col min="22" max="22" width="16.5703125" style="2" customWidth="1"/>
    <col min="23" max="16384" width="11.42578125" style="1"/>
  </cols>
  <sheetData>
    <row r="1" spans="1:22" ht="48.75" customHeight="1">
      <c r="A1" s="99">
        <f ca="1">TODAY()</f>
        <v>43039</v>
      </c>
      <c r="B1" s="100"/>
      <c r="C1" s="100"/>
      <c r="D1" s="101"/>
      <c r="E1" s="78" t="s">
        <v>0</v>
      </c>
      <c r="F1" s="77" t="s">
        <v>6</v>
      </c>
      <c r="G1" s="77" t="s">
        <v>1</v>
      </c>
      <c r="H1" s="77" t="s">
        <v>2</v>
      </c>
      <c r="I1" s="77" t="s">
        <v>3</v>
      </c>
      <c r="J1" s="77" t="s">
        <v>7</v>
      </c>
      <c r="K1" s="77" t="s">
        <v>4</v>
      </c>
      <c r="L1" s="77" t="s">
        <v>8</v>
      </c>
      <c r="M1" s="111" t="s">
        <v>9</v>
      </c>
      <c r="N1" s="77" t="s">
        <v>5</v>
      </c>
      <c r="O1" s="107" t="s">
        <v>10</v>
      </c>
      <c r="P1" s="78" t="s">
        <v>44</v>
      </c>
      <c r="Q1" s="79" t="s">
        <v>136</v>
      </c>
      <c r="R1" s="80" t="s">
        <v>11</v>
      </c>
      <c r="S1" s="81" t="s">
        <v>12</v>
      </c>
      <c r="T1" s="117" t="s">
        <v>13</v>
      </c>
      <c r="U1" s="116" t="s">
        <v>27</v>
      </c>
      <c r="V1" s="115" t="s">
        <v>15</v>
      </c>
    </row>
    <row r="2" spans="1:22">
      <c r="A2" s="102"/>
      <c r="B2" s="102"/>
      <c r="C2" s="102"/>
      <c r="D2" s="103"/>
      <c r="E2" s="98" t="s">
        <v>135</v>
      </c>
      <c r="F2" s="90">
        <v>42379</v>
      </c>
      <c r="G2" s="98" t="str">
        <f ca="1">Age(F2,MIN($A$1,I2))</f>
        <v>1 an(s) 9 mois 21 jours</v>
      </c>
      <c r="H2" s="94">
        <v>42979</v>
      </c>
      <c r="I2" s="94">
        <v>43069</v>
      </c>
      <c r="J2" s="92">
        <f t="shared" ref="J2:J6" ca="1" si="0">IF(I2="","",IF((I2-$A$1)&lt;=0,0,I2-$A$1))</f>
        <v>30</v>
      </c>
      <c r="K2" s="92" t="s">
        <v>50</v>
      </c>
      <c r="L2" s="92">
        <v>4</v>
      </c>
      <c r="M2" s="112">
        <v>160</v>
      </c>
      <c r="N2" s="92">
        <v>0.5</v>
      </c>
      <c r="O2" s="108">
        <v>80</v>
      </c>
      <c r="P2" s="87" t="s">
        <v>51</v>
      </c>
      <c r="Q2" s="96"/>
      <c r="R2" s="86"/>
      <c r="S2" s="84"/>
      <c r="T2" s="84"/>
      <c r="U2" s="83"/>
      <c r="V2" s="85" t="s">
        <v>14</v>
      </c>
    </row>
    <row r="3" spans="1:22">
      <c r="A3" s="104"/>
      <c r="B3" s="104"/>
      <c r="C3" s="104"/>
      <c r="D3" s="105"/>
      <c r="E3" s="89" t="s">
        <v>138</v>
      </c>
      <c r="F3" s="91">
        <v>42461</v>
      </c>
      <c r="G3" s="98" t="str">
        <f t="shared" ref="G3:G7" ca="1" si="1">Age(F3,MIN($A$1,I3))</f>
        <v>1 an(s) 6 mois 30 jours</v>
      </c>
      <c r="H3" s="95">
        <v>42744</v>
      </c>
      <c r="I3" s="95">
        <v>43311</v>
      </c>
      <c r="J3" s="93">
        <f t="shared" ca="1" si="0"/>
        <v>272</v>
      </c>
      <c r="K3" s="93" t="s">
        <v>50</v>
      </c>
      <c r="L3" s="93">
        <v>5</v>
      </c>
      <c r="M3" s="113">
        <v>150</v>
      </c>
      <c r="N3" s="93">
        <v>2</v>
      </c>
      <c r="O3" s="109">
        <v>300</v>
      </c>
      <c r="P3" s="88" t="s">
        <v>51</v>
      </c>
      <c r="Q3" s="97"/>
      <c r="R3" s="86"/>
      <c r="S3" s="84"/>
      <c r="T3" s="84" t="s">
        <v>51</v>
      </c>
      <c r="U3" s="84"/>
      <c r="V3" s="86" t="s">
        <v>14</v>
      </c>
    </row>
    <row r="4" spans="1:22">
      <c r="A4" s="104"/>
      <c r="B4" s="104"/>
      <c r="C4" s="104"/>
      <c r="D4" s="105" t="s">
        <v>137</v>
      </c>
      <c r="E4" s="89" t="s">
        <v>139</v>
      </c>
      <c r="F4" s="91">
        <v>42016</v>
      </c>
      <c r="G4" s="98" t="str">
        <f t="shared" ca="1" si="1"/>
        <v>2 an(s) 9 mois 19 jours</v>
      </c>
      <c r="H4" s="95">
        <v>42744</v>
      </c>
      <c r="I4" s="95">
        <v>43311</v>
      </c>
      <c r="J4" s="93">
        <f ca="1">IF(I4="","",IF((I4-$A$1)&lt;=0,0,I4-$A$1))</f>
        <v>272</v>
      </c>
      <c r="K4" s="93"/>
      <c r="L4" s="93">
        <v>5</v>
      </c>
      <c r="M4" s="113">
        <v>0</v>
      </c>
      <c r="N4" s="93">
        <v>0</v>
      </c>
      <c r="O4" s="109">
        <v>0</v>
      </c>
      <c r="P4" s="88"/>
      <c r="Q4" s="97"/>
      <c r="R4" s="86"/>
      <c r="S4" s="84"/>
      <c r="T4" s="84"/>
      <c r="U4" s="84"/>
      <c r="V4" s="86" t="s">
        <v>16</v>
      </c>
    </row>
    <row r="5" spans="1:22">
      <c r="A5" s="104"/>
      <c r="B5" s="104"/>
      <c r="C5" s="104"/>
      <c r="D5" s="103"/>
      <c r="E5" s="89" t="s">
        <v>140</v>
      </c>
      <c r="F5" s="91">
        <v>41691</v>
      </c>
      <c r="G5" s="98" t="str">
        <f t="shared" ca="1" si="1"/>
        <v>3 an(s) 8 mois 9 jours</v>
      </c>
      <c r="H5" s="95">
        <v>41883</v>
      </c>
      <c r="I5" s="95">
        <v>43038</v>
      </c>
      <c r="J5" s="93">
        <f t="shared" ca="1" si="0"/>
        <v>0</v>
      </c>
      <c r="K5" s="93"/>
      <c r="L5" s="93"/>
      <c r="M5" s="113"/>
      <c r="N5" s="93"/>
      <c r="O5" s="109"/>
      <c r="P5" s="88"/>
      <c r="Q5" s="97"/>
      <c r="R5" s="85"/>
      <c r="S5" s="83"/>
      <c r="T5" s="83"/>
      <c r="U5" s="83"/>
      <c r="V5" s="85" t="s">
        <v>17</v>
      </c>
    </row>
    <row r="6" spans="1:22">
      <c r="A6" s="104"/>
      <c r="B6" s="104"/>
      <c r="C6" s="104"/>
      <c r="D6" s="103" t="s">
        <v>49</v>
      </c>
      <c r="E6" s="89" t="s">
        <v>141</v>
      </c>
      <c r="F6" s="91">
        <v>42287</v>
      </c>
      <c r="G6" s="98" t="str">
        <f t="shared" ca="1" si="1"/>
        <v>2 an(s) 0 mois 21 jours</v>
      </c>
      <c r="H6" s="95">
        <v>42378</v>
      </c>
      <c r="I6" s="95">
        <v>43131</v>
      </c>
      <c r="J6" s="93">
        <f t="shared" ca="1" si="0"/>
        <v>92</v>
      </c>
      <c r="K6" s="93" t="s">
        <v>50</v>
      </c>
      <c r="L6" s="93">
        <v>4</v>
      </c>
      <c r="M6" s="113">
        <v>200</v>
      </c>
      <c r="N6" s="93">
        <v>1.5</v>
      </c>
      <c r="O6" s="109">
        <v>300</v>
      </c>
      <c r="P6" s="88">
        <v>0</v>
      </c>
      <c r="Q6" s="97">
        <v>0</v>
      </c>
      <c r="R6" s="85" t="s">
        <v>51</v>
      </c>
      <c r="S6" s="83"/>
      <c r="T6" s="83"/>
      <c r="U6" s="83"/>
      <c r="V6" s="85" t="s">
        <v>14</v>
      </c>
    </row>
    <row r="7" spans="1:22">
      <c r="A7" s="104"/>
      <c r="B7" s="104"/>
      <c r="C7" s="104"/>
      <c r="D7" s="103"/>
      <c r="E7" s="89" t="s">
        <v>142</v>
      </c>
      <c r="F7" s="91">
        <v>42302</v>
      </c>
      <c r="G7" s="98" t="str">
        <f t="shared" ca="1" si="1"/>
        <v>2 an(s) 0 mois 6 jours</v>
      </c>
      <c r="H7" s="95">
        <v>42614</v>
      </c>
      <c r="I7" s="95">
        <v>43281</v>
      </c>
      <c r="J7" s="93">
        <f ca="1">IF(I7="","",IF((I7-$A$1)&lt;=0,0,I7-$A$1))</f>
        <v>242</v>
      </c>
      <c r="K7" s="93" t="s">
        <v>50</v>
      </c>
      <c r="L7" s="93">
        <v>4</v>
      </c>
      <c r="M7" s="113">
        <v>190.5</v>
      </c>
      <c r="N7" s="93">
        <v>1.5</v>
      </c>
      <c r="O7" s="109">
        <v>285.75</v>
      </c>
      <c r="P7" s="88" t="s">
        <v>51</v>
      </c>
      <c r="Q7" s="97"/>
      <c r="R7" s="85"/>
      <c r="S7" s="83"/>
      <c r="T7" s="83"/>
      <c r="U7" s="83"/>
      <c r="V7" s="85" t="s">
        <v>17</v>
      </c>
    </row>
  </sheetData>
  <sortState ref="A2:V9">
    <sortCondition ref="E2"/>
  </sortState>
  <conditionalFormatting sqref="A2:V7">
    <cfRule type="expression" dxfId="7" priority="2">
      <formula>$E2=""</formula>
    </cfRule>
    <cfRule type="expression" dxfId="6" priority="11">
      <formula>$J2=0</formula>
    </cfRule>
  </conditionalFormatting>
  <conditionalFormatting sqref="Q2:Q7">
    <cfRule type="expression" dxfId="5" priority="8">
      <formula>AND($Q2&gt;0,$Q2&lt;50,$J2&gt;0)</formula>
    </cfRule>
    <cfRule type="expression" dxfId="4" priority="9">
      <formula>AND($Q2=50,$J2&gt;0)</formula>
    </cfRule>
    <cfRule type="expression" dxfId="3" priority="10">
      <formula>AND($D2="F",$J2&gt;0)</formula>
    </cfRule>
  </conditionalFormatting>
  <conditionalFormatting sqref="P2:P7">
    <cfRule type="expression" dxfId="2" priority="1">
      <formula>AND($P2&lt;50,$P2&gt;0)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03"/>
  <dimension ref="A1:AN11"/>
  <sheetViews>
    <sheetView showZeros="0" topLeftCell="V1" workbookViewId="0">
      <selection activeCell="X11" sqref="X11"/>
    </sheetView>
  </sheetViews>
  <sheetFormatPr defaultColWidth="11.42578125" defaultRowHeight="15"/>
  <cols>
    <col min="1" max="1" width="16.5703125" bestFit="1" customWidth="1"/>
    <col min="2" max="2" width="7.28515625" style="132" bestFit="1" customWidth="1"/>
    <col min="3" max="3" width="5.85546875" style="132" bestFit="1" customWidth="1"/>
    <col min="4" max="4" width="7.85546875" style="132" bestFit="1" customWidth="1"/>
    <col min="5" max="5" width="12.140625" style="132" bestFit="1" customWidth="1"/>
    <col min="6" max="6" width="6.5703125" style="132" bestFit="1" customWidth="1"/>
    <col min="7" max="7" width="11.140625" style="132" bestFit="1" customWidth="1"/>
    <col min="8" max="8" width="7.85546875" style="132" bestFit="1" customWidth="1"/>
    <col min="9" max="9" width="8.28515625" style="132" bestFit="1" customWidth="1"/>
    <col min="10" max="10" width="7.85546875" style="132" bestFit="1" customWidth="1"/>
    <col min="11" max="11" width="6.85546875" style="132" bestFit="1" customWidth="1"/>
    <col min="12" max="12" width="7.85546875" style="132" bestFit="1" customWidth="1"/>
    <col min="13" max="13" width="7.140625" style="132" bestFit="1" customWidth="1"/>
    <col min="14" max="14" width="7.85546875" style="132" bestFit="1" customWidth="1"/>
    <col min="15" max="15" width="12.42578125" style="132" bestFit="1" customWidth="1"/>
    <col min="16" max="16" width="9.140625" style="132" bestFit="1" customWidth="1"/>
    <col min="17" max="17" width="20" style="132" bestFit="1" customWidth="1"/>
    <col min="18" max="18" width="21" style="132" bestFit="1" customWidth="1"/>
    <col min="19" max="19" width="8.140625" style="132" bestFit="1" customWidth="1"/>
    <col min="20" max="20" width="8.85546875" style="132" bestFit="1" customWidth="1"/>
    <col min="21" max="22" width="11.42578125" style="132"/>
    <col min="23" max="23" width="6" style="132" bestFit="1" customWidth="1"/>
    <col min="24" max="24" width="7.140625" style="132" bestFit="1" customWidth="1"/>
    <col min="25" max="25" width="8.5703125" style="132" bestFit="1" customWidth="1"/>
    <col min="26" max="26" width="6.85546875" style="132" bestFit="1" customWidth="1"/>
    <col min="27" max="27" width="7.140625" style="132" bestFit="1" customWidth="1"/>
    <col min="28" max="28" width="8.5703125" style="132" bestFit="1" customWidth="1"/>
    <col min="29" max="29" width="6.85546875" style="132" bestFit="1" customWidth="1"/>
    <col min="30" max="30" width="7.140625" style="132" bestFit="1" customWidth="1"/>
    <col min="31" max="31" width="8.5703125" style="132" bestFit="1" customWidth="1"/>
    <col min="32" max="32" width="6.85546875" style="132" bestFit="1" customWidth="1"/>
    <col min="33" max="33" width="7.140625" style="132" bestFit="1" customWidth="1"/>
    <col min="34" max="34" width="8.5703125" style="132" bestFit="1" customWidth="1"/>
    <col min="35" max="35" width="6.85546875" style="132" bestFit="1" customWidth="1"/>
    <col min="36" max="36" width="7.140625" style="132" bestFit="1" customWidth="1"/>
    <col min="37" max="37" width="8.5703125" style="132" bestFit="1" customWidth="1"/>
    <col min="38" max="38" width="8.85546875" style="132" bestFit="1" customWidth="1"/>
    <col min="39" max="39" width="11.7109375" bestFit="1" customWidth="1"/>
    <col min="40" max="40" width="13.28515625" bestFit="1" customWidth="1"/>
  </cols>
  <sheetData>
    <row r="1" spans="1:40">
      <c r="B1" s="7" t="s">
        <v>53</v>
      </c>
      <c r="C1" s="7" t="s">
        <v>54</v>
      </c>
      <c r="D1" s="7" t="s">
        <v>143</v>
      </c>
      <c r="E1" s="7" t="s">
        <v>144</v>
      </c>
      <c r="F1" s="7" t="s">
        <v>57</v>
      </c>
      <c r="G1" s="7" t="s">
        <v>145</v>
      </c>
      <c r="H1" s="7" t="s">
        <v>146</v>
      </c>
      <c r="I1" s="7" t="s">
        <v>58</v>
      </c>
      <c r="J1" s="7" t="s">
        <v>146</v>
      </c>
      <c r="K1" s="7" t="s">
        <v>152</v>
      </c>
      <c r="L1" s="7" t="s">
        <v>146</v>
      </c>
      <c r="M1" s="7" t="s">
        <v>27</v>
      </c>
      <c r="N1" s="7" t="s">
        <v>146</v>
      </c>
      <c r="O1" s="7" t="s">
        <v>151</v>
      </c>
      <c r="P1" s="7" t="s">
        <v>150</v>
      </c>
      <c r="Q1" s="7" t="s">
        <v>149</v>
      </c>
      <c r="R1" s="7" t="s">
        <v>148</v>
      </c>
      <c r="S1" s="7" t="s">
        <v>154</v>
      </c>
      <c r="T1" s="7" t="s">
        <v>153</v>
      </c>
      <c r="U1" s="7" t="s">
        <v>147</v>
      </c>
      <c r="V1" s="7" t="s">
        <v>59</v>
      </c>
      <c r="W1" s="7" t="s">
        <v>60</v>
      </c>
      <c r="X1" s="7" t="s">
        <v>61</v>
      </c>
      <c r="Y1" s="7" t="s">
        <v>62</v>
      </c>
      <c r="Z1" s="7" t="s">
        <v>63</v>
      </c>
      <c r="AA1" s="7" t="s">
        <v>61</v>
      </c>
      <c r="AB1" s="7" t="s">
        <v>62</v>
      </c>
      <c r="AC1" s="7" t="s">
        <v>64</v>
      </c>
      <c r="AD1" s="7" t="s">
        <v>61</v>
      </c>
      <c r="AE1" s="7" t="s">
        <v>62</v>
      </c>
      <c r="AF1" s="7" t="s">
        <v>65</v>
      </c>
      <c r="AG1" s="7" t="s">
        <v>61</v>
      </c>
      <c r="AH1" s="7" t="s">
        <v>62</v>
      </c>
      <c r="AI1" s="7" t="s">
        <v>66</v>
      </c>
      <c r="AJ1" s="7" t="s">
        <v>61</v>
      </c>
      <c r="AK1" s="7" t="s">
        <v>62</v>
      </c>
      <c r="AL1" s="7" t="s">
        <v>132</v>
      </c>
      <c r="AM1" s="7" t="s">
        <v>133</v>
      </c>
      <c r="AN1" s="7" t="s">
        <v>134</v>
      </c>
    </row>
    <row r="2" spans="1:40">
      <c r="A2" t="s">
        <v>14</v>
      </c>
      <c r="B2" s="132">
        <f>COUNTIFS(Base!V:V,"ETABLISSEMENT 1")</f>
        <v>3</v>
      </c>
      <c r="C2" s="132">
        <f ca="1">COUNTIFS(Base!V:V,"ETABLISSEMENT 1",Base!J:J,"0")</f>
        <v>0</v>
      </c>
      <c r="D2" s="132">
        <f ca="1">B2-C2</f>
        <v>3</v>
      </c>
      <c r="E2" s="132">
        <f>COUNTIFS(Base!V:V,"ETABLISSEMENT 1",Base!D:D,"D")</f>
        <v>0</v>
      </c>
      <c r="F2" s="132">
        <f>COUNTIFS(Base!V:V,"ETABLISSEMENT 1",Base!D:D,"F")</f>
        <v>1</v>
      </c>
      <c r="G2" s="132">
        <f>COUNTIFS(Base!V:V,"ETABLISSEMENT 1",Base!R:R,"X")</f>
        <v>1</v>
      </c>
      <c r="H2" s="132">
        <f>COUNTIFS(Base!V:V,"ETABLISSEMENT 1",Base!R:R,"X",Base!L:L,"&gt;0")</f>
        <v>1</v>
      </c>
      <c r="I2" s="132">
        <f>COUNTIFS(Base!V:V,"ETABLISSEMENT 1",Base!S:S,"X")</f>
        <v>0</v>
      </c>
      <c r="J2" s="132">
        <f>COUNTIFS(Base!V:V,"ETABLISSEMENT 1",Base!S:S,"X",Base!J:J,"&gt;0")</f>
        <v>0</v>
      </c>
      <c r="K2" s="132">
        <f>COUNTIFS(Base!V:V,"ETABLISSEMENT 1",Base!T:T,"X")</f>
        <v>1</v>
      </c>
      <c r="L2" s="132">
        <f ca="1">COUNTIFS(Base!V:V,"ETABLISSEMENT 1",Base!T:T,"X",Base!J:J,"&gt;0")</f>
        <v>1</v>
      </c>
      <c r="M2" s="132">
        <f>COUNTIFS(Base!V:V,"ETABLISSEMENT 1",Base!U:U,"X")</f>
        <v>0</v>
      </c>
      <c r="N2" s="132">
        <f>COUNTIFS(Base!V:V,"ETABLISSEMENT 1",Base!U:U,"X",Base!J:J,"&gt;0")</f>
        <v>0</v>
      </c>
      <c r="O2" s="132">
        <f>SUMIFS(Base!P:P,Base!V:V,"ETABLISSEMENT 1")</f>
        <v>0</v>
      </c>
      <c r="P2" s="132">
        <f>SUMIFS(Base!Q:Q,Base!V:V,"ETABLISSEMENT 1")</f>
        <v>0</v>
      </c>
      <c r="Q2" s="132">
        <f ca="1">COUNTIFS(Base!V:V,"ETABLISSEMENT 1",Base!Q:Q,"",Base!J:J,"&gt;0")</f>
        <v>2</v>
      </c>
      <c r="R2" s="132">
        <f>COUNTIFS(Base!V:V,"ETABLISSEMENT 1",Base!D:D,"D")</f>
        <v>0</v>
      </c>
      <c r="S2" s="132">
        <f ca="1">COUNTIFS(Base!V:V,"ETABLISSEMENT 1",Base!Q:Q,"",Base!J:J,"0")</f>
        <v>0</v>
      </c>
      <c r="T2" s="132">
        <f ca="1">COUNTIFS(Base!V:V,"ETABLISSEMENT 1",Base!K:K,"REGULIER",Base!J:J,"&gt;0")</f>
        <v>3</v>
      </c>
      <c r="U2" s="132">
        <f>COUNTIFS(Base!V:V,"ETABLISSEMENT 1",Base!K:K,"PERISCOLAIRE",Base!J:J,"&gt;0")</f>
        <v>0</v>
      </c>
      <c r="V2" s="132">
        <f>COUNTIFS(Base!V:V,"ETABLISSEMENT 1",Base!K:K,"OCCASIONNEL",Base!J:J,"&gt;0")</f>
        <v>0</v>
      </c>
      <c r="W2" s="132">
        <f>COUNTIFS(Base!V:V,"ETABLISSEMENT 1",Base!L:L,"1",Base!J:J,"&gt;0")</f>
        <v>0</v>
      </c>
      <c r="X2" s="132">
        <f>SUMIFS(Base!M:M,Base!V:V,"ETABLISSEMENT 1",Base!L:L,"1",Base!J:J,"&gt;0")</f>
        <v>0</v>
      </c>
      <c r="Y2" s="132">
        <f>SUMIFS(Base!O:O,Base!V:V,"ETABLISSEMENT 1",Base!L:L,"1",Base!J:J,"&gt;0")</f>
        <v>0</v>
      </c>
      <c r="Z2" s="132">
        <f>COUNTIFS(Base!V:V,"ETABLISSEMENT 1",Base!L:L,"2",Base!J:J,"&gt;0")</f>
        <v>0</v>
      </c>
      <c r="AA2" s="132">
        <f>SUMIFS(Base!M:M,Base!V:V,"ETABLISSEMENT 1",Base!L:L,"2",Base!J:J,"&gt;0")</f>
        <v>0</v>
      </c>
      <c r="AB2" s="132">
        <f>SUMIFS(Base!O:O,Base!V:V,"ETABLISSEMENT 1",Base!L:L,"2",Base!J:J,"&gt;0")</f>
        <v>0</v>
      </c>
      <c r="AC2" s="132">
        <f>COUNTIFS(Base!V:V,"ETABLISSEMENT 1",Base!L:L,"3",Base!J:J,"&gt;0")</f>
        <v>0</v>
      </c>
      <c r="AD2" s="132">
        <f>SUMIFS(Base!M:M,Base!V:V,"ETABLISSEMENT 1",Base!L:L,"3",Base!J:J,"&gt;0")</f>
        <v>0</v>
      </c>
      <c r="AE2" s="132">
        <f>SUMIFS(Base!O:O,Base!V:V,"ETABLISSEMENT 1",Base!L:L,"3",Base!J:J,"&gt;0")</f>
        <v>0</v>
      </c>
      <c r="AF2" s="132">
        <f ca="1">COUNTIFS(Base!V:V,"ETABLISSEMENT 1",Base!L:L,"4",Base!J:J,"&gt;0")</f>
        <v>2</v>
      </c>
      <c r="AG2" s="132">
        <f ca="1">SUMIFS(Base!M:M,Base!V:V,"ETABLISSEMENT 1",Base!L:L,"4",Base!J:J,"&gt;0")</f>
        <v>360</v>
      </c>
      <c r="AH2" s="132">
        <f ca="1">SUMIFS(Base!O:O,Base!V:V,"ETABLISSEMENT 1",Base!L:L,"4",Base!J:J,"&gt;0")</f>
        <v>380</v>
      </c>
      <c r="AI2" s="132">
        <f ca="1">COUNTIFS(Base!V:V,"ETABLISSEMENT 1",Base!L:L,"5",Base!J:J,"&gt;0")</f>
        <v>1</v>
      </c>
      <c r="AJ2" s="132">
        <f ca="1">SUMIFS(Base!M:M,Base!V:V,"ETABLISSEMENT 1",Base!L:L,"5",Base!J:J,"&gt;0")</f>
        <v>150</v>
      </c>
      <c r="AK2" s="132">
        <f ca="1">SUMIFS(Base!O:O,Base!V:V,"ETABLISSEMENT 1",Base!L:L,"5",Base!J:J,"&gt;0")</f>
        <v>300</v>
      </c>
      <c r="AM2">
        <f ca="1">X2+AA2+AD2+AG2+AJ2</f>
        <v>510</v>
      </c>
      <c r="AN2" s="11">
        <f ca="1">Y2+AB2+AE2+AH2+AK2</f>
        <v>680</v>
      </c>
    </row>
    <row r="3" spans="1:40">
      <c r="A3" t="s">
        <v>16</v>
      </c>
      <c r="B3" s="132">
        <f>COUNTIFS(Base!V:V,"ETABLISSEMENT 2")</f>
        <v>1</v>
      </c>
      <c r="C3" s="132">
        <f ca="1">COUNTIFS(Base!V:V,"ETABLISSEMENT 2",Base!J:J,"0")</f>
        <v>0</v>
      </c>
      <c r="D3" s="132">
        <f t="shared" ref="D3:D10" ca="1" si="0">B3-C3</f>
        <v>1</v>
      </c>
      <c r="E3" s="132">
        <f>COUNTIFS(Base!V:V,"ETABLISSEMENT 2",Base!D:D,"D")</f>
        <v>1</v>
      </c>
      <c r="F3" s="132">
        <f>COUNTIFS(Base!V:V,"ETABLISSEMENT 2",Base!D:D,"F")</f>
        <v>0</v>
      </c>
      <c r="G3" s="132">
        <f>COUNTIFS(Base!V:V,"ETABLISSEMENT 2",Base!R:R,"X")</f>
        <v>0</v>
      </c>
      <c r="H3" s="132">
        <f>COUNTIFS(Base!V:V,"ETABLISSEMENT 2",Base!R:R,"X",Base!L:L,"&gt;0")</f>
        <v>0</v>
      </c>
      <c r="I3" s="132">
        <f>COUNTIFS(Base!V:V,"ETABLISSEMENT 2",Base!S:S,"X")</f>
        <v>0</v>
      </c>
      <c r="J3" s="132">
        <f>COUNTIFS(Base!V:V,"ETABLISSEMENT 2",Base!S:S,"X",Base!J:J,"&gt;0")</f>
        <v>0</v>
      </c>
      <c r="K3" s="132">
        <f>COUNTIFS(Base!V:V,"ETABLISSEMENT 2",Base!T:T,"X")</f>
        <v>0</v>
      </c>
      <c r="L3" s="132">
        <f>COUNTIFS(Base!V:V,"ETABLISSEMENT 2",Base!T:T,"X",Base!J:J,"&gt;0")</f>
        <v>0</v>
      </c>
      <c r="M3" s="132">
        <f>COUNTIFS(Base!V:V,"ETABLISSEMENT 2",Base!U:U,"X")</f>
        <v>0</v>
      </c>
      <c r="N3" s="132">
        <f>COUNTIFS(Base!V:V,"ETABLISSEMENT 2",Base!U:U,"X",Base!J:J,"&gt;0")</f>
        <v>0</v>
      </c>
      <c r="O3" s="132">
        <f>SUMIFS(Base!P:P,Base!V:V,"ETABLISSEMENT 2")</f>
        <v>0</v>
      </c>
      <c r="P3" s="132">
        <f>SUMIFS(Base!Q:Q,Base!V:V,"ETABLISSEMENT 2")</f>
        <v>0</v>
      </c>
      <c r="Q3" s="132">
        <f ca="1">COUNTIFS(Base!V:V,"ETABLISSEMENT 2",Base!Q:Q,"",Base!J:J,"&gt;0")</f>
        <v>1</v>
      </c>
      <c r="R3" s="132">
        <f>COUNTIFS(Base!V:V,"ETABLISSEMENT 2",Base!D:D,"D")</f>
        <v>1</v>
      </c>
      <c r="S3" s="132">
        <f ca="1">COUNTIFS(Base!V:V,"ETABLISSEMENT 2",Base!Q:Q,"",Base!J:J,"0")</f>
        <v>0</v>
      </c>
      <c r="T3" s="132">
        <f>COUNTIFS(Base!V:V,"ETABLISSEMENT 2",Base!K:K,"REGULIER",Base!J:J,"&gt;0")</f>
        <v>0</v>
      </c>
      <c r="U3" s="132">
        <f>COUNTIFS(Base!V:V,"ETABLISSEMENT 2",Base!K:K,"PERISCOLAIRE",Base!J:J,"&gt;0")</f>
        <v>0</v>
      </c>
      <c r="V3" s="132">
        <f>COUNTIFS(Base!V:V,"ETABLISSEMENT 2",Base!K:K,"OCCASIONNEL",Base!J:J,"&gt;0")</f>
        <v>0</v>
      </c>
      <c r="W3" s="132">
        <f>COUNTIFS(Base!V:V,"ETABLISSEMENT 2",Base!L:L,"1",Base!J:J,"&gt;0")</f>
        <v>0</v>
      </c>
      <c r="X3" s="132">
        <f>SUMIFS(Base!M:M,Base!V:V,"ETABLISSEMENT 2",Base!L:L,"1",Base!J:J,"&gt;0")</f>
        <v>0</v>
      </c>
      <c r="Y3" s="132">
        <f>SUMIFS(Base!O:O,Base!V:V,"ETABLISSEMENT 2",Base!L:L,"1",Base!J:J,"&gt;0")</f>
        <v>0</v>
      </c>
      <c r="Z3" s="132">
        <f>COUNTIFS(Base!V:V,"ETABLISSEMENT 2",Base!L:L,"2",Base!J:J,"&gt;0")</f>
        <v>0</v>
      </c>
      <c r="AA3" s="132">
        <f>SUMIFS(Base!M:M,Base!V:V,"ETABLISSEMENT 2",Base!L:L,"2",Base!J:J,"&gt;0")</f>
        <v>0</v>
      </c>
      <c r="AB3" s="132">
        <f>SUMIFS(Base!O:O,Base!V:V,"ETABLISSEMENT 2",Base!L:L,"2",Base!J:J,"&gt;0")</f>
        <v>0</v>
      </c>
      <c r="AC3" s="132">
        <f>COUNTIFS(Base!V:V,"ETABLISSEMENT 2",Base!L:L,"3",Base!J:J,"&gt;0")</f>
        <v>0</v>
      </c>
      <c r="AD3" s="132">
        <f>SUMIFS(Base!M:M,Base!V:V,"ETABLISSEMENT 2",Base!L:L,"3",Base!J:J,"&gt;0")</f>
        <v>0</v>
      </c>
      <c r="AE3" s="132">
        <f>SUMIFS(Base!O:O,Base!V:V,"ETABLISSEMENT 2",Base!L:L,"3",Base!J:J,"&gt;0")</f>
        <v>0</v>
      </c>
      <c r="AF3" s="132">
        <f>COUNTIFS(Base!V:V,"ETABLISSEMENT 2",Base!L:L,"4",Base!J:J,"&gt;0")</f>
        <v>0</v>
      </c>
      <c r="AG3" s="132">
        <f>SUMIFS(Base!M:M,Base!V:V,"ETABLISSEMENT 2",Base!L:L,"4",Base!J:J,"&gt;0")</f>
        <v>0</v>
      </c>
      <c r="AH3" s="132">
        <f>SUMIFS(Base!O:O,Base!V:V,"ETABLISSEMENT 2",Base!L:L,"4",Base!J:J,"&gt;0")</f>
        <v>0</v>
      </c>
      <c r="AI3" s="132">
        <f ca="1">COUNTIFS(Base!V:V,"ETABLISSEMENT 2",Base!L:L,"5",Base!J:J,"&gt;0")</f>
        <v>1</v>
      </c>
      <c r="AJ3" s="132">
        <f ca="1">SUMIFS(Base!M:M,Base!V:V,"ETABLISSEMENT 2",Base!L:L,"5",Base!J:J,"&gt;0")</f>
        <v>0</v>
      </c>
      <c r="AK3" s="132">
        <f ca="1">SUMIFS(Base!O:O,Base!V:V,"ETABLISSEMENT 2",Base!L:L,"5",Base!J:J,"&gt;0")</f>
        <v>0</v>
      </c>
      <c r="AM3" s="11">
        <f t="shared" ref="AM3:AM11" ca="1" si="1">X3+AA3+AD3+AG3+AJ3</f>
        <v>0</v>
      </c>
      <c r="AN3" s="11">
        <f t="shared" ref="AN3:AN11" ca="1" si="2">Y3+AB3+AE3+AH3+AK3</f>
        <v>0</v>
      </c>
    </row>
    <row r="4" spans="1:40">
      <c r="A4" t="s">
        <v>17</v>
      </c>
      <c r="B4" s="132">
        <f>COUNTIFS(Base!V:V,"ETABLISSEMENT 3")</f>
        <v>2</v>
      </c>
      <c r="C4" s="132">
        <f ca="1">COUNTIFS(Base!V:V,"ETABLISSEMENT 3",Base!J:J,"0")</f>
        <v>1</v>
      </c>
      <c r="D4" s="132">
        <f t="shared" ca="1" si="0"/>
        <v>1</v>
      </c>
      <c r="E4" s="132">
        <f>COUNTIFS(Base!V:V,"ETABLISSEMENT 3",Base!D:D,"D")</f>
        <v>0</v>
      </c>
      <c r="F4" s="132">
        <f>COUNTIFS(Base!V:V,"ETABLISSEMENT 3",Base!D:D,"F")</f>
        <v>0</v>
      </c>
      <c r="G4" s="132">
        <f>COUNTIFS(Base!V:V,"ETABLISSEMENT 3",Base!R:R,"X")</f>
        <v>0</v>
      </c>
      <c r="H4" s="132">
        <f>COUNTIFS(Base!V:V,"ETABLISSEMENT 3",Base!R:R,"X",Base!L:L,"&gt;0")</f>
        <v>0</v>
      </c>
      <c r="I4" s="132">
        <f>COUNTIFS(Base!V:V,"ETABLISSEMENT 3",Base!S:S,"X")</f>
        <v>0</v>
      </c>
      <c r="J4" s="132">
        <f>COUNTIFS(Base!V:V,"ETABLISSEMENT 3",Base!S:S,"X",Base!J:J,"&gt;0")</f>
        <v>0</v>
      </c>
      <c r="K4" s="132">
        <f>COUNTIFS(Base!V:V,"ETABLISSEMENT 3",Base!T:T,"X")</f>
        <v>0</v>
      </c>
      <c r="L4" s="132">
        <f>COUNTIFS(Base!V:V,"ETABLISSEMENT 3",Base!T:T,"X",Base!J:J,"&gt;0")</f>
        <v>0</v>
      </c>
      <c r="M4" s="132">
        <f>COUNTIFS(Base!V:V,"ETABLISSEMENT 3",Base!U:U,"X")</f>
        <v>0</v>
      </c>
      <c r="N4" s="132">
        <f>COUNTIFS(Base!V:V,"ETABLISSEMENT 3",Base!U:U,"X",Base!J:J,"&gt;0")</f>
        <v>0</v>
      </c>
      <c r="O4" s="132">
        <f>SUMIFS(Base!P:P,Base!V:V,"ETABLISSEMENT 3")</f>
        <v>0</v>
      </c>
      <c r="P4" s="132">
        <f>SUMIFS(Base!Q:Q,Base!V:V,"ETABLISSEMENT 3")</f>
        <v>0</v>
      </c>
      <c r="Q4" s="132">
        <f ca="1">COUNTIFS(Base!V:V,"ETABLISSEMENT 3",Base!Q:Q,"",Base!J:J,"&gt;0")</f>
        <v>1</v>
      </c>
      <c r="R4" s="132">
        <f>COUNTIFS(Base!V:V,"ETABLISSEMENT 3",Base!D:D,"D")</f>
        <v>0</v>
      </c>
      <c r="S4" s="132">
        <f ca="1">COUNTIFS(Base!V:V,"ETABLISSEMENT 3",Base!Q:Q,"",Base!J:J,"0")</f>
        <v>1</v>
      </c>
      <c r="T4" s="132">
        <f ca="1">COUNTIFS(Base!V:V,"ETABLISSEMENT 3",Base!K:K,"REGULIER",Base!J:J,"&gt;0")</f>
        <v>1</v>
      </c>
      <c r="U4" s="132">
        <f>COUNTIFS(Base!V:V,"ETABLISSEMENT 3",Base!K:K,"PERISCOLAIRE",Base!J:J,"&gt;0")</f>
        <v>0</v>
      </c>
      <c r="V4" s="132">
        <f>COUNTIFS(Base!V:V,"ETABLISSEMENT 3",Base!K:K,"OCCASIONNEL",Base!J:J,"&gt;0")</f>
        <v>0</v>
      </c>
      <c r="W4" s="132">
        <f>COUNTIFS(Base!V:V,"ETABLISSEMENT 3",Base!L:L,"1",Base!J:J,"&gt;0")</f>
        <v>0</v>
      </c>
      <c r="X4" s="132">
        <f>SUMIFS(Base!M:M,Base!V:V,"ETABLISSEMENT 3",Base!L:L,"1",Base!J:J,"&gt;0")</f>
        <v>0</v>
      </c>
      <c r="Y4" s="132">
        <f>SUMIFS(Base!O:O,Base!V:V,"ETABLISSEMENT 3",Base!L:L,"1",Base!J:J,"&gt;0")</f>
        <v>0</v>
      </c>
      <c r="Z4" s="132">
        <f>COUNTIFS(Base!V:V,"ETABLISSEMENT 3",Base!L:L,"2",Base!J:J,"&gt;0")</f>
        <v>0</v>
      </c>
      <c r="AA4" s="132">
        <f>SUMIFS(Base!M:M,Base!V:V,"ETABLISSEMENT 3",Base!L:L,"2",Base!J:J,"&gt;0")</f>
        <v>0</v>
      </c>
      <c r="AB4" s="132">
        <f>SUMIFS(Base!O:O,Base!V:V,"ETABLISSEMENT 3",Base!L:L,"2",Base!J:J,"&gt;0")</f>
        <v>0</v>
      </c>
      <c r="AC4" s="132">
        <f>COUNTIFS(Base!V:V,"ETABLISSEMENT 3",Base!L:L,"3",Base!J:J,"&gt;0")</f>
        <v>0</v>
      </c>
      <c r="AD4" s="132">
        <f>SUMIFS(Base!M:M,Base!V:V,"ETABLISSEMENT 3",Base!L:L,"3",Base!J:J,"&gt;0")</f>
        <v>0</v>
      </c>
      <c r="AE4" s="132">
        <f>SUMIFS(Base!O:O,Base!V:V,"ETABLISSEMENT 3",Base!L:L,"3",Base!J:J,"&gt;0")</f>
        <v>0</v>
      </c>
      <c r="AF4" s="132">
        <f ca="1">COUNTIFS(Base!V:V,"ETABLISSEMENT 3",Base!L:L,"4",Base!J:J,"&gt;0")</f>
        <v>1</v>
      </c>
      <c r="AG4" s="132">
        <f ca="1">SUMIFS(Base!M:M,Base!V:V,"ETABLISSEMENT 3",Base!L:L,"4",Base!J:J,"&gt;0")</f>
        <v>190.5</v>
      </c>
      <c r="AH4" s="132">
        <f ca="1">SUMIFS(Base!O:O,Base!V:V,"ETABLISSEMENT 3",Base!L:L,"4",Base!J:J,"&gt;0")</f>
        <v>285.75</v>
      </c>
      <c r="AI4" s="132">
        <f>COUNTIFS(Base!V:V,"ETABLISSEMENT 3",Base!L:L,"5",Base!J:J,"&gt;0")</f>
        <v>0</v>
      </c>
      <c r="AJ4" s="132">
        <f>SUMIFS(Base!M:M,Base!V:V,"ETABLISSEMENT 3",Base!L:L,"5",Base!J:J,"&gt;0")</f>
        <v>0</v>
      </c>
      <c r="AK4" s="132">
        <f>SUMIFS(Base!O:O,Base!V:V,"ETABLISSEMENT 3",Base!L:L,"5",Base!J:J,"&gt;0")</f>
        <v>0</v>
      </c>
      <c r="AM4" s="11">
        <f t="shared" ca="1" si="1"/>
        <v>190.5</v>
      </c>
      <c r="AN4" s="11">
        <f t="shared" ca="1" si="2"/>
        <v>285.75</v>
      </c>
    </row>
    <row r="5" spans="1:40">
      <c r="A5" t="s">
        <v>18</v>
      </c>
      <c r="B5" s="132">
        <f>COUNTIFS(Base!V:V,"ETABLISSEMENT 4")</f>
        <v>0</v>
      </c>
      <c r="C5" s="132">
        <f>COUNTIFS(Base!V:V,"ETABLISSEMENT 4",Base!J:J,"0")</f>
        <v>0</v>
      </c>
      <c r="D5" s="132">
        <f t="shared" si="0"/>
        <v>0</v>
      </c>
      <c r="E5" s="132">
        <f>COUNTIFS(Base!V:V,"ETABLISSEMENT 4",Base!D:D,"D")</f>
        <v>0</v>
      </c>
      <c r="F5" s="132">
        <f>COUNTIFS(Base!V:V,"ETABLISSEMENT 4",Base!D:D,"F")</f>
        <v>0</v>
      </c>
      <c r="G5" s="132">
        <f>COUNTIFS(Base!V:V,"ETABLISSEMENT 4",Base!R:R,"X")</f>
        <v>0</v>
      </c>
      <c r="H5" s="132">
        <f>COUNTIFS(Base!V:V,"ETABLISSEMENT 4",Base!R:R,"X",Base!L:L,"&gt;0")</f>
        <v>0</v>
      </c>
      <c r="I5" s="132">
        <f>COUNTIFS(Base!V:V,"ETABLISSEMENT 4",Base!S:S,"X")</f>
        <v>0</v>
      </c>
      <c r="J5" s="132">
        <f>COUNTIFS(Base!V:V,"ETABLISSEMENT 4",Base!S:S,"X",Base!J:J,"&gt;0")</f>
        <v>0</v>
      </c>
      <c r="K5" s="132">
        <f>COUNTIFS(Base!V:V,"ETABLISSEMENT 4",Base!T:T,"X")</f>
        <v>0</v>
      </c>
      <c r="L5" s="132">
        <f>COUNTIFS(Base!V:V,"ETABLISSEMENT 4",Base!T:T,"X",Base!J:J,"&gt;0")</f>
        <v>0</v>
      </c>
      <c r="M5" s="132">
        <f>COUNTIFS(Base!V:V,"ETABLISSEMENT 4",Base!U:U,"X")</f>
        <v>0</v>
      </c>
      <c r="N5" s="132">
        <f>COUNTIFS(Base!V:V,"ETABLISSEMENT 4",Base!U:U,"X",Base!J:J,"&gt;0")</f>
        <v>0</v>
      </c>
      <c r="O5" s="132">
        <f>SUMIFS(Base!P:P,Base!V:V,"ETABLISSEMENT 4")</f>
        <v>0</v>
      </c>
      <c r="P5" s="132">
        <f>SUMIFS(Base!Q:Q,Base!V:V,"ETABLISSEMENT 4")</f>
        <v>0</v>
      </c>
      <c r="Q5" s="132">
        <f>COUNTIFS(Base!V:V,"ETABLISSEMENT 4",Base!Q:Q,"",Base!J:J,"&gt;0")</f>
        <v>0</v>
      </c>
      <c r="R5" s="132">
        <f>COUNTIFS(Base!V:V,"ETABLISSEMENT 4",Base!D:D,"D")</f>
        <v>0</v>
      </c>
      <c r="S5" s="132">
        <f>COUNTIFS(Base!V:V,"ETABLISSEMENT 4",Base!Q:Q,"",Base!J:J,"0")</f>
        <v>0</v>
      </c>
      <c r="T5" s="132">
        <f>COUNTIFS(Base!V:V,"ETABLISSEMENT 4",Base!K:K,"REGULIER",Base!J:J,"&gt;0")</f>
        <v>0</v>
      </c>
      <c r="U5" s="132">
        <f>COUNTIFS(Base!V:V,"ETABLISSEMENT 4",Base!K:K,"PERISCOLAIRE",Base!J:J,"&gt;0")</f>
        <v>0</v>
      </c>
      <c r="V5" s="132">
        <f>COUNTIFS(Base!V:V,"ETABLISSEMENT 4",Base!K:K,"OCCASIONNEL",Base!J:J,"&gt;0")</f>
        <v>0</v>
      </c>
      <c r="W5" s="132">
        <f>COUNTIFS(Base!V:V,"ETABLISSEMENT 4",Base!L:L,"1",Base!J:J,"&gt;0")</f>
        <v>0</v>
      </c>
      <c r="X5" s="132">
        <f>SUMIFS(Base!M:M,Base!V:V,"ETABLISSEMENT 4",Base!L:L,"1",Base!J:J,"&gt;0")</f>
        <v>0</v>
      </c>
      <c r="Y5" s="132">
        <f>SUMIFS(Base!O:O,Base!V:V,"ETABLISSEMENT 4",Base!L:L,"1",Base!J:J,"&gt;0")</f>
        <v>0</v>
      </c>
      <c r="Z5" s="132">
        <f>COUNTIFS(Base!V:V,"ETABLISSEMENT 4",Base!L:L,"2",Base!J:J,"&gt;0")</f>
        <v>0</v>
      </c>
      <c r="AA5" s="132">
        <f>SUMIFS(Base!M:M,Base!V:V,"ETABLISSEMENT 4",Base!L:L,"2",Base!J:J,"&gt;0")</f>
        <v>0</v>
      </c>
      <c r="AB5" s="132">
        <f>SUMIFS(Base!O:O,Base!V:V,"ETABLISSEMENT 4",Base!L:L,"2",Base!J:J,"&gt;0")</f>
        <v>0</v>
      </c>
      <c r="AC5" s="132">
        <f>COUNTIFS(Base!V:V,"ETABLISSEMENT 4",Base!L:L,"3",Base!J:J,"&gt;0")</f>
        <v>0</v>
      </c>
      <c r="AD5" s="132">
        <f>SUMIFS(Base!M:M,Base!V:V,"ETABLISSEMENT 4",Base!L:L,"3",Base!J:J,"&gt;0")</f>
        <v>0</v>
      </c>
      <c r="AE5" s="132">
        <f>SUMIFS(Base!O:O,Base!V:V,"ETABLISSEMENT 4",Base!L:L,"3",Base!J:J,"&gt;0")</f>
        <v>0</v>
      </c>
      <c r="AF5" s="132">
        <f>COUNTIFS(Base!V:V,"ETABLISSEMENT 4",Base!L:L,"4",Base!J:J,"&gt;0")</f>
        <v>0</v>
      </c>
      <c r="AG5" s="132">
        <f>SUMIFS(Base!M:M,Base!V:V,"ETABLISSEMENT 4",Base!L:L,"4",Base!J:J,"&gt;0")</f>
        <v>0</v>
      </c>
      <c r="AH5" s="132">
        <f>SUMIFS(Base!O:O,Base!V:V,"ETABLISSEMENT 4",Base!L:L,"4",Base!J:J,"&gt;0")</f>
        <v>0</v>
      </c>
      <c r="AI5" s="132">
        <f>COUNTIFS(Base!V:V,"ETABLISSEMENT 4",Base!L:L,"5",Base!J:J,"&gt;0")</f>
        <v>0</v>
      </c>
      <c r="AJ5" s="132">
        <f>SUMIFS(Base!M:M,Base!V:V,"ETABLISSEMENT 4",Base!L:L,"5",Base!J:J,"&gt;0")</f>
        <v>0</v>
      </c>
      <c r="AK5" s="132">
        <f>SUMIFS(Base!O:O,Base!V:V,"ETABLISSEMENT 4",Base!L:L,"5",Base!J:J,"&gt;0")</f>
        <v>0</v>
      </c>
      <c r="AM5" s="11">
        <f t="shared" si="1"/>
        <v>0</v>
      </c>
      <c r="AN5" s="11">
        <f t="shared" si="2"/>
        <v>0</v>
      </c>
    </row>
    <row r="6" spans="1:40">
      <c r="A6" t="s">
        <v>19</v>
      </c>
      <c r="B6" s="132">
        <f>COUNTIFS(Base!V:V,"ETABLISSEMENT 5")</f>
        <v>0</v>
      </c>
      <c r="C6" s="132">
        <f>COUNTIFS(Base!V:V,"ETABLISSEMENT 5",Base!J:J,"0")</f>
        <v>0</v>
      </c>
      <c r="D6" s="132">
        <f t="shared" si="0"/>
        <v>0</v>
      </c>
      <c r="E6" s="132">
        <f>COUNTIFS(Base!V:V,"ETABLISSEMENT 5",Base!D:D,"D")</f>
        <v>0</v>
      </c>
      <c r="F6" s="132">
        <f>COUNTIFS(Base!V:V,"ETABLISSEMENT 5",Base!D:D,"F")</f>
        <v>0</v>
      </c>
      <c r="G6" s="132">
        <f>COUNTIFS(Base!V:V,"ETABLISSEMENT 5",Base!R:R,"X")</f>
        <v>0</v>
      </c>
      <c r="H6" s="132">
        <f>COUNTIFS(Base!V:V,"ETABLISSEMENT 5",Base!R:R,"X",Base!L:L,"&gt;0")</f>
        <v>0</v>
      </c>
      <c r="I6" s="132">
        <f>COUNTIFS(Base!V:V,"ETABLISSEMENT 5",Base!S:S,"X")</f>
        <v>0</v>
      </c>
      <c r="J6" s="132">
        <f>COUNTIFS(Base!V:V,"ETABLISSEMENT 5",Base!S:S,"X",Base!J:J,"&gt;0")</f>
        <v>0</v>
      </c>
      <c r="K6" s="132">
        <f>COUNTIFS(Base!V:V,"ETABLISSEMENT 5",Base!T:T,"X")</f>
        <v>0</v>
      </c>
      <c r="L6" s="132">
        <f>COUNTIFS(Base!V:V,"ETABLISSEMENT 5",Base!T:T,"X",Base!J:J,"&gt;0")</f>
        <v>0</v>
      </c>
      <c r="M6" s="132">
        <f>COUNTIFS(Base!V:V,"ETABLISSEMENT 5",Base!U:U,"X")</f>
        <v>0</v>
      </c>
      <c r="N6" s="132">
        <f>COUNTIFS(Base!V:V,"ETABLISSEMENT 5",Base!U:U,"X",Base!J:J,"&gt;0")</f>
        <v>0</v>
      </c>
      <c r="O6" s="132">
        <f>SUMIFS(Base!P:P,Base!V:V,"ETABLISSEMENT 5")</f>
        <v>0</v>
      </c>
      <c r="P6" s="132">
        <f>SUMIFS(Base!Q:Q,Base!V:V,"ETABLISSEMENT 5")</f>
        <v>0</v>
      </c>
      <c r="Q6" s="132">
        <f>COUNTIFS(Base!V:V,"ETABLISSEMENT 5",Base!Q:Q,"",Base!J:J,"&gt;0")</f>
        <v>0</v>
      </c>
      <c r="R6" s="132">
        <f>COUNTIFS(Base!V:V,"ETABLISSEMENT 5",Base!D:D,"D")</f>
        <v>0</v>
      </c>
      <c r="S6" s="132">
        <f>COUNTIFS(Base!V:V,"ETABLISSEMENT 5",Base!Q:Q,"",Base!J:J,"0")</f>
        <v>0</v>
      </c>
      <c r="T6" s="132">
        <f>COUNTIFS(Base!V:V,"ETABLISSEMENT 5",Base!K:K,"REGULIER",Base!J:J,"&gt;0")</f>
        <v>0</v>
      </c>
      <c r="U6" s="132">
        <f>COUNTIFS(Base!V:V,"ETABLISSEMENT 5",Base!K:K,"PERISCOLAIRE",Base!J:J,"&gt;0")</f>
        <v>0</v>
      </c>
      <c r="V6" s="132">
        <f>COUNTIFS(Base!V:V,"ETABLISSEMENT 5",Base!K:K,"OCCASIONNEL",Base!J:J,"&gt;0")</f>
        <v>0</v>
      </c>
      <c r="W6" s="132">
        <f>COUNTIFS(Base!V:V,"ETABLISSEMENT 5",Base!L:L,"1",Base!J:J,"&gt;0")</f>
        <v>0</v>
      </c>
      <c r="X6" s="132">
        <f>SUMIFS(Base!M:M,Base!V:V,"ETABLISSEMENT 5",Base!L:L,"1",Base!J:J,"&gt;0")</f>
        <v>0</v>
      </c>
      <c r="Y6" s="132">
        <f>SUMIFS(Base!O:O,Base!V:V,"ETABLISSEMENT 5",Base!L:L,"1",Base!J:J,"&gt;0")</f>
        <v>0</v>
      </c>
      <c r="Z6" s="132">
        <f>COUNTIFS(Base!V:V,"ETABLISSEMENT 5",Base!L:L,"2",Base!J:J,"&gt;0")</f>
        <v>0</v>
      </c>
      <c r="AA6" s="132">
        <f>SUMIFS(Base!M:M,Base!V:V,"ETABLISSEMENT 5",Base!L:L,"2",Base!J:J,"&gt;0")</f>
        <v>0</v>
      </c>
      <c r="AB6" s="132">
        <f>SUMIFS(Base!O:O,Base!V:V,"ETABLISSEMENT 5",Base!L:L,"2",Base!J:J,"&gt;0")</f>
        <v>0</v>
      </c>
      <c r="AC6" s="132">
        <f>COUNTIFS(Base!V:V,"ETABLISSEMENT 5",Base!L:L,"3",Base!J:J,"&gt;0")</f>
        <v>0</v>
      </c>
      <c r="AD6" s="132">
        <f>SUMIFS(Base!M:M,Base!V:V,"ETABLISSEMENT 5",Base!L:L,"3",Base!J:J,"&gt;0")</f>
        <v>0</v>
      </c>
      <c r="AE6" s="132">
        <f>SUMIFS(Base!O:O,Base!V:V,"ETABLISSEMENT 5",Base!L:L,"3",Base!J:J,"&gt;0")</f>
        <v>0</v>
      </c>
      <c r="AF6" s="132">
        <f>COUNTIFS(Base!V:V,"ETABLISSEMENT 5",Base!L:L,"4",Base!J:J,"&gt;0")</f>
        <v>0</v>
      </c>
      <c r="AG6" s="132">
        <f>SUMIFS(Base!M:M,Base!V:V,"ETABLISSEMENT 5",Base!L:L,"4",Base!J:J,"&gt;0")</f>
        <v>0</v>
      </c>
      <c r="AH6" s="132">
        <f>SUMIFS(Base!O:O,Base!V:V,"ETABLISSEMENT 5",Base!L:L,"4",Base!J:J,"&gt;0")</f>
        <v>0</v>
      </c>
      <c r="AI6" s="132">
        <f>COUNTIFS(Base!V:V,"ETABLISSEMENT 5",Base!L:L,"5",Base!J:J,"&gt;0")</f>
        <v>0</v>
      </c>
      <c r="AJ6" s="132">
        <f>SUMIFS(Base!M:M,Base!V:V,"ETABLISSEMENT 5",Base!L:L,"5",Base!J:J,"&gt;0")</f>
        <v>0</v>
      </c>
      <c r="AK6" s="132">
        <f>SUMIFS(Base!O:O,Base!V:V,"ETABLISSEMENT 5",Base!L:L,"5",Base!J:J,"&gt;0")</f>
        <v>0</v>
      </c>
      <c r="AM6" s="11">
        <f t="shared" si="1"/>
        <v>0</v>
      </c>
      <c r="AN6" s="11">
        <f t="shared" si="2"/>
        <v>0</v>
      </c>
    </row>
    <row r="7" spans="1:40">
      <c r="A7" t="s">
        <v>20</v>
      </c>
      <c r="B7" s="132">
        <f>COUNTIFS(Base!V:V,"ETABLISSEMENT 6")</f>
        <v>0</v>
      </c>
      <c r="C7" s="132">
        <f>COUNTIFS(Base!V:V,"ETABLISSEMENT 6",Base!J:J,"0")</f>
        <v>0</v>
      </c>
      <c r="D7" s="132">
        <f t="shared" si="0"/>
        <v>0</v>
      </c>
      <c r="E7" s="132">
        <f>COUNTIFS(Base!V:V,"ETABLISSEMENT 6",Base!D:D,"D")</f>
        <v>0</v>
      </c>
      <c r="F7" s="132">
        <f>COUNTIFS(Base!V:V,"ETABLISSEMENT 6",Base!D:D,"F")</f>
        <v>0</v>
      </c>
      <c r="G7" s="132">
        <f>COUNTIFS(Base!V:V,"ETABLISSEMENT 6",Base!R:R,"X")</f>
        <v>0</v>
      </c>
      <c r="H7" s="132">
        <f>COUNTIFS(Base!V:V,"ETABLISSEMENT 6",Base!R:R,"X",Base!L:L,"&gt;0")</f>
        <v>0</v>
      </c>
      <c r="I7" s="132">
        <f>COUNTIFS(Base!V:V,"ETABLISSEMENT 6",Base!S:S,"X")</f>
        <v>0</v>
      </c>
      <c r="J7" s="132">
        <f>COUNTIFS(Base!V:V,"ETABLISSEMENT 6",Base!S:S,"X",Base!J:J,"&gt;0")</f>
        <v>0</v>
      </c>
      <c r="K7" s="132">
        <f>COUNTIFS(Base!V:V,"ETABLISSEMENT 6",Base!T:T,"X")</f>
        <v>0</v>
      </c>
      <c r="L7" s="132">
        <f>COUNTIFS(Base!V:V,"ETABLISSEMENT 6",Base!T:T,"X",Base!J:J,"&gt;0")</f>
        <v>0</v>
      </c>
      <c r="M7" s="132">
        <f>COUNTIFS(Base!V:V,"ETABLISSEMENT 6",Base!U:U,"X")</f>
        <v>0</v>
      </c>
      <c r="N7" s="132">
        <f>COUNTIFS(Base!V:V,"ETABLISSEMENT 6",Base!U:U,"X",Base!J:J,"&gt;0")</f>
        <v>0</v>
      </c>
      <c r="O7" s="132">
        <f>SUMIFS(Base!P:P,Base!V:V,"ETABLISSEMENT 6")</f>
        <v>0</v>
      </c>
      <c r="P7" s="132">
        <f>SUMIFS(Base!Q:Q,Base!V:V,"ETABLISSEMENT 6")</f>
        <v>0</v>
      </c>
      <c r="Q7" s="132">
        <f>COUNTIFS(Base!V:V,"ETABLISSEMENT 6",Base!Q:Q,"",Base!J:J,"&gt;0")</f>
        <v>0</v>
      </c>
      <c r="R7" s="132">
        <f>COUNTIFS(Base!V:V,"ETABLISSEMENT 6",Base!D:D,"D")</f>
        <v>0</v>
      </c>
      <c r="S7" s="132">
        <f>COUNTIFS(Base!V:V,"ETABLISSEMENT 6",Base!Q:Q,"",Base!J:J,"0")</f>
        <v>0</v>
      </c>
      <c r="T7" s="132">
        <f>COUNTIFS(Base!V:V,"ETABLISSEMENT 6",Base!K:K,"REGULIER",Base!J:J,"&gt;0")</f>
        <v>0</v>
      </c>
      <c r="U7" s="132">
        <f>COUNTIFS(Base!V:V,"ETABLISSEMENT 6",Base!K:K,"PERISCOLAIRE",Base!J:J,"&gt;0")</f>
        <v>0</v>
      </c>
      <c r="V7" s="132">
        <f>COUNTIFS(Base!V:V,"ETABLISSEMENT 6",Base!K:K,"OCCASIONNEL",Base!J:J,"&gt;0")</f>
        <v>0</v>
      </c>
      <c r="W7" s="132">
        <f>COUNTIFS(Base!V:V,"ETABLISSEMENT 6",Base!L:L,"1",Base!J:J,"&gt;0")</f>
        <v>0</v>
      </c>
      <c r="X7" s="132">
        <f>SUMIFS(Base!M:M,Base!V:V,"ETABLISSEMENT 6",Base!L:L,"1",Base!J:J,"&gt;0")</f>
        <v>0</v>
      </c>
      <c r="Y7" s="132">
        <f>SUMIFS(Base!O:O,Base!V:V,"ETABLISSEMENT 6",Base!L:L,"1",Base!J:J,"&gt;0")</f>
        <v>0</v>
      </c>
      <c r="Z7" s="132">
        <f>COUNTIFS(Base!V:V,"ETABLISSEMENT 6",Base!L:L,"2",Base!J:J,"&gt;0")</f>
        <v>0</v>
      </c>
      <c r="AA7" s="132">
        <f>SUMIFS(Base!M:M,Base!V:V,"ETABLISSEMENT 6",Base!L:L,"2",Base!J:J,"&gt;0")</f>
        <v>0</v>
      </c>
      <c r="AB7" s="132">
        <f>SUMIFS(Base!O:O,Base!V:V,"ETABLISSEMENT 6",Base!L:L,"2",Base!J:J,"&gt;0")</f>
        <v>0</v>
      </c>
      <c r="AC7" s="132">
        <f>COUNTIFS(Base!V:V,"ETABLISSEMENT 6",Base!L:L,"3",Base!J:J,"&gt;0")</f>
        <v>0</v>
      </c>
      <c r="AD7" s="132">
        <f>SUMIFS(Base!M:M,Base!V:V,"ETABLISSEMENT 6",Base!L:L,"3",Base!J:J,"&gt;0")</f>
        <v>0</v>
      </c>
      <c r="AE7" s="132">
        <f>SUMIFS(Base!O:O,Base!V:V,"ETABLISSEMENT 6",Base!L:L,"3",Base!J:J,"&gt;0")</f>
        <v>0</v>
      </c>
      <c r="AF7" s="132">
        <f>COUNTIFS(Base!V:V,"ETABLISSEMENT 6",Base!L:L,"4",Base!J:J,"&gt;0")</f>
        <v>0</v>
      </c>
      <c r="AG7" s="132">
        <f>SUMIFS(Base!M:M,Base!V:V,"ETABLISSEMENT 6",Base!L:L,"4",Base!J:J,"&gt;0")</f>
        <v>0</v>
      </c>
      <c r="AH7" s="132">
        <f>SUMIFS(Base!O:O,Base!V:V,"ETABLISSEMENT 6",Base!L:L,"4",Base!J:J,"&gt;0")</f>
        <v>0</v>
      </c>
      <c r="AI7" s="132">
        <f>COUNTIFS(Base!V:V,"ETABLISSEMENT 6",Base!L:L,"5",Base!J:J,"&gt;0")</f>
        <v>0</v>
      </c>
      <c r="AJ7" s="132">
        <f>SUMIFS(Base!M:M,Base!V:V,"ETABLISSEMENT 6",Base!L:L,"5",Base!J:J,"&gt;0")</f>
        <v>0</v>
      </c>
      <c r="AK7" s="132">
        <f>SUMIFS(Base!O:O,Base!V:V,"ETABLISSEMENT 6",Base!L:L,"5",Base!J:J,"&gt;0")</f>
        <v>0</v>
      </c>
      <c r="AM7" s="11">
        <f t="shared" si="1"/>
        <v>0</v>
      </c>
      <c r="AN7" s="11">
        <f t="shared" si="2"/>
        <v>0</v>
      </c>
    </row>
    <row r="8" spans="1:40">
      <c r="A8" t="s">
        <v>21</v>
      </c>
      <c r="B8" s="132">
        <f>COUNTIFS(Base!V:V,"ETABLISSEMENT 7")</f>
        <v>0</v>
      </c>
      <c r="C8" s="132">
        <f>COUNTIFS(Base!V:V,"ETABLISSEMENT 7",Base!J:J,"0")</f>
        <v>0</v>
      </c>
      <c r="D8" s="132">
        <f t="shared" si="0"/>
        <v>0</v>
      </c>
      <c r="E8" s="132">
        <f>COUNTIFS(Base!V:V,"ETABLISSEMENT 7",Base!D:D,"D")</f>
        <v>0</v>
      </c>
      <c r="F8" s="132">
        <f>COUNTIFS(Base!V:V,"ETABLISSEMENT 7",Base!D:D,"F")</f>
        <v>0</v>
      </c>
      <c r="G8" s="132">
        <f>COUNTIFS(Base!V:V,"ETABLISSEMENT 7",Base!R:R,"X")</f>
        <v>0</v>
      </c>
      <c r="H8" s="132">
        <f>COUNTIFS(Base!V:V,"ETABLISSEMENT 7",Base!R:R,"X",Base!L:L,"&gt;0")</f>
        <v>0</v>
      </c>
      <c r="I8" s="132">
        <f>COUNTIFS(Base!V:V,"ETABLISSEMENT 7",Base!S:S,"X")</f>
        <v>0</v>
      </c>
      <c r="J8" s="132">
        <f>COUNTIFS(Base!V:V,"ETABLISSEMENT 7",Base!S:S,"X",Base!J:J,"&gt;0")</f>
        <v>0</v>
      </c>
      <c r="K8" s="132">
        <f>COUNTIFS(Base!V:V,"ETABLISSEMENT 7",Base!T:T,"X")</f>
        <v>0</v>
      </c>
      <c r="L8" s="132">
        <f>COUNTIFS(Base!V:V,"ETABLISSEMENT 7",Base!T:T,"X",Base!J:J,"&gt;0")</f>
        <v>0</v>
      </c>
      <c r="M8" s="132">
        <f>COUNTIFS(Base!V:V,"ETABLISSEMENT 7",Base!U:U,"X")</f>
        <v>0</v>
      </c>
      <c r="N8" s="132">
        <f>COUNTIFS(Base!V:V,"ETABLISSEMENT 7",Base!U:U,"X",Base!J:J,"&gt;0")</f>
        <v>0</v>
      </c>
      <c r="O8" s="132">
        <f>SUMIFS(Base!P:P,Base!V:V,"ETABLISSEMENT 7")</f>
        <v>0</v>
      </c>
      <c r="P8" s="132">
        <f>SUMIFS(Base!Q:Q,Base!V:V,"ETABLISSEMENT 7")</f>
        <v>0</v>
      </c>
      <c r="Q8" s="132">
        <f>COUNTIFS(Base!V:V,"ETABLISSEMENT 7",Base!Q:Q,"",Base!J:J,"&gt;0")</f>
        <v>0</v>
      </c>
      <c r="R8" s="132">
        <f>COUNTIFS(Base!V:V,"ETABLISSEMENT 7",Base!D:D,"D")</f>
        <v>0</v>
      </c>
      <c r="S8" s="132">
        <f>COUNTIFS(Base!V:V,"ETABLISSEMENT 7",Base!Q:Q,"",Base!J:J,"0")</f>
        <v>0</v>
      </c>
      <c r="T8" s="132">
        <f>COUNTIFS(Base!V:V,"ETABLISSEMENT 7",Base!K:K,"REGULIER",Base!J:J,"&gt;0")</f>
        <v>0</v>
      </c>
      <c r="U8" s="132">
        <f>COUNTIFS(Base!V:V,"ETABLISSEMENT 7",Base!K:K,"PERISCOLAIRE",Base!J:J,"&gt;0")</f>
        <v>0</v>
      </c>
      <c r="V8" s="132">
        <f>COUNTIFS(Base!V:V,"ETABLISSEMENT 7",Base!K:K,"OCCASIONNEL",Base!J:J,"&gt;0")</f>
        <v>0</v>
      </c>
      <c r="W8" s="132">
        <f>COUNTIFS(Base!V:V,"ETABLISSEMENT 7",Base!L:L,"1",Base!J:J,"&gt;0")</f>
        <v>0</v>
      </c>
      <c r="X8" s="132">
        <f>SUMIFS(Base!M:M,Base!V:V,"ETABLISSEMENT 7",Base!L:L,"1",Base!J:J,"&gt;0")</f>
        <v>0</v>
      </c>
      <c r="Y8" s="132">
        <f>SUMIFS(Base!O:O,Base!V:V,"ETABLISSEMENT 7",Base!L:L,"1",Base!J:J,"&gt;0")</f>
        <v>0</v>
      </c>
      <c r="Z8" s="132">
        <f>COUNTIFS(Base!V:V,"ETABLISSEMENT 7",Base!L:L,"2",Base!J:J,"&gt;0")</f>
        <v>0</v>
      </c>
      <c r="AA8" s="132">
        <f>SUMIFS(Base!M:M,Base!V:V,"ETABLISSEMENT 7",Base!L:L,"2",Base!J:J,"&gt;0")</f>
        <v>0</v>
      </c>
      <c r="AB8" s="132">
        <f>SUMIFS(Base!O:O,Base!V:V,"ETABLISSEMENT 7",Base!L:L,"2",Base!J:J,"&gt;0")</f>
        <v>0</v>
      </c>
      <c r="AC8" s="132">
        <f>COUNTIFS(Base!V:V,"ETABLISSEMENT 7",Base!L:L,"3",Base!J:J,"&gt;0")</f>
        <v>0</v>
      </c>
      <c r="AD8" s="132">
        <f>SUMIFS(Base!M:M,Base!V:V,"ETABLISSEMENT 7",Base!L:L,"3",Base!J:J,"&gt;0")</f>
        <v>0</v>
      </c>
      <c r="AE8" s="132">
        <f>SUMIFS(Base!O:O,Base!V:V,"ETABLISSEMENT 7",Base!L:L,"3",Base!J:J,"&gt;0")</f>
        <v>0</v>
      </c>
      <c r="AF8" s="132">
        <f>COUNTIFS(Base!V:V,"ETABLISSEMENT 7",Base!L:L,"4",Base!J:J,"&gt;0")</f>
        <v>0</v>
      </c>
      <c r="AG8" s="132">
        <f>SUMIFS(Base!M:M,Base!V:V,"ETABLISSEMENT 7",Base!L:L,"4",Base!J:J,"&gt;0")</f>
        <v>0</v>
      </c>
      <c r="AH8" s="132">
        <f>SUMIFS(Base!O:O,Base!V:V,"ETABLISSEMENT 7",Base!L:L,"4",Base!J:J,"&gt;0")</f>
        <v>0</v>
      </c>
      <c r="AI8" s="132">
        <f>COUNTIFS(Base!V:V,"ETABLISSEMENT 7",Base!L:L,"5",Base!J:J,"&gt;0")</f>
        <v>0</v>
      </c>
      <c r="AJ8" s="132">
        <f>SUMIFS(Base!M:M,Base!V:V,"ETABLISSEMENT 7",Base!L:L,"5",Base!J:J,"&gt;0")</f>
        <v>0</v>
      </c>
      <c r="AK8" s="132">
        <f>SUMIFS(Base!O:O,Base!V:V,"ETABLISSEMENT 7",Base!L:L,"5",Base!J:J,"&gt;0")</f>
        <v>0</v>
      </c>
      <c r="AM8" s="11">
        <f t="shared" si="1"/>
        <v>0</v>
      </c>
      <c r="AN8" s="11">
        <f t="shared" si="2"/>
        <v>0</v>
      </c>
    </row>
    <row r="9" spans="1:40">
      <c r="A9" t="s">
        <v>22</v>
      </c>
      <c r="B9" s="132">
        <f>COUNTIFS(Base!V:V,"ETABLISSEMENT 8")</f>
        <v>0</v>
      </c>
      <c r="C9" s="132">
        <f>COUNTIFS(Base!V:V,"ETABLISSEMENT 8",Base!J:J,"0")</f>
        <v>0</v>
      </c>
      <c r="D9" s="132">
        <f t="shared" si="0"/>
        <v>0</v>
      </c>
      <c r="E9" s="132">
        <f>COUNTIFS(Base!V:V,"ETABLISSEMENT 8",Base!D:D,"D")</f>
        <v>0</v>
      </c>
      <c r="F9" s="132">
        <f>COUNTIFS(Base!V:V,"ETABLISSEMENT 8",Base!D:D,"F")</f>
        <v>0</v>
      </c>
      <c r="G9" s="132">
        <f>COUNTIFS(Base!V:V,"ETABLISSEMENT 8",Base!R:R,"X")</f>
        <v>0</v>
      </c>
      <c r="H9" s="132">
        <f>COUNTIFS(Base!V:V,"ETABLISSEMENT 8",Base!R:R,"X",Base!L:L,"&gt;0")</f>
        <v>0</v>
      </c>
      <c r="I9" s="132">
        <f>COUNTIFS(Base!V:V,"ETABLISSEMENT 8",Base!S:S,"X")</f>
        <v>0</v>
      </c>
      <c r="J9" s="132">
        <f>COUNTIFS(Base!V:V,"ETABLISSEMENT 8",Base!S:S,"X",Base!J:J,"&gt;0")</f>
        <v>0</v>
      </c>
      <c r="K9" s="132">
        <f>COUNTIFS(Base!V:V,"ETABLISSEMENT 8",Base!T:T,"X")</f>
        <v>0</v>
      </c>
      <c r="L9" s="132">
        <f>COUNTIFS(Base!V:V,"ETABLISSEMENT 8",Base!T:T,"X",Base!J:J,"&gt;0")</f>
        <v>0</v>
      </c>
      <c r="M9" s="132">
        <f>COUNTIFS(Base!V:V,"ETABLISSEMENT 8",Base!U:U,"X")</f>
        <v>0</v>
      </c>
      <c r="N9" s="132">
        <f>COUNTIFS(Base!V:V,"ETABLISSEMENT 8",Base!U:U,"X",Base!J:J,"&gt;0")</f>
        <v>0</v>
      </c>
      <c r="O9" s="132">
        <f>SUMIFS(Base!P:P,Base!V:V,"ETABLISSEMENT 8")</f>
        <v>0</v>
      </c>
      <c r="P9" s="132">
        <f>SUMIFS(Base!Q:Q,Base!V:V,"ETABLISSEMENT 8")</f>
        <v>0</v>
      </c>
      <c r="Q9" s="132">
        <f>COUNTIFS(Base!V:V,"ETABLISSEMENT 8",Base!Q:Q,"",Base!J:J,"&gt;0")</f>
        <v>0</v>
      </c>
      <c r="R9" s="132">
        <f>COUNTIFS(Base!V:V,"ETABLISSEMENT 8",Base!D:D,"D")</f>
        <v>0</v>
      </c>
      <c r="S9" s="132">
        <f>COUNTIFS(Base!V:V,"ETABLISSEMENT 8",Base!Q:Q,"",Base!J:J,"0")</f>
        <v>0</v>
      </c>
      <c r="T9" s="132">
        <f>COUNTIFS(Base!V:V,"ETABLISSEMENT 8",Base!K:K,"REGULIER",Base!J:J,"&gt;0")</f>
        <v>0</v>
      </c>
      <c r="U9" s="132">
        <f>COUNTIFS(Base!V:V,"ETABLISSEMENT 8",Base!K:K,"PERISCOLAIRE",Base!J:J,"&gt;0")</f>
        <v>0</v>
      </c>
      <c r="V9" s="132">
        <f>COUNTIFS(Base!V:V,"ETABLISSEMENT 8",Base!K:K,"OCCASIONNEL",Base!J:J,"&gt;0")</f>
        <v>0</v>
      </c>
      <c r="W9" s="132">
        <f>COUNTIFS(Base!V:V,"ETABLISSEMENT 8",Base!L:L,"1",Base!J:J,"&gt;0")</f>
        <v>0</v>
      </c>
      <c r="X9" s="132">
        <f>SUMIFS(Base!M:M,Base!V:V,"ETABLISSEMENT 8",Base!L:L,"1",Base!J:J,"&gt;0")</f>
        <v>0</v>
      </c>
      <c r="Y9" s="132">
        <f>SUMIFS(Base!O:O,Base!V:V,"ETABLISSEMENT 8",Base!L:L,"1",Base!J:J,"&gt;0")</f>
        <v>0</v>
      </c>
      <c r="Z9" s="132">
        <f>COUNTIFS(Base!V:V,"ETABLISSEMENT 8",Base!L:L,"2",Base!J:J,"&gt;0")</f>
        <v>0</v>
      </c>
      <c r="AA9" s="132">
        <f>SUMIFS(Base!M:M,Base!V:V,"ETABLISSEMENT 8",Base!L:L,"2",Base!J:J,"&gt;0")</f>
        <v>0</v>
      </c>
      <c r="AB9" s="132">
        <f>SUMIFS(Base!O:O,Base!V:V,"ETABLISSEMENT 8",Base!L:L,"2",Base!J:J,"&gt;0")</f>
        <v>0</v>
      </c>
      <c r="AC9" s="132">
        <f>COUNTIFS(Base!V:V,"ETABLISSEMENT 8",Base!L:L,"3",Base!J:J,"&gt;0")</f>
        <v>0</v>
      </c>
      <c r="AD9" s="132">
        <f>SUMIFS(Base!M:M,Base!V:V,"ETABLISSEMENT 8",Base!L:L,"3",Base!J:J,"&gt;0")</f>
        <v>0</v>
      </c>
      <c r="AE9" s="132">
        <f>SUMIFS(Base!O:O,Base!V:V,"ETABLISSEMENT 8",Base!L:L,"3",Base!J:J,"&gt;0")</f>
        <v>0</v>
      </c>
      <c r="AF9" s="132">
        <f>COUNTIFS(Base!V:V,"ETABLISSEMENT 8",Base!L:L,"4",Base!J:J,"&gt;0")</f>
        <v>0</v>
      </c>
      <c r="AG9" s="132">
        <f>SUMIFS(Base!M:M,Base!V:V,"ETABLISSEMENT 8",Base!L:L,"4",Base!J:J,"&gt;0")</f>
        <v>0</v>
      </c>
      <c r="AH9" s="132">
        <f>SUMIFS(Base!O:O,Base!V:V,"ETABLISSEMENT 8",Base!L:L,"4",Base!J:J,"&gt;0")</f>
        <v>0</v>
      </c>
      <c r="AI9" s="132">
        <f>COUNTIFS(Base!V:V,"ETABLISSEMENT 8",Base!L:L,"5",Base!J:J,"&gt;0")</f>
        <v>0</v>
      </c>
      <c r="AJ9" s="132">
        <f>SUMIFS(Base!M:M,Base!V:V,"ETABLISSEMENT 8",Base!L:L,"5",Base!J:J,"&gt;0")</f>
        <v>0</v>
      </c>
      <c r="AK9" s="132">
        <f>SUMIFS(Base!O:O,Base!V:V,"ETABLISSEMENT 8",Base!L:L,"5",Base!J:J,"&gt;0")</f>
        <v>0</v>
      </c>
      <c r="AM9" s="11">
        <f t="shared" si="1"/>
        <v>0</v>
      </c>
      <c r="AN9" s="11">
        <f t="shared" si="2"/>
        <v>0</v>
      </c>
    </row>
    <row r="10" spans="1:40">
      <c r="A10" t="s">
        <v>23</v>
      </c>
      <c r="B10" s="132">
        <f>COUNTIFS(Base!V:V,"ETABLISSEMENT 9")</f>
        <v>0</v>
      </c>
      <c r="C10" s="132">
        <f>COUNTIFS(Base!V:V,"ETABLISSEMENT 9",Base!J:J,"0")</f>
        <v>0</v>
      </c>
      <c r="D10" s="132">
        <f t="shared" si="0"/>
        <v>0</v>
      </c>
      <c r="E10" s="132">
        <f>COUNTIFS(Base!V:V,"ETABLISSEMENT 9",Base!D:D,"D")</f>
        <v>0</v>
      </c>
      <c r="F10" s="132">
        <f>COUNTIFS(Base!V:V,"ETABLISSEMENT 9",Base!D:D,"F")</f>
        <v>0</v>
      </c>
      <c r="G10" s="132">
        <f>COUNTIFS(Base!V:V,"ETABLISSEMENT 9",Base!R:R,"X")</f>
        <v>0</v>
      </c>
      <c r="H10" s="132">
        <f>COUNTIFS(Base!V:V,"ETABLISSEMENT 9",Base!R:R,"X",Base!L:L,"&gt;0")</f>
        <v>0</v>
      </c>
      <c r="I10" s="132">
        <f>COUNTIFS(Base!V:V,"ETABLISSEMENT 9",Base!S:S,"X")</f>
        <v>0</v>
      </c>
      <c r="J10" s="132">
        <f>COUNTIFS(Base!V:V,"ETABLISSEMENT 9",Base!S:S,"X",Base!J:J,"&gt;0")</f>
        <v>0</v>
      </c>
      <c r="K10" s="132">
        <f>COUNTIFS(Base!V:V,"ETABLISSEMENT 9",Base!T:T,"X")</f>
        <v>0</v>
      </c>
      <c r="L10" s="132">
        <f>COUNTIFS(Base!V:V,"ETABLISSEMENT 9",Base!T:T,"X",Base!J:J,"&gt;0")</f>
        <v>0</v>
      </c>
      <c r="M10" s="132">
        <f>COUNTIFS(Base!V:V,"ETABLISSEMENT 9",Base!U:U,"X")</f>
        <v>0</v>
      </c>
      <c r="N10" s="132">
        <f>COUNTIFS(Base!V:V,"ETABLISSEMENT 9",Base!U:U,"X",Base!J:J,"&gt;0")</f>
        <v>0</v>
      </c>
      <c r="O10" s="132">
        <f>SUMIFS(Base!P:P,Base!V:V,"ETABLISSEMENT 9")</f>
        <v>0</v>
      </c>
      <c r="P10" s="132">
        <f>SUMIFS(Base!Q:Q,Base!V:V,"ETABLISSEMENT 9")</f>
        <v>0</v>
      </c>
      <c r="Q10" s="132">
        <f>COUNTIFS(Base!V:V,"ETABLISSEMENT 9",Base!Q:Q,"",Base!J:J,"&gt;0")</f>
        <v>0</v>
      </c>
      <c r="R10" s="132">
        <f>COUNTIFS(Base!V:V,"ETABLISSEMENT 9",Base!D:D,"D")</f>
        <v>0</v>
      </c>
      <c r="S10" s="132">
        <f>COUNTIFS(Base!V:V,"ETABLISSEMENT 9",Base!Q:Q,"",Base!J:J,"0")</f>
        <v>0</v>
      </c>
      <c r="T10" s="132">
        <f>COUNTIFS(Base!V:V,"ETABLISSEMENT 9",Base!K:K,"REGULIER",Base!J:J,"&gt;0")</f>
        <v>0</v>
      </c>
      <c r="U10" s="132">
        <f>COUNTIFS(Base!V:V,"ETABLISSEMENT 9",Base!K:K,"PERISCOLAIRE",Base!J:J,"&gt;0")</f>
        <v>0</v>
      </c>
      <c r="V10" s="132">
        <f>COUNTIFS(Base!V:V,"ETABLISSEMENT 9",Base!K:K,"OCCASIONNEL",Base!J:J,"&gt;0")</f>
        <v>0</v>
      </c>
      <c r="W10" s="132">
        <f>COUNTIFS(Base!V:V,"ETABLISSEMENT 9",Base!L:L,"1",Base!J:J,"&gt;0")</f>
        <v>0</v>
      </c>
      <c r="X10" s="132">
        <f>SUMIFS(Base!M:M,Base!V:V,"ETABLISSEMENT 9",Base!L:L,"1",Base!J:J,"&gt;0")</f>
        <v>0</v>
      </c>
      <c r="Y10" s="132">
        <f>SUMIFS(Base!O:O,Base!V:V,"ETABLISSEMENT 9",Base!L:L,"1",Base!J:J,"&gt;0")</f>
        <v>0</v>
      </c>
      <c r="Z10" s="132">
        <f>COUNTIFS(Base!V:V,"ETABLISSEMENT 9",Base!L:L,"2",Base!J:J,"&gt;0")</f>
        <v>0</v>
      </c>
      <c r="AA10" s="132">
        <f>SUMIFS(Base!M:M,Base!V:V,"ETABLISSEMENT 9",Base!L:L,"2",Base!J:J,"&gt;0")</f>
        <v>0</v>
      </c>
      <c r="AB10" s="132">
        <f>SUMIFS(Base!O:O,Base!V:V,"ETABLISSEMENT 9",Base!L:L,"2",Base!J:J,"&gt;0")</f>
        <v>0</v>
      </c>
      <c r="AC10" s="132">
        <f>COUNTIFS(Base!V:V,"ETABLISSEMENT 9",Base!L:L,"3",Base!J:J,"&gt;0")</f>
        <v>0</v>
      </c>
      <c r="AD10" s="132">
        <f>SUMIFS(Base!M:M,Base!V:V,"ETABLISSEMENT 9",Base!L:L,"3",Base!J:J,"&gt;0")</f>
        <v>0</v>
      </c>
      <c r="AE10" s="132">
        <f>SUMIFS(Base!O:O,Base!V:V,"ETABLISSEMENT 9",Base!L:L,"3",Base!J:J,"&gt;0")</f>
        <v>0</v>
      </c>
      <c r="AF10" s="132">
        <f>COUNTIFS(Base!V:V,"ETABLISSEMENT 9",Base!L:L,"4",Base!J:J,"&gt;0")</f>
        <v>0</v>
      </c>
      <c r="AG10" s="132">
        <f>SUMIFS(Base!M:M,Base!V:V,"ETABLISSEMENT 9",Base!L:L,"4",Base!J:J,"&gt;0")</f>
        <v>0</v>
      </c>
      <c r="AH10" s="132">
        <f>SUMIFS(Base!O:O,Base!V:V,"ETABLISSEMENT 9",Base!L:L,"4",Base!J:J,"&gt;0")</f>
        <v>0</v>
      </c>
      <c r="AI10" s="132">
        <f>COUNTIFS(Base!V:V,"ETABLISSEMENT 9",Base!L:L,"5",Base!J:J,"&gt;0")</f>
        <v>0</v>
      </c>
      <c r="AJ10" s="132">
        <f>SUMIFS(Base!M:M,Base!V:V,"ETABLISSEMENT 9",Base!L:L,"5",Base!J:J,"&gt;0")</f>
        <v>0</v>
      </c>
      <c r="AK10" s="132">
        <f>SUMIFS(Base!O:O,Base!V:V,"ETABLISSEMENT 9",Base!L:L,"5",Base!J:J,"&gt;0")</f>
        <v>0</v>
      </c>
      <c r="AM10" s="11">
        <f t="shared" si="1"/>
        <v>0</v>
      </c>
      <c r="AN10" s="11">
        <f t="shared" si="2"/>
        <v>0</v>
      </c>
    </row>
    <row r="11" spans="1:40">
      <c r="A11" s="11" t="s">
        <v>56</v>
      </c>
      <c r="B11" s="133">
        <f>SUM(B2:B10)</f>
        <v>6</v>
      </c>
      <c r="C11" s="133">
        <f ca="1">SUM(C2:C10)</f>
        <v>1</v>
      </c>
      <c r="D11" s="133">
        <f ca="1">SUM(D2:D10)</f>
        <v>5</v>
      </c>
      <c r="E11" s="133">
        <f>SUM(E2:E10)</f>
        <v>1</v>
      </c>
      <c r="F11" s="133">
        <f>SUM(F2:F10)</f>
        <v>1</v>
      </c>
      <c r="G11" s="133">
        <f t="shared" ref="G11:J11" si="3">SUM(G2:G10)</f>
        <v>1</v>
      </c>
      <c r="H11" s="133">
        <f t="shared" si="3"/>
        <v>1</v>
      </c>
      <c r="I11" s="133">
        <f t="shared" si="3"/>
        <v>0</v>
      </c>
      <c r="J11" s="133">
        <f t="shared" si="3"/>
        <v>0</v>
      </c>
      <c r="K11" s="133">
        <f t="shared" ref="K11" si="4">SUM(K2:K10)</f>
        <v>1</v>
      </c>
      <c r="L11" s="133">
        <f t="shared" ref="L11" ca="1" si="5">SUM(L2:L10)</f>
        <v>1</v>
      </c>
      <c r="M11" s="133">
        <f t="shared" ref="M11" si="6">SUM(M2:M10)</f>
        <v>0</v>
      </c>
      <c r="N11" s="133">
        <f t="shared" ref="N11" si="7">SUM(N2:N10)</f>
        <v>0</v>
      </c>
      <c r="O11" s="133">
        <f t="shared" ref="O11" si="8">SUM(O2:O10)</f>
        <v>0</v>
      </c>
      <c r="P11" s="133">
        <f t="shared" ref="P11" si="9">SUM(P2:P10)</f>
        <v>0</v>
      </c>
      <c r="Q11" s="133">
        <f t="shared" ref="Q11" ca="1" si="10">SUM(Q2:Q10)</f>
        <v>4</v>
      </c>
      <c r="R11" s="133">
        <f t="shared" ref="R11" si="11">SUM(R2:R10)</f>
        <v>1</v>
      </c>
      <c r="S11" s="133">
        <f t="shared" ref="S11" ca="1" si="12">SUM(S2:S10)</f>
        <v>1</v>
      </c>
      <c r="T11" s="133">
        <f t="shared" ref="T11:AE11" ca="1" si="13">SUM(T2:T10)</f>
        <v>4</v>
      </c>
      <c r="U11" s="133">
        <f t="shared" si="13"/>
        <v>0</v>
      </c>
      <c r="V11" s="133">
        <f t="shared" si="13"/>
        <v>0</v>
      </c>
      <c r="W11" s="133">
        <f t="shared" si="13"/>
        <v>0</v>
      </c>
      <c r="X11" s="133">
        <f t="shared" si="13"/>
        <v>0</v>
      </c>
      <c r="Y11" s="133">
        <f t="shared" si="13"/>
        <v>0</v>
      </c>
      <c r="Z11" s="133">
        <f t="shared" si="13"/>
        <v>0</v>
      </c>
      <c r="AA11" s="133">
        <f t="shared" si="13"/>
        <v>0</v>
      </c>
      <c r="AB11" s="133">
        <f t="shared" si="13"/>
        <v>0</v>
      </c>
      <c r="AC11" s="133">
        <f t="shared" si="13"/>
        <v>0</v>
      </c>
      <c r="AD11" s="133">
        <f t="shared" si="13"/>
        <v>0</v>
      </c>
      <c r="AE11" s="133">
        <f t="shared" si="13"/>
        <v>0</v>
      </c>
      <c r="AF11" s="133">
        <f t="shared" ref="AF11" ca="1" si="14">SUM(AF2:AF10)</f>
        <v>3</v>
      </c>
      <c r="AG11" s="133">
        <f t="shared" ref="AG11" ca="1" si="15">SUM(AG2:AG10)</f>
        <v>550.5</v>
      </c>
      <c r="AH11" s="133">
        <f t="shared" ref="AH11" ca="1" si="16">SUM(AH2:AH10)</f>
        <v>665.75</v>
      </c>
      <c r="AI11" s="133">
        <f t="shared" ref="AI11" ca="1" si="17">SUM(AI2:AI10)</f>
        <v>2</v>
      </c>
      <c r="AJ11" s="133">
        <f t="shared" ref="AJ11" ca="1" si="18">SUM(AJ2:AJ10)</f>
        <v>150</v>
      </c>
      <c r="AK11" s="133">
        <f t="shared" ref="AK11" ca="1" si="19">SUM(AK2:AK10)</f>
        <v>300</v>
      </c>
      <c r="AM11" s="134">
        <f t="shared" ca="1" si="1"/>
        <v>700.5</v>
      </c>
      <c r="AN11" s="134">
        <f t="shared" ca="1" si="2"/>
        <v>965.75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05">
    <pageSetUpPr fitToPage="1"/>
  </sheetPr>
  <dimension ref="A1:W41"/>
  <sheetViews>
    <sheetView showZeros="0" workbookViewId="0">
      <selection activeCell="C3" sqref="C3"/>
    </sheetView>
  </sheetViews>
  <sheetFormatPr defaultColWidth="11.42578125" defaultRowHeight="15"/>
  <cols>
    <col min="1" max="2" width="3.7109375" customWidth="1"/>
    <col min="3" max="3" width="13.28515625" customWidth="1"/>
    <col min="4" max="4" width="3.7109375" customWidth="1"/>
    <col min="5" max="5" width="13.28515625" customWidth="1"/>
    <col min="6" max="6" width="3.7109375" customWidth="1"/>
    <col min="7" max="7" width="13.28515625" customWidth="1"/>
    <col min="8" max="8" width="3.7109375" customWidth="1"/>
    <col min="9" max="9" width="13.42578125" customWidth="1"/>
    <col min="10" max="13" width="3.7109375" customWidth="1"/>
    <col min="14" max="14" width="13.42578125" customWidth="1"/>
    <col min="15" max="15" width="3.7109375" customWidth="1"/>
    <col min="16" max="16" width="13.42578125" customWidth="1"/>
    <col min="17" max="17" width="3.7109375" customWidth="1"/>
    <col min="18" max="18" width="13.42578125" customWidth="1"/>
    <col min="19" max="20" width="3.7109375" customWidth="1"/>
  </cols>
  <sheetData>
    <row r="1" spans="1:22" ht="17.100000000000001" customHeight="1">
      <c r="A1" s="13"/>
      <c r="B1" s="11"/>
      <c r="C1" s="23" t="s">
        <v>67</v>
      </c>
      <c r="D1" s="29"/>
      <c r="E1" s="12"/>
      <c r="F1" s="12"/>
      <c r="G1" s="12"/>
      <c r="H1" s="12"/>
      <c r="I1" s="71"/>
      <c r="J1" s="71" t="s">
        <v>56</v>
      </c>
      <c r="K1" s="70"/>
      <c r="L1" s="71"/>
      <c r="M1" s="71"/>
      <c r="N1" s="12"/>
      <c r="O1" s="12"/>
      <c r="P1" s="12"/>
      <c r="Q1" s="29"/>
      <c r="R1" s="24" t="s">
        <v>71</v>
      </c>
      <c r="S1" s="11"/>
      <c r="T1" s="10"/>
    </row>
    <row r="2" spans="1:22" ht="5.0999999999999996" customHeight="1">
      <c r="A2" s="9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0"/>
    </row>
    <row r="3" spans="1:22" ht="17.100000000000001" customHeight="1">
      <c r="A3" s="9"/>
      <c r="B3" s="11"/>
      <c r="C3" s="23">
        <v>2017</v>
      </c>
      <c r="D3" s="16"/>
      <c r="E3" s="11"/>
      <c r="F3" s="14"/>
      <c r="G3" s="11"/>
      <c r="H3" s="14"/>
      <c r="I3" s="18"/>
      <c r="J3" s="18"/>
      <c r="K3" s="15"/>
      <c r="L3" s="14"/>
      <c r="M3" s="14"/>
      <c r="N3" s="11"/>
      <c r="O3" s="11"/>
      <c r="P3" s="11"/>
      <c r="Q3" s="11"/>
      <c r="R3" s="126">
        <v>5</v>
      </c>
      <c r="S3" s="11"/>
      <c r="T3" s="10"/>
    </row>
    <row r="4" spans="1:22" ht="5.0999999999999996" customHeight="1">
      <c r="A4" s="9"/>
      <c r="B4" s="11"/>
      <c r="C4" s="16"/>
      <c r="D4" s="16"/>
      <c r="E4" s="11"/>
      <c r="F4" s="14"/>
      <c r="G4" s="17"/>
      <c r="H4" s="14"/>
      <c r="I4" s="18"/>
      <c r="J4" s="18"/>
      <c r="K4" s="15"/>
      <c r="L4" s="14"/>
      <c r="M4" s="14"/>
      <c r="N4" s="11"/>
      <c r="O4" s="11"/>
      <c r="P4" s="11"/>
      <c r="Q4" s="11"/>
      <c r="R4" s="11"/>
      <c r="S4" s="11"/>
      <c r="T4" s="10"/>
    </row>
    <row r="5" spans="1:22" ht="15.75" customHeight="1">
      <c r="A5" s="9"/>
      <c r="B5" s="11"/>
      <c r="C5" s="11"/>
      <c r="D5" s="16"/>
      <c r="E5" s="16"/>
      <c r="F5" s="14"/>
      <c r="G5" s="17"/>
      <c r="H5" s="14"/>
      <c r="I5" s="20"/>
      <c r="J5" s="20"/>
      <c r="K5" s="15"/>
      <c r="L5" s="14"/>
      <c r="M5" s="14"/>
      <c r="N5" s="11"/>
      <c r="O5" s="11"/>
      <c r="P5" s="11"/>
      <c r="Q5" s="11"/>
      <c r="R5" s="11"/>
      <c r="S5" s="11"/>
      <c r="T5" s="10"/>
    </row>
    <row r="6" spans="1:22" ht="15.75" customHeight="1">
      <c r="A6" s="9"/>
      <c r="B6" s="13"/>
      <c r="C6" s="13"/>
      <c r="D6" s="15"/>
      <c r="E6" s="13"/>
      <c r="F6" s="13"/>
      <c r="G6" s="13"/>
      <c r="H6" s="14"/>
      <c r="I6" s="19"/>
      <c r="J6" s="53"/>
      <c r="K6" s="15"/>
      <c r="L6" s="14"/>
      <c r="M6" s="14"/>
      <c r="N6" s="11"/>
      <c r="O6" s="11"/>
      <c r="P6" s="11"/>
      <c r="Q6" s="11"/>
      <c r="R6" s="11"/>
      <c r="S6" s="11"/>
      <c r="T6" s="10"/>
    </row>
    <row r="7" spans="1:22" ht="15" customHeight="1">
      <c r="A7" s="9"/>
      <c r="B7" s="30"/>
      <c r="C7" s="45" t="s">
        <v>72</v>
      </c>
      <c r="D7" s="59"/>
      <c r="E7" s="46" t="s">
        <v>73</v>
      </c>
      <c r="F7" s="46"/>
      <c r="G7" s="47" t="s">
        <v>74</v>
      </c>
      <c r="H7" s="36"/>
      <c r="I7" s="47" t="s">
        <v>35</v>
      </c>
      <c r="J7" s="38"/>
      <c r="K7" s="15"/>
      <c r="L7" s="51"/>
      <c r="M7" s="37"/>
      <c r="N7" s="45" t="s">
        <v>75</v>
      </c>
      <c r="O7" s="36"/>
      <c r="P7" s="45" t="s">
        <v>76</v>
      </c>
      <c r="Q7" s="36"/>
      <c r="R7" s="45" t="s">
        <v>77</v>
      </c>
      <c r="S7" s="31"/>
      <c r="T7" s="10"/>
    </row>
    <row r="8" spans="1:22" ht="5.0999999999999996" customHeight="1">
      <c r="A8" s="9"/>
      <c r="B8" s="32"/>
      <c r="C8" s="21"/>
      <c r="D8" s="60"/>
      <c r="E8" s="22"/>
      <c r="F8" s="22"/>
      <c r="G8" s="25"/>
      <c r="H8" s="15"/>
      <c r="I8" s="15"/>
      <c r="J8" s="39"/>
      <c r="K8" s="15"/>
      <c r="L8" s="52"/>
      <c r="M8" s="14"/>
      <c r="N8" s="15"/>
      <c r="O8" s="15"/>
      <c r="P8" s="15"/>
      <c r="Q8" s="15"/>
      <c r="R8" s="15"/>
      <c r="S8" s="33"/>
      <c r="T8" s="10"/>
    </row>
    <row r="9" spans="1:22" ht="15" customHeight="1">
      <c r="A9" s="9"/>
      <c r="B9" s="32"/>
      <c r="C9" s="124">
        <v>6</v>
      </c>
      <c r="D9" s="15"/>
      <c r="E9" s="124">
        <v>1</v>
      </c>
      <c r="F9" s="15"/>
      <c r="G9" s="125">
        <v>1</v>
      </c>
      <c r="H9" s="15"/>
      <c r="I9" s="125">
        <v>1</v>
      </c>
      <c r="J9" s="33"/>
      <c r="K9" s="15"/>
      <c r="L9" s="52"/>
      <c r="M9" s="14"/>
      <c r="N9" s="124">
        <v>4</v>
      </c>
      <c r="O9" s="15"/>
      <c r="P9" s="26">
        <v>0</v>
      </c>
      <c r="Q9" s="15"/>
      <c r="R9" s="26">
        <v>0</v>
      </c>
      <c r="S9" s="33"/>
      <c r="T9" s="10"/>
    </row>
    <row r="10" spans="1:22" ht="15" customHeight="1">
      <c r="A10" s="13"/>
      <c r="B10" s="32"/>
      <c r="C10" s="15"/>
      <c r="D10" s="15"/>
      <c r="E10" s="15"/>
      <c r="F10" s="15"/>
      <c r="G10" s="15"/>
      <c r="H10" s="15"/>
      <c r="I10" s="43"/>
      <c r="J10" s="39"/>
      <c r="K10" s="15"/>
      <c r="L10" s="52"/>
      <c r="M10" s="14"/>
      <c r="N10" s="15"/>
      <c r="O10" s="15"/>
      <c r="P10" s="15"/>
      <c r="Q10" s="15"/>
      <c r="R10" s="15"/>
      <c r="S10" s="33"/>
      <c r="T10" s="10"/>
    </row>
    <row r="11" spans="1:22">
      <c r="A11" s="13"/>
      <c r="B11" s="32"/>
      <c r="C11" s="25" t="s">
        <v>11</v>
      </c>
      <c r="D11" s="15"/>
      <c r="E11" s="25" t="s">
        <v>78</v>
      </c>
      <c r="F11" s="15"/>
      <c r="G11" s="25" t="s">
        <v>79</v>
      </c>
      <c r="H11" s="15"/>
      <c r="I11" s="25" t="s">
        <v>78</v>
      </c>
      <c r="J11" s="39"/>
      <c r="K11" s="15"/>
      <c r="L11" s="52"/>
      <c r="M11" s="14"/>
      <c r="N11" s="25" t="s">
        <v>80</v>
      </c>
      <c r="O11" s="15"/>
      <c r="P11" s="57" t="s">
        <v>81</v>
      </c>
      <c r="Q11" s="15"/>
      <c r="R11" s="25" t="s">
        <v>82</v>
      </c>
      <c r="S11" s="33"/>
      <c r="T11" s="10"/>
      <c r="V11" s="136"/>
    </row>
    <row r="12" spans="1:22" ht="5.0999999999999996" customHeight="1">
      <c r="A12" s="13"/>
      <c r="B12" s="32"/>
      <c r="C12" s="15"/>
      <c r="D12" s="15"/>
      <c r="E12" s="15"/>
      <c r="F12" s="15"/>
      <c r="G12" s="15"/>
      <c r="H12" s="15"/>
      <c r="I12" s="58"/>
      <c r="J12" s="39"/>
      <c r="K12" s="15"/>
      <c r="L12" s="52"/>
      <c r="M12" s="14"/>
      <c r="N12" s="15"/>
      <c r="O12" s="15"/>
      <c r="P12" s="15"/>
      <c r="Q12" s="15"/>
      <c r="R12" s="15"/>
      <c r="S12" s="33"/>
      <c r="T12" s="10"/>
    </row>
    <row r="13" spans="1:22">
      <c r="A13" s="13"/>
      <c r="B13" s="32"/>
      <c r="C13" s="125">
        <v>1</v>
      </c>
      <c r="D13" s="15"/>
      <c r="E13" s="125">
        <v>1</v>
      </c>
      <c r="F13" s="15"/>
      <c r="G13" s="125">
        <v>0</v>
      </c>
      <c r="H13" s="15"/>
      <c r="I13" s="125">
        <v>0</v>
      </c>
      <c r="J13" s="39"/>
      <c r="K13" s="15"/>
      <c r="L13" s="52"/>
      <c r="M13" s="14"/>
      <c r="N13" s="125">
        <v>0</v>
      </c>
      <c r="O13" s="15"/>
      <c r="P13" s="121">
        <f>Synthèse!Y11-INT(Synthèse!Y11)*60/100+INT(Synthèse!Y11)</f>
        <v>0</v>
      </c>
      <c r="Q13" s="15"/>
      <c r="R13" s="122">
        <f>Synthèse!Y11</f>
        <v>0</v>
      </c>
      <c r="S13" s="33"/>
      <c r="T13" s="10"/>
    </row>
    <row r="14" spans="1:22">
      <c r="A14" s="13"/>
      <c r="B14" s="32"/>
      <c r="C14" s="15"/>
      <c r="D14" s="15"/>
      <c r="E14" s="15"/>
      <c r="F14" s="15"/>
      <c r="G14" s="15"/>
      <c r="H14" s="15"/>
      <c r="I14" s="43"/>
      <c r="J14" s="39"/>
      <c r="K14" s="15"/>
      <c r="L14" s="52"/>
      <c r="M14" s="14"/>
      <c r="N14" s="15"/>
      <c r="O14" s="15"/>
      <c r="P14" s="15"/>
      <c r="Q14" s="15"/>
      <c r="R14" s="15"/>
      <c r="S14" s="33"/>
      <c r="T14" s="10"/>
    </row>
    <row r="15" spans="1:22">
      <c r="A15" s="13"/>
      <c r="B15" s="32"/>
      <c r="C15" s="25" t="s">
        <v>83</v>
      </c>
      <c r="D15" s="15"/>
      <c r="E15" s="25" t="s">
        <v>78</v>
      </c>
      <c r="F15" s="15"/>
      <c r="G15" s="25" t="s">
        <v>48</v>
      </c>
      <c r="H15" s="15"/>
      <c r="I15" s="25" t="s">
        <v>78</v>
      </c>
      <c r="J15" s="39"/>
      <c r="K15" s="15"/>
      <c r="L15" s="52"/>
      <c r="M15" s="14"/>
      <c r="N15" s="25" t="s">
        <v>84</v>
      </c>
      <c r="O15" s="15"/>
      <c r="P15" s="57" t="s">
        <v>81</v>
      </c>
      <c r="Q15" s="15"/>
      <c r="R15" s="25" t="s">
        <v>82</v>
      </c>
      <c r="S15" s="33"/>
      <c r="T15" s="10"/>
    </row>
    <row r="16" spans="1:22" ht="5.0999999999999996" customHeight="1">
      <c r="A16" s="13"/>
      <c r="B16" s="32"/>
      <c r="C16" s="15"/>
      <c r="D16" s="15"/>
      <c r="E16" s="15"/>
      <c r="F16" s="15"/>
      <c r="G16" s="15"/>
      <c r="H16" s="15"/>
      <c r="I16" s="15"/>
      <c r="J16" s="39"/>
      <c r="K16" s="15"/>
      <c r="L16" s="52"/>
      <c r="M16" s="14"/>
      <c r="N16" s="15"/>
      <c r="O16" s="15"/>
      <c r="P16" s="15"/>
      <c r="Q16" s="15"/>
      <c r="R16" s="15"/>
      <c r="S16" s="33"/>
      <c r="T16" s="10"/>
    </row>
    <row r="17" spans="1:23">
      <c r="A17" s="13"/>
      <c r="B17" s="32"/>
      <c r="C17" s="125">
        <v>1</v>
      </c>
      <c r="D17" s="15"/>
      <c r="E17" s="125">
        <v>1</v>
      </c>
      <c r="F17" s="15"/>
      <c r="G17" s="125">
        <v>0</v>
      </c>
      <c r="H17" s="15"/>
      <c r="I17" s="125">
        <v>0</v>
      </c>
      <c r="J17" s="39"/>
      <c r="K17" s="15"/>
      <c r="L17" s="52"/>
      <c r="M17" s="14"/>
      <c r="N17" s="125">
        <v>0</v>
      </c>
      <c r="O17" s="15"/>
      <c r="P17" s="121">
        <f>Synthèse!AA11-INT(Synthèse!AA11)*60/100+INT(Synthèse!AA11)</f>
        <v>0</v>
      </c>
      <c r="Q17" s="15"/>
      <c r="R17" s="123">
        <f>Synthèse!AB11</f>
        <v>0</v>
      </c>
      <c r="S17" s="33"/>
      <c r="T17" s="10"/>
    </row>
    <row r="18" spans="1:23">
      <c r="A18" s="13"/>
      <c r="B18" s="32"/>
      <c r="C18" s="15"/>
      <c r="D18" s="15"/>
      <c r="E18" s="15"/>
      <c r="F18" s="15"/>
      <c r="G18" s="15"/>
      <c r="H18" s="15"/>
      <c r="I18" s="43"/>
      <c r="J18" s="39"/>
      <c r="K18" s="15"/>
      <c r="L18" s="52"/>
      <c r="M18" s="14"/>
      <c r="N18" s="15"/>
      <c r="O18" s="15"/>
      <c r="P18" s="15"/>
      <c r="Q18" s="15"/>
      <c r="R18" s="15"/>
      <c r="S18" s="33"/>
      <c r="T18" s="10"/>
    </row>
    <row r="19" spans="1:23">
      <c r="A19" s="33"/>
      <c r="B19" s="32"/>
      <c r="C19" s="15"/>
      <c r="D19" s="15"/>
      <c r="E19" s="25" t="s">
        <v>44</v>
      </c>
      <c r="F19" s="15"/>
      <c r="G19" s="25" t="s">
        <v>45</v>
      </c>
      <c r="H19" s="15"/>
      <c r="I19" s="15"/>
      <c r="J19" s="39"/>
      <c r="K19" s="15"/>
      <c r="L19" s="52"/>
      <c r="M19" s="14"/>
      <c r="N19" s="25" t="s">
        <v>85</v>
      </c>
      <c r="O19" s="15"/>
      <c r="P19" s="57" t="s">
        <v>81</v>
      </c>
      <c r="Q19" s="15"/>
      <c r="R19" s="25" t="s">
        <v>82</v>
      </c>
      <c r="S19" s="33"/>
      <c r="T19" s="10"/>
    </row>
    <row r="20" spans="1:23" ht="5.0999999999999996" customHeight="1">
      <c r="A20" s="13"/>
      <c r="B20" s="32"/>
      <c r="C20" s="15"/>
      <c r="D20" s="15"/>
      <c r="E20" s="15"/>
      <c r="F20" s="15"/>
      <c r="G20" s="15"/>
      <c r="H20" s="15"/>
      <c r="I20" s="15"/>
      <c r="J20" s="39"/>
      <c r="K20" s="15"/>
      <c r="L20" s="52"/>
      <c r="M20" s="14"/>
      <c r="N20" s="25"/>
      <c r="O20" s="15"/>
      <c r="P20" s="15"/>
      <c r="Q20" s="15"/>
      <c r="R20" s="15"/>
      <c r="S20" s="33"/>
      <c r="T20" s="10"/>
    </row>
    <row r="21" spans="1:23">
      <c r="A21" s="13"/>
      <c r="B21" s="32"/>
      <c r="C21" s="15"/>
      <c r="D21" s="15"/>
      <c r="E21" s="125">
        <v>0</v>
      </c>
      <c r="F21" s="15"/>
      <c r="G21" s="125">
        <v>0</v>
      </c>
      <c r="H21" s="15"/>
      <c r="I21" s="15"/>
      <c r="J21" s="39"/>
      <c r="K21" s="15"/>
      <c r="L21" s="52"/>
      <c r="M21" s="14"/>
      <c r="N21" s="125">
        <v>0</v>
      </c>
      <c r="O21" s="15"/>
      <c r="P21" s="121">
        <f>Synthèse!AD11-INT(Synthèse!AD11)*60/100+INT(Synthèse!AD11)</f>
        <v>0</v>
      </c>
      <c r="Q21" s="15"/>
      <c r="R21" s="123">
        <f>Synthèse!AE11</f>
        <v>0</v>
      </c>
      <c r="S21" s="33"/>
      <c r="T21" s="10"/>
    </row>
    <row r="22" spans="1:23">
      <c r="A22" s="13"/>
      <c r="B22" s="32"/>
      <c r="C22" s="15"/>
      <c r="D22" s="15"/>
      <c r="E22" s="15"/>
      <c r="F22" s="15"/>
      <c r="G22" s="15"/>
      <c r="H22" s="15"/>
      <c r="I22" s="15"/>
      <c r="J22" s="39"/>
      <c r="K22" s="15"/>
      <c r="L22" s="52"/>
      <c r="M22" s="14"/>
      <c r="N22" s="15"/>
      <c r="O22" s="15"/>
      <c r="P22" s="15"/>
      <c r="Q22" s="15"/>
      <c r="R22" s="15"/>
      <c r="S22" s="33"/>
      <c r="T22" s="10"/>
    </row>
    <row r="23" spans="1:23" ht="15.95" customHeight="1">
      <c r="A23" s="13"/>
      <c r="B23" s="32"/>
      <c r="C23" s="14"/>
      <c r="D23" s="14"/>
      <c r="E23" s="28" t="s">
        <v>86</v>
      </c>
      <c r="F23" s="27"/>
      <c r="G23" s="27"/>
      <c r="H23" s="14"/>
      <c r="I23" s="14"/>
      <c r="J23" s="39"/>
      <c r="K23" s="15"/>
      <c r="L23" s="52"/>
      <c r="M23" s="14"/>
      <c r="N23" s="25" t="s">
        <v>87</v>
      </c>
      <c r="O23" s="15"/>
      <c r="P23" s="57" t="s">
        <v>81</v>
      </c>
      <c r="Q23" s="15"/>
      <c r="R23" s="25" t="s">
        <v>82</v>
      </c>
      <c r="S23" s="33"/>
      <c r="T23" s="10"/>
    </row>
    <row r="24" spans="1:23" ht="5.0999999999999996" customHeight="1">
      <c r="A24" s="13"/>
      <c r="B24" s="32"/>
      <c r="C24" s="13"/>
      <c r="D24" s="13"/>
      <c r="E24" s="13"/>
      <c r="F24" s="13"/>
      <c r="G24" s="13"/>
      <c r="H24" s="13"/>
      <c r="I24" s="13"/>
      <c r="J24" s="33"/>
      <c r="K24" s="13"/>
      <c r="L24" s="32"/>
      <c r="M24" s="13"/>
      <c r="N24" s="15"/>
      <c r="O24" s="15"/>
      <c r="P24" s="15"/>
      <c r="Q24" s="15"/>
      <c r="R24" s="15"/>
      <c r="S24" s="33"/>
      <c r="T24" s="10"/>
    </row>
    <row r="25" spans="1:23" ht="15.95" customHeight="1">
      <c r="A25" s="13"/>
      <c r="B25" s="32"/>
      <c r="C25" s="13"/>
      <c r="D25" s="13"/>
      <c r="E25" s="127">
        <f>E21+G21</f>
        <v>0</v>
      </c>
      <c r="F25" s="128"/>
      <c r="G25" s="129"/>
      <c r="H25" s="13"/>
      <c r="I25" s="13"/>
      <c r="J25" s="33"/>
      <c r="K25" s="13"/>
      <c r="L25" s="32"/>
      <c r="M25" s="13"/>
      <c r="N25" s="125">
        <v>3</v>
      </c>
      <c r="O25" s="15"/>
      <c r="P25" s="121">
        <f ca="1">Synthèse!AG11-INT(Synthèse!AG11)*60/100+INT(Synthèse!AG11)</f>
        <v>770.5</v>
      </c>
      <c r="Q25" s="15"/>
      <c r="R25" s="122">
        <f ca="1">Synthèse!AH11</f>
        <v>665.75</v>
      </c>
      <c r="S25" s="33"/>
      <c r="T25" s="10"/>
    </row>
    <row r="26" spans="1:23">
      <c r="A26" s="13"/>
      <c r="B26" s="32"/>
      <c r="C26" s="13"/>
      <c r="D26" s="13"/>
      <c r="E26" s="13"/>
      <c r="F26" s="13"/>
      <c r="G26" s="13"/>
      <c r="H26" s="13"/>
      <c r="I26" s="13"/>
      <c r="J26" s="33"/>
      <c r="K26" s="13"/>
      <c r="L26" s="32"/>
      <c r="M26" s="13"/>
      <c r="N26" s="15"/>
      <c r="O26" s="15"/>
      <c r="P26" s="15"/>
      <c r="Q26" s="15"/>
      <c r="R26" s="15"/>
      <c r="S26" s="33"/>
      <c r="T26" s="10"/>
    </row>
    <row r="27" spans="1:23">
      <c r="A27" s="13"/>
      <c r="B27" s="32"/>
      <c r="C27" s="13"/>
      <c r="D27" s="13"/>
      <c r="E27" s="13"/>
      <c r="F27" s="13"/>
      <c r="G27" s="13"/>
      <c r="H27" s="13"/>
      <c r="I27" s="13"/>
      <c r="J27" s="33"/>
      <c r="K27" s="13"/>
      <c r="L27" s="32"/>
      <c r="M27" s="13"/>
      <c r="N27" s="25" t="s">
        <v>88</v>
      </c>
      <c r="O27" s="15"/>
      <c r="P27" s="57" t="s">
        <v>81</v>
      </c>
      <c r="Q27" s="15"/>
      <c r="R27" s="25" t="s">
        <v>82</v>
      </c>
      <c r="S27" s="33"/>
      <c r="T27" s="10"/>
    </row>
    <row r="28" spans="1:23" ht="5.0999999999999996" customHeight="1">
      <c r="A28" s="13"/>
      <c r="B28" s="32"/>
      <c r="C28" s="13"/>
      <c r="D28" s="13"/>
      <c r="E28" s="13"/>
      <c r="F28" s="13"/>
      <c r="G28" s="13"/>
      <c r="H28" s="13"/>
      <c r="I28" s="13"/>
      <c r="J28" s="33"/>
      <c r="K28" s="13"/>
      <c r="L28" s="32"/>
      <c r="M28" s="13"/>
      <c r="N28" s="15"/>
      <c r="O28" s="15"/>
      <c r="P28" s="15"/>
      <c r="Q28" s="15"/>
      <c r="R28" s="15"/>
      <c r="S28" s="33"/>
      <c r="T28" s="10"/>
    </row>
    <row r="29" spans="1:23">
      <c r="A29" s="13"/>
      <c r="B29" s="32"/>
      <c r="C29" s="55" t="s">
        <v>89</v>
      </c>
      <c r="D29" s="55"/>
      <c r="E29" s="55"/>
      <c r="F29" s="13"/>
      <c r="G29" s="125">
        <v>4</v>
      </c>
      <c r="H29" s="15"/>
      <c r="I29" s="15"/>
      <c r="J29" s="38"/>
      <c r="K29" s="13"/>
      <c r="L29" s="32"/>
      <c r="M29" s="13"/>
      <c r="N29" s="125">
        <v>2</v>
      </c>
      <c r="O29" s="15"/>
      <c r="P29" s="121">
        <f ca="1">Synthèse!AJ11-INT(Synthèse!AJ11)*60/100+INT(Synthèse!AJ11)</f>
        <v>210</v>
      </c>
      <c r="Q29" s="15"/>
      <c r="R29" s="122">
        <f ca="1">Synthèse!AK11</f>
        <v>300</v>
      </c>
      <c r="S29" s="33"/>
      <c r="T29" s="10"/>
    </row>
    <row r="30" spans="1:23">
      <c r="A30" s="13"/>
      <c r="B30" s="32"/>
      <c r="C30" s="13"/>
      <c r="D30" s="13"/>
      <c r="E30" s="13"/>
      <c r="F30" s="13"/>
      <c r="G30" s="15"/>
      <c r="H30" s="13"/>
      <c r="I30" s="13"/>
      <c r="J30" s="33"/>
      <c r="K30" s="13"/>
      <c r="L30" s="32"/>
      <c r="M30" s="13"/>
      <c r="N30" s="15"/>
      <c r="O30" s="15"/>
      <c r="P30" s="15"/>
      <c r="Q30" s="15"/>
      <c r="R30" s="15"/>
      <c r="S30" s="33"/>
      <c r="T30" s="10"/>
    </row>
    <row r="31" spans="1:23">
      <c r="A31" s="13"/>
      <c r="B31" s="32"/>
      <c r="C31" s="55" t="s">
        <v>90</v>
      </c>
      <c r="D31" s="56"/>
      <c r="E31" s="56"/>
      <c r="F31" s="13"/>
      <c r="G31" s="125">
        <v>1</v>
      </c>
      <c r="H31" s="13"/>
      <c r="I31" s="13"/>
      <c r="J31" s="33"/>
      <c r="K31" s="13"/>
      <c r="L31" s="32"/>
      <c r="M31" s="13"/>
      <c r="N31" s="13"/>
      <c r="O31" s="13"/>
      <c r="P31" s="13"/>
      <c r="Q31" s="13"/>
      <c r="R31" s="13"/>
      <c r="S31" s="33"/>
      <c r="T31" s="10"/>
    </row>
    <row r="32" spans="1:23" ht="21" customHeight="1">
      <c r="A32" s="13"/>
      <c r="B32" s="32"/>
      <c r="C32" s="15"/>
      <c r="D32" s="40"/>
      <c r="E32" s="40"/>
      <c r="F32" s="13"/>
      <c r="G32" s="15"/>
      <c r="H32" s="13"/>
      <c r="I32" s="13"/>
      <c r="J32" s="33"/>
      <c r="K32" s="13"/>
      <c r="L32" s="32"/>
      <c r="M32" s="13"/>
      <c r="N32" s="72" t="s">
        <v>91</v>
      </c>
      <c r="O32" s="73"/>
      <c r="P32" s="73"/>
      <c r="Q32" s="118"/>
      <c r="R32" s="119">
        <f ca="1">P13+P17+P21+P25+P29</f>
        <v>980.5</v>
      </c>
      <c r="S32" s="33"/>
      <c r="T32" s="10"/>
      <c r="V32" s="136"/>
      <c r="W32" s="137"/>
    </row>
    <row r="33" spans="1:20">
      <c r="A33" s="13"/>
      <c r="B33" s="32"/>
      <c r="C33" s="41" t="s">
        <v>92</v>
      </c>
      <c r="D33" s="41"/>
      <c r="E33" s="41"/>
      <c r="F33" s="13"/>
      <c r="G33" s="130">
        <v>1</v>
      </c>
      <c r="H33" s="13"/>
      <c r="I33" s="13"/>
      <c r="J33" s="33"/>
      <c r="K33" s="13"/>
      <c r="L33" s="32"/>
      <c r="M33" s="13"/>
      <c r="N33" s="13"/>
      <c r="O33" s="13"/>
      <c r="P33" s="13"/>
      <c r="Q33" s="13"/>
      <c r="R33" s="15"/>
      <c r="S33" s="33"/>
      <c r="T33" s="11"/>
    </row>
    <row r="34" spans="1:20" ht="21" customHeight="1">
      <c r="A34" s="13"/>
      <c r="B34" s="32"/>
      <c r="C34" s="13"/>
      <c r="D34" s="13"/>
      <c r="E34" s="13"/>
      <c r="F34" s="13"/>
      <c r="G34" s="13"/>
      <c r="H34" s="13"/>
      <c r="I34" s="13"/>
      <c r="J34" s="33"/>
      <c r="K34" s="13"/>
      <c r="L34" s="32"/>
      <c r="M34" s="13"/>
      <c r="N34" s="74" t="s">
        <v>93</v>
      </c>
      <c r="O34" s="75"/>
      <c r="P34" s="75"/>
      <c r="Q34" s="76"/>
      <c r="R34" s="120">
        <f ca="1">R13+R17+R21+R25+R29</f>
        <v>965.75</v>
      </c>
      <c r="S34" s="33"/>
      <c r="T34" s="11"/>
    </row>
    <row r="35" spans="1:20">
      <c r="A35" s="11"/>
      <c r="B35" s="48"/>
      <c r="C35" s="49"/>
      <c r="D35" s="49"/>
      <c r="E35" s="49"/>
      <c r="F35" s="49"/>
      <c r="G35" s="49"/>
      <c r="H35" s="49"/>
      <c r="I35" s="49"/>
      <c r="J35" s="50"/>
      <c r="K35" s="44"/>
      <c r="L35" s="48"/>
      <c r="M35" s="49"/>
      <c r="N35" s="49"/>
      <c r="O35" s="49"/>
      <c r="P35" s="49"/>
      <c r="Q35" s="49"/>
      <c r="R35" s="34"/>
      <c r="S35" s="35"/>
      <c r="T35" s="11"/>
    </row>
    <row r="36" spans="1:20" ht="15" customHeight="1">
      <c r="A36" s="54"/>
      <c r="B36" s="135" t="s">
        <v>94</v>
      </c>
      <c r="C36" s="135"/>
      <c r="D36" s="135"/>
      <c r="E36" s="135"/>
      <c r="F36" s="135"/>
      <c r="G36" s="135"/>
      <c r="H36" s="135"/>
      <c r="I36" s="135"/>
      <c r="J36" s="135"/>
      <c r="K36" s="135"/>
      <c r="L36" s="135"/>
      <c r="M36" s="135"/>
      <c r="N36" s="135"/>
      <c r="O36" s="135"/>
      <c r="P36" s="135"/>
      <c r="Q36" s="135"/>
      <c r="R36" s="135"/>
      <c r="S36" s="135"/>
      <c r="T36" s="54"/>
    </row>
    <row r="37" spans="1:20">
      <c r="A37" s="11"/>
      <c r="B37" s="61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3"/>
      <c r="T37" s="42"/>
    </row>
    <row r="38" spans="1:20">
      <c r="A38" s="11"/>
      <c r="B38" s="64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6"/>
      <c r="T38" s="42"/>
    </row>
    <row r="39" spans="1:20">
      <c r="A39" s="11"/>
      <c r="B39" s="64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6"/>
      <c r="T39" s="42"/>
    </row>
    <row r="40" spans="1:20">
      <c r="A40" s="11"/>
      <c r="B40" s="64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6"/>
      <c r="T40" s="42"/>
    </row>
    <row r="41" spans="1:20">
      <c r="A41" s="11"/>
      <c r="B41" s="67"/>
      <c r="C41" s="68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8"/>
      <c r="R41" s="68"/>
      <c r="S41" s="69"/>
      <c r="T41" s="42"/>
    </row>
  </sheetData>
  <mergeCells count="1">
    <mergeCell ref="B36:S36"/>
  </mergeCells>
  <pageMargins left="0.39370078740157483" right="0.39370078740157483" top="0.39370078740157483" bottom="0.39370078740157483" header="0" footer="0"/>
  <pageSetup paperSize="9" orientation="landscape" r:id="rId1"/>
  <headerFooter>
    <oddFooter>&amp;L&amp;"-,Italique"      SANDRINE&amp;R&amp;"-,Italique"&amp;D   &amp;T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Variables</vt:lpstr>
      <vt:lpstr>Formulaire</vt:lpstr>
      <vt:lpstr>Base</vt:lpstr>
      <vt:lpstr>Synthèse</vt:lpstr>
      <vt:lpstr>Edition</vt:lpstr>
      <vt:lpstr>Base!Print_Area</vt:lpstr>
      <vt:lpstr>Edition!Print_Area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</dc:creator>
  <cp:lastModifiedBy>Carim</cp:lastModifiedBy>
  <cp:lastPrinted>2017-10-29T09:52:47Z</cp:lastPrinted>
  <dcterms:created xsi:type="dcterms:W3CDTF">2015-08-01T17:38:13Z</dcterms:created>
  <dcterms:modified xsi:type="dcterms:W3CDTF">2017-10-31T18:10:31Z</dcterms:modified>
</cp:coreProperties>
</file>