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9675" yWindow="240" windowWidth="14235" windowHeight="12480" tabRatio="804" activeTab="2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  <sheet name="Conso essence" sheetId="32" r:id="rId9"/>
  </sheets>
  <functionGroups builtInGroupCount="17"/>
  <definedNames>
    <definedName name="_xlnm._FilterDatabase" localSheetId="2" hidden="1">Crédit_Débit!$A$2:$I$60</definedName>
    <definedName name="Choix1">OFFSET(BD!$B$2,,,COUNTA(BD!$B:$B)-1)</definedName>
    <definedName name="Choix2">BD!$B$2:$XFD$2</definedName>
    <definedName name="compte">OFFSET(Système!$A$1,1,,COUNTA(Système!$A:$A)-1)</definedName>
    <definedName name="Compte_princ">Système!$G$1</definedName>
    <definedName name="Date">Système!$G$4</definedName>
    <definedName name="Débit">OFFSET(Crédit_Débit!$I$3,,,COUNTA(Crédit_Débit!$I:$I))</definedName>
    <definedName name="Libellés_principaux">OFFSET(Crédit_Débit!$E$3,,,COUNTA(Crédit_Débit!$E:$E)-1)</definedName>
    <definedName name="Libellés_secondaires">OFFSET(Crédit_Débit!$F$3,,,COUNTA(Crédit_Débit!$F:$F)-1)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</definedNames>
  <calcPr calcId="145621"/>
  <pivotCaches>
    <pivotCache cacheId="0" r:id="rId10"/>
  </pivotCaches>
</workbook>
</file>

<file path=xl/calcChain.xml><?xml version="1.0" encoding="utf-8"?>
<calcChain xmlns="http://schemas.openxmlformats.org/spreadsheetml/2006/main">
  <c r="O2" i="17" l="1"/>
  <c r="N2" i="17"/>
  <c r="M2" i="17"/>
  <c r="L2" i="17"/>
  <c r="K2" i="17"/>
  <c r="I2" i="17"/>
  <c r="G2" i="17"/>
  <c r="E2" i="17"/>
  <c r="H2" i="17"/>
  <c r="F2" i="17"/>
  <c r="D2" i="17"/>
  <c r="C2" i="17"/>
  <c r="J2" i="17"/>
  <c r="G2" i="32" l="1"/>
  <c r="G3" i="32"/>
  <c r="S4" i="27"/>
  <c r="T4" i="27"/>
  <c r="U4" i="27"/>
  <c r="V4" i="27"/>
  <c r="W4" i="27"/>
  <c r="X4" i="27"/>
  <c r="Y4" i="27"/>
  <c r="Z4" i="27"/>
  <c r="AA4" i="27"/>
  <c r="AB4" i="27"/>
  <c r="AC4" i="27"/>
  <c r="R4" i="27"/>
  <c r="K59" i="7"/>
  <c r="J59" i="7"/>
  <c r="J58" i="7"/>
  <c r="K58" i="7"/>
  <c r="J60" i="7"/>
  <c r="E4" i="27"/>
  <c r="V2" i="27"/>
  <c r="W2" i="27"/>
  <c r="Y2" i="27"/>
  <c r="AA2" i="27"/>
  <c r="Z2" i="27"/>
  <c r="AC2" i="27"/>
  <c r="AB2" i="27"/>
  <c r="X2" i="27"/>
  <c r="S2" i="27"/>
  <c r="U2" i="27"/>
  <c r="T2" i="27"/>
  <c r="R2" i="27"/>
  <c r="R17" i="31" l="1" a="1"/>
  <c r="R17" i="31" s="1"/>
  <c r="Q5" i="31" s="1"/>
  <c r="Q17" i="31"/>
  <c r="P17" i="31"/>
  <c r="O17" i="31" a="1"/>
  <c r="O17" i="31" s="1"/>
  <c r="N5" i="31" s="1"/>
  <c r="N17" i="31"/>
  <c r="M17" i="31"/>
  <c r="L17" i="31" a="1"/>
  <c r="L17" i="31" s="1"/>
  <c r="K5" i="31" s="1"/>
  <c r="K17" i="31"/>
  <c r="J17" i="31"/>
  <c r="I17" i="31" a="1"/>
  <c r="I17" i="31" s="1"/>
  <c r="H5" i="31" s="1"/>
  <c r="H17" i="31"/>
  <c r="G17" i="31"/>
  <c r="F17" i="31" a="1"/>
  <c r="F17" i="31" s="1"/>
  <c r="E5" i="31" s="1"/>
  <c r="E17" i="31"/>
  <c r="D17" i="31"/>
  <c r="C17" i="31" a="1"/>
  <c r="C17" i="31" s="1"/>
  <c r="B5" i="31" s="1"/>
  <c r="B17" i="31"/>
  <c r="A17" i="31"/>
  <c r="T4" i="31"/>
  <c r="T17" i="31" s="1"/>
  <c r="K56" i="7" l="1"/>
  <c r="J56" i="7"/>
  <c r="J57" i="7"/>
  <c r="G4" i="25"/>
  <c r="A1" i="7" s="1"/>
  <c r="K54" i="7" l="1"/>
  <c r="J54" i="7"/>
  <c r="J55" i="7"/>
  <c r="K38" i="7"/>
  <c r="J38" i="7"/>
  <c r="J53" i="7"/>
  <c r="K53" i="7"/>
  <c r="K51" i="7"/>
  <c r="J51" i="7"/>
  <c r="J52" i="7"/>
  <c r="K49" i="7"/>
  <c r="J49" i="7"/>
  <c r="J50" i="7"/>
  <c r="J47" i="7"/>
  <c r="J3" i="7"/>
  <c r="K3" i="7"/>
  <c r="J4" i="7"/>
  <c r="K4" i="7"/>
  <c r="J5" i="7"/>
  <c r="K5" i="7"/>
  <c r="J6" i="7"/>
  <c r="K6" i="7"/>
  <c r="J7" i="7"/>
  <c r="K7" i="7"/>
  <c r="J8" i="7"/>
  <c r="K8" i="7"/>
  <c r="J9" i="7"/>
  <c r="K9" i="7"/>
  <c r="J10" i="7"/>
  <c r="K10" i="7"/>
  <c r="J11" i="7"/>
  <c r="K11" i="7"/>
  <c r="J12" i="7"/>
  <c r="K12" i="7"/>
  <c r="J13" i="7"/>
  <c r="K13" i="7"/>
  <c r="J14" i="7"/>
  <c r="K14" i="7"/>
  <c r="J15" i="7"/>
  <c r="K15" i="7"/>
  <c r="J16" i="7"/>
  <c r="K16" i="7"/>
  <c r="J17" i="7"/>
  <c r="K17" i="7"/>
  <c r="J18" i="7"/>
  <c r="K18" i="7"/>
  <c r="J19" i="7"/>
  <c r="K19" i="7"/>
  <c r="J20" i="7"/>
  <c r="K20" i="7"/>
  <c r="J21" i="7"/>
  <c r="K21" i="7"/>
  <c r="J22" i="7"/>
  <c r="K22" i="7"/>
  <c r="J23" i="7"/>
  <c r="K23" i="7"/>
  <c r="J24" i="7"/>
  <c r="K24" i="7"/>
  <c r="J25" i="7"/>
  <c r="K25" i="7"/>
  <c r="J26" i="7"/>
  <c r="K26" i="7"/>
  <c r="J27" i="7"/>
  <c r="K27" i="7"/>
  <c r="J28" i="7"/>
  <c r="K28" i="7"/>
  <c r="J29" i="7"/>
  <c r="K29" i="7"/>
  <c r="J30" i="7"/>
  <c r="K30" i="7"/>
  <c r="J31" i="7"/>
  <c r="K31" i="7"/>
  <c r="J32" i="7"/>
  <c r="K32" i="7"/>
  <c r="J33" i="7"/>
  <c r="K33" i="7"/>
  <c r="J34" i="7"/>
  <c r="K34" i="7"/>
  <c r="J35" i="7"/>
  <c r="K35" i="7"/>
  <c r="J36" i="7"/>
  <c r="K36" i="7"/>
  <c r="J37" i="7"/>
  <c r="K37" i="7"/>
  <c r="J39" i="7"/>
  <c r="J40" i="7"/>
  <c r="K40" i="7"/>
  <c r="J41" i="7"/>
  <c r="J48" i="7" l="1"/>
  <c r="J46" i="7"/>
  <c r="K45" i="7"/>
  <c r="J45" i="7"/>
  <c r="J44" i="7" l="1"/>
  <c r="K44" i="7"/>
  <c r="J43" i="7"/>
  <c r="K43" i="7"/>
  <c r="J42" i="7"/>
  <c r="K42" i="7"/>
  <c r="L4" i="7" l="1"/>
  <c r="L8" i="7"/>
  <c r="L5" i="7"/>
  <c r="L9" i="7"/>
  <c r="L7" i="7"/>
  <c r="L6" i="7"/>
  <c r="L10" i="7"/>
  <c r="L3" i="7"/>
  <c r="L11" i="7"/>
  <c r="L12" i="7" s="1"/>
  <c r="L13" i="7"/>
  <c r="L14" i="7" s="1"/>
  <c r="L15" i="7"/>
  <c r="L16" i="7" s="1"/>
  <c r="L17" i="7"/>
  <c r="L18" i="7" s="1"/>
  <c r="L19" i="7"/>
  <c r="L20" i="7" s="1"/>
  <c r="L21" i="7"/>
  <c r="L22" i="7" s="1"/>
  <c r="L23" i="7"/>
  <c r="L24" i="7" s="1"/>
  <c r="L25" i="7"/>
  <c r="L26" i="7" s="1"/>
  <c r="L27" i="7"/>
  <c r="L28" i="7" s="1"/>
  <c r="L29" i="7"/>
  <c r="L30" i="7" s="1"/>
  <c r="L31" i="7"/>
  <c r="L32" i="7" s="1"/>
  <c r="L33" i="7"/>
  <c r="L34" i="7" s="1"/>
  <c r="L35" i="7"/>
  <c r="L36" i="7" s="1"/>
  <c r="L37" i="7"/>
  <c r="L38" i="7" s="1"/>
  <c r="L39" i="7"/>
  <c r="L40" i="7" s="1"/>
  <c r="L41" i="7"/>
  <c r="L42" i="7" s="1"/>
  <c r="L43" i="7"/>
  <c r="L44" i="7" s="1"/>
  <c r="L45" i="7"/>
  <c r="L46" i="7" s="1"/>
  <c r="L47" i="7"/>
  <c r="L48" i="7" s="1"/>
  <c r="L49" i="7"/>
  <c r="L50" i="7" s="1"/>
  <c r="L51" i="7"/>
  <c r="L52" i="7" s="1"/>
  <c r="L53" i="7"/>
  <c r="L54" i="7" s="1"/>
  <c r="L55" i="7"/>
  <c r="L56" i="7" s="1"/>
  <c r="L57" i="7"/>
  <c r="L58" i="7"/>
</calcChain>
</file>

<file path=xl/sharedStrings.xml><?xml version="1.0" encoding="utf-8"?>
<sst xmlns="http://schemas.openxmlformats.org/spreadsheetml/2006/main" count="649" uniqueCount="206">
  <si>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</si>
  <si>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</si>
  <si>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</si>
  <si>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</si>
  <si>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</si>
  <si>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</si>
  <si>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</si>
  <si>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</si>
  <si>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</si>
  <si>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</si>
  <si>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</si>
  <si>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</si>
  <si>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</si>
  <si>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</si>
  <si>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</si>
  <si>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</si>
  <si>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</si>
  <si>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</si>
  <si>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</si>
  <si>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</si>
  <si>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</si>
  <si>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</si>
  <si>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</si>
  <si>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</si>
  <si>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</si>
  <si>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</si>
  <si>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</si>
  <si>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</si>
  <si>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</si>
  <si>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</si>
  <si>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</si>
  <si>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</si>
  <si>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</si>
  <si>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</si>
  <si>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</si>
  <si>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</si>
  <si>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</si>
  <si>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</si>
  <si>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</si>
  <si>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</si>
  <si>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</si>
  <si>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</si>
  <si>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</si>
  <si>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</si>
  <si>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</si>
  <si>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</si>
  <si>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</si>
  <si>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</si>
  <si>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</si>
  <si>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</si>
  <si>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</si>
  <si>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</si>
  <si>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</si>
  <si>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</si>
  <si>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</si>
  <si>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</si>
  <si>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</si>
  <si>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</si>
  <si>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</si>
  <si>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</si>
  <si>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</si>
  <si>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</si>
  <si>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</si>
  <si>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</si>
  <si>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</si>
  <si>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</si>
  <si>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</si>
  <si>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</si>
  <si>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</si>
  <si>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</si>
  <si>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</si>
  <si>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</si>
  <si>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</si>
  <si>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</si>
  <si>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</si>
  <si>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</si>
  <si>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</si>
  <si>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</si>
  <si>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</si>
  <si>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</si>
  <si>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</si>
  <si>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</si>
  <si>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</si>
  <si>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</si>
  <si>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</si>
  <si>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</si>
  <si>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</si>
  <si>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</si>
  <si>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</si>
  <si>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</si>
  <si>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</si>
  <si>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</si>
  <si>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</si>
  <si>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</si>
  <si>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</si>
  <si>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</si>
  <si>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</si>
  <si>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</si>
  <si>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</si>
  <si>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</si>
  <si>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</si>
  <si>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</si>
  <si>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</si>
  <si>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</si>
  <si>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</si>
  <si>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</si>
  <si>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</si>
  <si>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</si>
  <si>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</si>
  <si>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</si>
  <si>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</si>
  <si>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</si>
  <si>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</si>
  <si>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</si>
  <si>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</si>
  <si>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</si>
  <si>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</si>
  <si>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</si>
  <si>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</si>
  <si>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</si>
  <si>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</si>
  <si>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</si>
  <si>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Gifi</t>
  </si>
  <si>
    <t>Mensualisation</t>
  </si>
  <si>
    <t>(Tous)</t>
  </si>
  <si>
    <t>Solde Courant</t>
  </si>
  <si>
    <t>Orange</t>
  </si>
  <si>
    <t>Travail YYY</t>
  </si>
  <si>
    <t>Travail XXX</t>
  </si>
  <si>
    <t>janv</t>
  </si>
  <si>
    <t>févr</t>
  </si>
  <si>
    <t>mars</t>
  </si>
  <si>
    <t>avr</t>
  </si>
  <si>
    <t>mai</t>
  </si>
  <si>
    <t>Somme de Solde Courant</t>
  </si>
  <si>
    <t>Crédit/Débit</t>
  </si>
  <si>
    <t>Amazon</t>
  </si>
  <si>
    <t>YYY</t>
  </si>
  <si>
    <t>P</t>
  </si>
  <si>
    <t>Années</t>
  </si>
  <si>
    <t>2016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</si>
  <si>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</si>
  <si>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</si>
  <si>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</si>
  <si>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</si>
  <si>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</si>
  <si>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</si>
  <si>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</si>
  <si>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Reste à Solder</t>
  </si>
  <si>
    <t>Solde Banque</t>
  </si>
  <si>
    <t>juin</t>
  </si>
  <si>
    <t>YYY - Emprunt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</si>
  <si>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</si>
  <si>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</si>
  <si>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</si>
  <si>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</si>
  <si>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</si>
  <si>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</si>
  <si>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</si>
  <si>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</si>
  <si>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</si>
  <si>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</si>
  <si>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</si>
  <si>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</si>
  <si>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</si>
  <si>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</si>
  <si>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</si>
  <si>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Monnaie 2</t>
  </si>
  <si>
    <t>Pas de chéquier</t>
  </si>
  <si>
    <t>Numéro du chèque</t>
  </si>
  <si>
    <t>Caisse d'épargne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</si>
  <si>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</si>
  <si>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</si>
  <si>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</si>
  <si>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</si>
  <si>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</si>
  <si>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</si>
  <si>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</si>
  <si>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</si>
  <si>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</si>
  <si>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</si>
  <si>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</si>
  <si>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</si>
  <si>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</si>
  <si>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</si>
  <si>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</si>
  <si>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</si>
  <si>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</si>
  <si>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</si>
  <si>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</si>
  <si>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</si>
  <si>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</si>
  <si>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banque</t>
  </si>
  <si>
    <t>Litre</t>
  </si>
  <si>
    <t>Tarif du litre</t>
  </si>
  <si>
    <t>Distance parcourue</t>
  </si>
  <si>
    <t>E-Leclerc</t>
  </si>
  <si>
    <t>Inter</t>
  </si>
  <si>
    <t>Litre/100Km</t>
  </si>
  <si>
    <t>800 km</t>
  </si>
  <si>
    <t>750 km</t>
  </si>
  <si>
    <t>00000333</t>
  </si>
  <si>
    <t>Oui</t>
  </si>
  <si>
    <t>00222223</t>
  </si>
  <si>
    <t>00111116</t>
  </si>
  <si>
    <t>Chèque n°00111116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</si>
</sst>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  <numFmt numFmtId="173" formatCode="[=0]&quot;&quot;;General"/>
  </numFmts>
  <fonts count="20" x14ac:knownFonts="1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1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4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4" fontId="4" fillId="0" borderId="0" xfId="0" applyNumberFormat="1" applyFont="1" applyBorder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8" fontId="4" fillId="0" borderId="0" xfId="0" quotePrefix="1" applyNumberFormat="1" applyFont="1" applyAlignment="1">
      <alignment vertical="top" wrapText="1"/>
    </xf>
    <xf numFmtId="8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2" borderId="0" xfId="0" applyNumberFormat="1" applyFill="1"/>
    <xf numFmtId="8" fontId="9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4" fillId="13" borderId="0" xfId="0" applyFont="1" applyFill="1" applyBorder="1" applyAlignment="1">
      <alignment vertical="top" wrapText="1"/>
    </xf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8" fontId="10" fillId="0" borderId="0" xfId="0" applyNumberFormat="1" applyFont="1" applyBorder="1" applyAlignment="1">
      <alignment horizontal="center" vertical="center" wrapText="1"/>
    </xf>
    <xf numFmtId="0" fontId="0" fillId="13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11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4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0" fontId="13" fillId="15" borderId="14" xfId="0" applyFont="1" applyFill="1" applyBorder="1"/>
    <xf numFmtId="0" fontId="13" fillId="15" borderId="17" xfId="0" applyFont="1" applyFill="1" applyBorder="1"/>
    <xf numFmtId="0" fontId="13" fillId="16" borderId="21" xfId="0" applyFont="1" applyFill="1" applyBorder="1" applyAlignment="1">
      <alignment horizontal="center" vertical="center" wrapText="1"/>
    </xf>
    <xf numFmtId="0" fontId="13" fillId="17" borderId="21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3" fillId="18" borderId="25" xfId="0" applyFont="1" applyFill="1" applyBorder="1" applyAlignment="1">
      <alignment horizontal="center" vertical="center" wrapText="1"/>
    </xf>
    <xf numFmtId="0" fontId="13" fillId="18" borderId="27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/>
    </xf>
    <xf numFmtId="16" fontId="16" fillId="0" borderId="33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16" fontId="16" fillId="0" borderId="3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9" fillId="0" borderId="40" xfId="0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49" fontId="3" fillId="0" borderId="0" xfId="0" applyNumberFormat="1" applyFont="1" applyFill="1" applyAlignment="1">
      <alignment horizontal="center" vertical="center" wrapText="1"/>
    </xf>
    <xf numFmtId="0" fontId="0" fillId="19" borderId="0" xfId="0" applyFill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left" vertical="center" wrapText="1"/>
    </xf>
    <xf numFmtId="0" fontId="0" fillId="14" borderId="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9" fillId="0" borderId="41" xfId="0" applyFont="1" applyBorder="1" applyAlignment="1">
      <alignment horizontal="left" vertical="top" wrapText="1"/>
    </xf>
    <xf numFmtId="0" fontId="19" fillId="0" borderId="42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15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173" fontId="3" fillId="0" borderId="0" xfId="0" applyNumberFormat="1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134"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justifyLastLine="0" shrinkToFit="0" readingOrder="0"/>
    </dxf>
    <dxf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relativeIndent="0" justifyLastLine="0" shrinkToFit="0" readingOrder="0"/>
    </dxf>
    <dxf>
      <numFmt numFmtId="164" formatCode="[$-40C]d\-mmm\-yy;@"/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justifyLastLine="0" shrinkToFit="0" readingOrder="0"/>
    </dxf>
    <dxf>
      <alignment horizontal="general" vertical="top" textRotation="0" wrapText="1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8</xdr:row>
          <xdr:rowOff>152400</xdr:rowOff>
        </xdr:from>
        <xdr:to>
          <xdr:col>5</xdr:col>
          <xdr:colOff>1476375</xdr:colOff>
          <xdr:row>13</xdr:row>
          <xdr:rowOff>28575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1771650</xdr:colOff>
          <xdr:row>9</xdr:row>
          <xdr:rowOff>0</xdr:rowOff>
        </xdr:from>
        <xdr:to>
          <xdr:col>6</xdr:col>
          <xdr:colOff>723900</xdr:colOff>
          <xdr:row>13</xdr:row>
          <xdr:rowOff>38100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94.708114120367" createdVersion="3" refreshedVersion="3" minRefreshableVersion="3" recordCount="57">
  <cacheSource type="worksheet">
    <worksheetSource ref="A2:M1048576" sheet="Crédit_Débit"/>
  </cacheSource>
  <cacheFields count="13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07T00:00:00" maxDate="2016-06-11T00:00:00" count="31"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2016-06-01T00:00:00"/>
        <d v="2016-06-02T00:00:00"/>
        <d v="2016-06-03T00:00:00"/>
        <d v="2016-06-04T00:00:00"/>
        <d v="2016-06-05T00:00:00"/>
        <d v="2016-06-06T00:00:00"/>
        <d v="2015-06-07T00:00:00"/>
        <d v="2015-06-08T00:00:00"/>
        <d v="2016-06-09T00:00:00"/>
        <d v="2016-06-10T00:00:00"/>
        <d v="2015-06-11T00:00:00"/>
        <m/>
      </sharedItems>
      <fieldGroup par="12" base="1">
        <rangePr groupBy="months" startDate="2015-06-07T00:00:00" endDate="2016-06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6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8">
        <m/>
        <s v="Emploi"/>
        <s v="Assurance"/>
        <s v="Courses"/>
        <s v="Transfert"/>
        <s v="Loisirs"/>
        <s v="Habitation"/>
        <s v="Banque"/>
      </sharedItems>
    </cacheField>
    <cacheField name="Libellés secondaires" numFmtId="0">
      <sharedItems containsBlank="1" count="22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XXX - Compte Courant"/>
        <s v="YYY - Monnaie"/>
        <s v="XXX - Monnaie"/>
        <s v="Film en DVD"/>
        <s v="Assurance juridique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15" maxValue="9000"/>
    </cacheField>
    <cacheField name="Débit" numFmtId="165">
      <sharedItems containsString="0" containsBlank="1" containsNumber="1" minValue="-260" maxValue="-2"/>
    </cacheField>
    <cacheField name="Solde Courant" numFmtId="165">
      <sharedItems containsString="0" containsBlank="1" containsNumber="1" minValue="-260" maxValue="9000"/>
    </cacheField>
    <cacheField name="Crédit/Débit" numFmtId="0">
      <sharedItems containsBlank="1" count="3">
        <s v="Crédit"/>
        <s v="Débit"/>
        <m/>
      </sharedItems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07T00:00:00" endDate="2016-06-11T00:00:00"/>
        <groupItems count="4">
          <s v="&lt;07/06/2015"/>
          <s v="2015"/>
          <s v="2016"/>
          <s v="&gt;11/06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  <m/>
    <m/>
    <x v="0"/>
    <x v="0"/>
    <x v="0"/>
    <n v="9000"/>
    <m/>
    <n v="9000"/>
    <x v="0"/>
    <m/>
  </r>
  <r>
    <x v="1"/>
    <x v="0"/>
    <m/>
    <m/>
    <x v="0"/>
    <x v="0"/>
    <x v="0"/>
    <n v="6000"/>
    <m/>
    <n v="6000"/>
    <x v="0"/>
    <m/>
  </r>
  <r>
    <x v="2"/>
    <x v="0"/>
    <m/>
    <m/>
    <x v="0"/>
    <x v="0"/>
    <x v="0"/>
    <n v="50"/>
    <m/>
    <n v="50"/>
    <x v="0"/>
    <m/>
  </r>
  <r>
    <x v="3"/>
    <x v="0"/>
    <m/>
    <m/>
    <x v="0"/>
    <x v="0"/>
    <x v="0"/>
    <n v="1000"/>
    <m/>
    <n v="1000"/>
    <x v="0"/>
    <m/>
  </r>
  <r>
    <x v="4"/>
    <x v="0"/>
    <m/>
    <m/>
    <x v="0"/>
    <x v="0"/>
    <x v="0"/>
    <n v="6100"/>
    <m/>
    <n v="6100"/>
    <x v="0"/>
    <m/>
  </r>
  <r>
    <x v="5"/>
    <x v="0"/>
    <m/>
    <m/>
    <x v="0"/>
    <x v="0"/>
    <x v="0"/>
    <n v="300"/>
    <m/>
    <n v="300"/>
    <x v="0"/>
    <m/>
  </r>
  <r>
    <x v="6"/>
    <x v="0"/>
    <m/>
    <m/>
    <x v="0"/>
    <x v="0"/>
    <x v="0"/>
    <n v="60"/>
    <m/>
    <n v="60"/>
    <x v="0"/>
    <m/>
  </r>
  <r>
    <x v="7"/>
    <x v="0"/>
    <m/>
    <m/>
    <x v="0"/>
    <x v="0"/>
    <x v="0"/>
    <n v="1200"/>
    <m/>
    <n v="1200"/>
    <x v="0"/>
    <m/>
  </r>
  <r>
    <x v="3"/>
    <x v="1"/>
    <s v="Versement"/>
    <s v="Travail XXX"/>
    <x v="1"/>
    <x v="1"/>
    <x v="1"/>
    <n v="1100"/>
    <m/>
    <n v="1100"/>
    <x v="0"/>
    <m/>
  </r>
  <r>
    <x v="5"/>
    <x v="1"/>
    <s v="Prélèvement"/>
    <s v="Travail XXX"/>
    <x v="1"/>
    <x v="2"/>
    <x v="0"/>
    <m/>
    <n v="-30"/>
    <n v="-30"/>
    <x v="1"/>
    <m/>
  </r>
  <r>
    <x v="0"/>
    <x v="1"/>
    <s v="Versement"/>
    <s v="Travail YYY"/>
    <x v="1"/>
    <x v="1"/>
    <x v="1"/>
    <n v="1000"/>
    <m/>
    <n v="1000"/>
    <x v="0"/>
    <m/>
  </r>
  <r>
    <x v="0"/>
    <x v="2"/>
    <s v="Prélèvement"/>
    <s v="GMF"/>
    <x v="2"/>
    <x v="3"/>
    <x v="0"/>
    <m/>
    <n v="-3"/>
    <n v="-3"/>
    <x v="1"/>
    <m/>
  </r>
  <r>
    <x v="3"/>
    <x v="3"/>
    <s v="Prélèvement"/>
    <s v="GMF"/>
    <x v="2"/>
    <x v="3"/>
    <x v="1"/>
    <m/>
    <n v="-3"/>
    <n v="-3"/>
    <x v="1"/>
    <m/>
  </r>
  <r>
    <x v="2"/>
    <x v="4"/>
    <s v="Monnaie"/>
    <s v="Sodebo"/>
    <x v="3"/>
    <x v="4"/>
    <x v="0"/>
    <m/>
    <n v="-5"/>
    <n v="-5"/>
    <x v="1"/>
    <m/>
  </r>
  <r>
    <x v="7"/>
    <x v="5"/>
    <s v="Carte Banquaire"/>
    <s v="E.leclerc"/>
    <x v="3"/>
    <x v="4"/>
    <x v="1"/>
    <m/>
    <n v="-52"/>
    <n v="-52"/>
    <x v="1"/>
    <m/>
  </r>
  <r>
    <x v="7"/>
    <x v="5"/>
    <s v="Carte Banquaire"/>
    <s v="E.leclerc"/>
    <x v="3"/>
    <x v="4"/>
    <x v="0"/>
    <n v="30"/>
    <m/>
    <n v="30"/>
    <x v="0"/>
    <m/>
  </r>
  <r>
    <x v="7"/>
    <x v="5"/>
    <s v="Carte Banquaire"/>
    <s v="E.leclerc"/>
    <x v="3"/>
    <x v="5"/>
    <x v="1"/>
    <m/>
    <n v="-2"/>
    <n v="-2"/>
    <x v="1"/>
    <m/>
  </r>
  <r>
    <x v="6"/>
    <x v="6"/>
    <s v="Monnaie"/>
    <s v="Tarvernier"/>
    <x v="3"/>
    <x v="4"/>
    <x v="0"/>
    <m/>
    <n v="-6.9"/>
    <n v="-6.9"/>
    <x v="1"/>
    <m/>
  </r>
  <r>
    <x v="1"/>
    <x v="7"/>
    <s v="Virement"/>
    <s v="XXX"/>
    <x v="4"/>
    <x v="6"/>
    <x v="1"/>
    <m/>
    <n v="-30"/>
    <n v="-30"/>
    <x v="1"/>
    <m/>
  </r>
  <r>
    <x v="0"/>
    <x v="8"/>
    <s v="Versement"/>
    <s v="XXX"/>
    <x v="4"/>
    <x v="7"/>
    <x v="1"/>
    <n v="30"/>
    <m/>
    <n v="30"/>
    <x v="0"/>
    <m/>
  </r>
  <r>
    <x v="3"/>
    <x v="9"/>
    <s v="Versement"/>
    <s v="Travail XXX"/>
    <x v="1"/>
    <x v="1"/>
    <x v="0"/>
    <n v="1100"/>
    <m/>
    <n v="1100"/>
    <x v="0"/>
    <m/>
  </r>
  <r>
    <x v="5"/>
    <x v="9"/>
    <s v="Prélèvement"/>
    <s v="Travail XXX"/>
    <x v="1"/>
    <x v="2"/>
    <x v="1"/>
    <m/>
    <n v="-30"/>
    <n v="-30"/>
    <x v="1"/>
    <m/>
  </r>
  <r>
    <x v="0"/>
    <x v="9"/>
    <s v="Versement"/>
    <s v="Travail YYY"/>
    <x v="1"/>
    <x v="1"/>
    <x v="1"/>
    <n v="1000"/>
    <m/>
    <n v="1000"/>
    <x v="0"/>
    <m/>
  </r>
  <r>
    <x v="0"/>
    <x v="10"/>
    <s v="Chèque"/>
    <s v="Cora"/>
    <x v="5"/>
    <x v="8"/>
    <x v="1"/>
    <m/>
    <n v="-10"/>
    <n v="-10"/>
    <x v="1"/>
    <m/>
  </r>
  <r>
    <x v="5"/>
    <x v="11"/>
    <s v="Carte Banquaire"/>
    <s v="Gifi"/>
    <x v="6"/>
    <x v="9"/>
    <x v="1"/>
    <m/>
    <n v="-25"/>
    <n v="-25"/>
    <x v="1"/>
    <m/>
  </r>
  <r>
    <x v="0"/>
    <x v="12"/>
    <s v="Versement"/>
    <s v="Travail YYY"/>
    <x v="1"/>
    <x v="1"/>
    <x v="1"/>
    <n v="1000"/>
    <m/>
    <n v="1000"/>
    <x v="0"/>
    <m/>
  </r>
  <r>
    <x v="3"/>
    <x v="12"/>
    <s v="Versement"/>
    <s v="Travail XXX"/>
    <x v="1"/>
    <x v="1"/>
    <x v="0"/>
    <n v="1100"/>
    <m/>
    <n v="1100"/>
    <x v="0"/>
    <m/>
  </r>
  <r>
    <x v="5"/>
    <x v="12"/>
    <s v="Prélèvement"/>
    <s v="Travail XXX"/>
    <x v="1"/>
    <x v="2"/>
    <x v="0"/>
    <m/>
    <n v="-30"/>
    <n v="-30"/>
    <x v="1"/>
    <m/>
  </r>
  <r>
    <x v="7"/>
    <x v="13"/>
    <s v="Prélèvement"/>
    <s v="EDF"/>
    <x v="6"/>
    <x v="10"/>
    <x v="0"/>
    <m/>
    <n v="-50"/>
    <n v="-50"/>
    <x v="1"/>
    <m/>
  </r>
  <r>
    <x v="7"/>
    <x v="14"/>
    <s v="Prélèvement"/>
    <s v="Orange"/>
    <x v="6"/>
    <x v="11"/>
    <x v="1"/>
    <m/>
    <n v="-20"/>
    <n v="-20"/>
    <x v="1"/>
    <m/>
  </r>
  <r>
    <x v="0"/>
    <x v="15"/>
    <s v="Versement"/>
    <s v="Travail YYY"/>
    <x v="1"/>
    <x v="1"/>
    <x v="1"/>
    <n v="1000"/>
    <m/>
    <n v="1000"/>
    <x v="0"/>
    <m/>
  </r>
  <r>
    <x v="3"/>
    <x v="15"/>
    <s v="Versement"/>
    <s v="Travail XXX"/>
    <x v="1"/>
    <x v="1"/>
    <x v="1"/>
    <n v="1100"/>
    <m/>
    <n v="1100"/>
    <x v="0"/>
    <m/>
  </r>
  <r>
    <x v="5"/>
    <x v="15"/>
    <s v="Prélèvement"/>
    <s v="Travail XXX"/>
    <x v="1"/>
    <x v="2"/>
    <x v="1"/>
    <m/>
    <n v="-30"/>
    <n v="-30"/>
    <x v="1"/>
    <m/>
  </r>
  <r>
    <x v="7"/>
    <x v="16"/>
    <s v="E-carte bleu"/>
    <s v="Amazon"/>
    <x v="5"/>
    <x v="12"/>
    <x v="1"/>
    <m/>
    <n v="-25"/>
    <n v="-25"/>
    <x v="1"/>
    <m/>
  </r>
  <r>
    <x v="5"/>
    <x v="17"/>
    <s v="Prélèvement"/>
    <s v="Travail XXX"/>
    <x v="1"/>
    <x v="1"/>
    <x v="1"/>
    <n v="1100"/>
    <m/>
    <n v="1100"/>
    <x v="0"/>
    <m/>
  </r>
  <r>
    <x v="5"/>
    <x v="18"/>
    <s v="Virement"/>
    <s v="YYY"/>
    <x v="4"/>
    <x v="7"/>
    <x v="1"/>
    <m/>
    <n v="-50"/>
    <n v="-50"/>
    <x v="1"/>
    <m/>
  </r>
  <r>
    <x v="1"/>
    <x v="18"/>
    <s v="Versement"/>
    <s v="YYY"/>
    <x v="4"/>
    <x v="13"/>
    <x v="1"/>
    <n v="50"/>
    <m/>
    <n v="50"/>
    <x v="0"/>
    <m/>
  </r>
  <r>
    <x v="0"/>
    <x v="19"/>
    <s v="Prélèvement"/>
    <s v="XYX"/>
    <x v="4"/>
    <x v="14"/>
    <x v="0"/>
    <m/>
    <n v="-160"/>
    <n v="-160"/>
    <x v="1"/>
    <m/>
  </r>
  <r>
    <x v="7"/>
    <x v="19"/>
    <s v="Prélèvement"/>
    <s v="XYX"/>
    <x v="4"/>
    <x v="6"/>
    <x v="0"/>
    <n v="160"/>
    <m/>
    <n v="160"/>
    <x v="0"/>
    <m/>
  </r>
  <r>
    <x v="0"/>
    <x v="20"/>
    <s v="Virement"/>
    <s v="LCL"/>
    <x v="7"/>
    <x v="15"/>
    <x v="1"/>
    <m/>
    <n v="-260"/>
    <n v="-260"/>
    <x v="1"/>
    <m/>
  </r>
  <r>
    <x v="0"/>
    <x v="21"/>
    <s v="Versement"/>
    <s v="CA"/>
    <x v="7"/>
    <x v="16"/>
    <x v="1"/>
    <n v="360"/>
    <m/>
    <n v="360"/>
    <x v="0"/>
    <m/>
  </r>
  <r>
    <x v="0"/>
    <x v="22"/>
    <s v="Virement"/>
    <s v="Travail YYY"/>
    <x v="1"/>
    <x v="1"/>
    <x v="1"/>
    <n v="460"/>
    <m/>
    <n v="460"/>
    <x v="0"/>
    <m/>
  </r>
  <r>
    <x v="3"/>
    <x v="23"/>
    <s v="Virement"/>
    <s v="YYY - Emprunt"/>
    <x v="4"/>
    <x v="6"/>
    <x v="1"/>
    <m/>
    <n v="-200"/>
    <n v="-200"/>
    <x v="1"/>
    <m/>
  </r>
  <r>
    <x v="0"/>
    <x v="23"/>
    <s v="Virement"/>
    <s v="YYY - Emprunt"/>
    <x v="4"/>
    <x v="17"/>
    <x v="1"/>
    <n v="200"/>
    <m/>
    <n v="200"/>
    <x v="0"/>
    <m/>
  </r>
  <r>
    <x v="3"/>
    <x v="23"/>
    <s v="Virement"/>
    <s v="YYY - Emprunt"/>
    <x v="4"/>
    <x v="6"/>
    <x v="1"/>
    <m/>
    <n v="-102"/>
    <n v="-102"/>
    <x v="1"/>
    <m/>
  </r>
  <r>
    <x v="0"/>
    <x v="23"/>
    <s v="Virement"/>
    <s v="YYY - Emprunt"/>
    <x v="4"/>
    <x v="17"/>
    <x v="1"/>
    <n v="102"/>
    <m/>
    <n v="102"/>
    <x v="0"/>
    <m/>
  </r>
  <r>
    <x v="0"/>
    <x v="24"/>
    <s v="Virement"/>
    <s v="Monnaie"/>
    <x v="4"/>
    <x v="18"/>
    <x v="1"/>
    <m/>
    <n v="-40"/>
    <n v="-40"/>
    <x v="1"/>
    <m/>
  </r>
  <r>
    <x v="2"/>
    <x v="24"/>
    <s v="Versement"/>
    <s v="Monnaie"/>
    <x v="4"/>
    <x v="6"/>
    <x v="1"/>
    <n v="40"/>
    <m/>
    <n v="40"/>
    <x v="0"/>
    <m/>
  </r>
  <r>
    <x v="3"/>
    <x v="25"/>
    <s v="Virement"/>
    <s v="Monnaie 2"/>
    <x v="4"/>
    <x v="19"/>
    <x v="1"/>
    <m/>
    <n v="-30"/>
    <n v="-30"/>
    <x v="1"/>
    <m/>
  </r>
  <r>
    <x v="6"/>
    <x v="25"/>
    <s v="Versement"/>
    <s v="Monnaie 2"/>
    <x v="4"/>
    <x v="17"/>
    <x v="1"/>
    <n v="30"/>
    <m/>
    <n v="30"/>
    <x v="0"/>
    <m/>
  </r>
  <r>
    <x v="0"/>
    <x v="26"/>
    <s v="Chèque"/>
    <s v="Amazon"/>
    <x v="5"/>
    <x v="20"/>
    <x v="1"/>
    <m/>
    <n v="-10"/>
    <n v="-10"/>
    <x v="1"/>
    <m/>
  </r>
  <r>
    <x v="0"/>
    <x v="27"/>
    <s v="Chèque"/>
    <s v="Caisse d'épargne"/>
    <x v="4"/>
    <x v="7"/>
    <x v="1"/>
    <m/>
    <n v="-15"/>
    <n v="-15"/>
    <x v="1"/>
    <m/>
  </r>
  <r>
    <x v="1"/>
    <x v="27"/>
    <s v="Versement"/>
    <s v="Caisse d'épargne"/>
    <x v="4"/>
    <x v="6"/>
    <x v="1"/>
    <n v="15"/>
    <m/>
    <n v="15"/>
    <x v="0"/>
    <m/>
  </r>
  <r>
    <x v="3"/>
    <x v="28"/>
    <s v="E-carte bleu"/>
    <s v="Caisse d'épargne"/>
    <x v="4"/>
    <x v="13"/>
    <x v="1"/>
    <m/>
    <n v="-20"/>
    <n v="-20"/>
    <x v="1"/>
    <m/>
  </r>
  <r>
    <x v="5"/>
    <x v="28"/>
    <s v="Versement"/>
    <s v="Caisse d'épargne"/>
    <x v="4"/>
    <x v="17"/>
    <x v="1"/>
    <n v="20"/>
    <m/>
    <n v="20"/>
    <x v="0"/>
    <m/>
  </r>
  <r>
    <x v="0"/>
    <x v="29"/>
    <s v="Chèque"/>
    <m/>
    <x v="2"/>
    <x v="21"/>
    <x v="1"/>
    <m/>
    <n v="-60"/>
    <n v="-60"/>
    <x v="1"/>
    <m/>
  </r>
  <r>
    <x v="8"/>
    <x v="30"/>
    <m/>
    <m/>
    <x v="0"/>
    <x v="0"/>
    <x v="1"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E12" firstHeaderRow="1" firstDataRow="3" firstDataCol="1"/>
  <pivotFields count="13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axis="axisCol" compact="0" showAll="0" defaultSubtotal="0">
      <items count="4">
        <item sd="0" x="1"/>
        <item x="2"/>
        <item x="0"/>
        <item x="3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2"/>
    <field x="6"/>
  </colFields>
  <colItems count="4">
    <i>
      <x/>
    </i>
    <i>
      <x v="1"/>
      <x/>
    </i>
    <i r="1">
      <x v="1"/>
    </i>
    <i t="grand">
      <x/>
    </i>
  </colItems>
  <dataFields count="1">
    <dataField name="Somme de Solde Courant" fld="9" baseField="0" baseItem="0"/>
  </dataFields>
  <formats count="2">
    <format dxfId="133">
      <pivotArea field="0" grandCol="1" collapsedLevelsAreSubtotals="1" axis="axisRow" fieldPosition="0">
        <references count="1">
          <reference field="0" count="0"/>
        </references>
      </pivotArea>
    </format>
    <format dxfId="132">
      <pivotArea collapsedLevelsAreSubtotals="1" fieldPosition="0">
        <references count="3">
          <reference field="0" count="0"/>
          <reference field="6" count="1" selected="0">
            <x v="0"/>
          </reference>
          <reference field="12" count="1" selected="0"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6" firstHeaderRow="1" firstDataRow="3" firstDataCol="3" rowPageCount="1" colPageCount="1"/>
  <pivotFields count="13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9">
        <item x="2"/>
        <item x="3"/>
        <item x="1"/>
        <item x="6"/>
        <item x="5"/>
        <item h="1" x="4"/>
        <item h="1" x="0"/>
        <item h="1" x="7"/>
        <item t="default"/>
      </items>
    </pivotField>
    <pivotField axis="axisRow" compact="0" showAll="0">
      <items count="23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axis="axisCol" compact="0" showAll="0" defaultSubtotal="0">
      <items count="4">
        <item x="2"/>
        <item x="1"/>
        <item x="0"/>
        <item x="3"/>
      </items>
    </pivotField>
  </pivotFields>
  <rowFields count="3">
    <field x="4"/>
    <field x="5"/>
    <field x="10"/>
  </rowFields>
  <rowItems count="31">
    <i>
      <x/>
    </i>
    <i r="1">
      <x v="2"/>
    </i>
    <i r="2">
      <x v="1"/>
    </i>
    <i r="1">
      <x v="21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r="1">
      <x v="20"/>
    </i>
    <i r="2">
      <x v="1"/>
    </i>
    <i t="grand">
      <x/>
    </i>
  </rowItems>
  <colFields count="2">
    <field x="12"/>
    <field x="1"/>
  </colFields>
  <colItems count="8">
    <i>
      <x/>
      <x v="1"/>
    </i>
    <i r="1">
      <x v="2"/>
    </i>
    <i r="1">
      <x v="3"/>
    </i>
    <i r="1">
      <x v="4"/>
    </i>
    <i r="1">
      <x v="5"/>
    </i>
    <i r="1">
      <x v="6"/>
    </i>
    <i>
      <x v="1"/>
      <x v="6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60" totalsRowShown="0" headerRowDxfId="121" dataDxfId="120">
  <autoFilter ref="A2:M60"/>
  <sortState ref="A2:Q1336">
    <sortCondition ref="B1316"/>
  </sortState>
  <tableColumns count="13">
    <tableColumn id="1" name="Compte" dataDxfId="119" totalsRowDxfId="118"/>
    <tableColumn id="3" name="Date" dataDxfId="117" totalsRowDxfId="116"/>
    <tableColumn id="8" name="Type d'opération" dataDxfId="115" totalsRowDxfId="114"/>
    <tableColumn id="4" name="Tiers" dataDxfId="113" totalsRowDxfId="112"/>
    <tableColumn id="5" name="Libellés principaux" dataDxfId="111" totalsRowDxfId="110"/>
    <tableColumn id="9" name="Libellés secondaires" dataDxfId="109" totalsRowDxfId="108"/>
    <tableColumn id="10" name="Solde Réel / Solde banque" dataDxfId="107" totalsRowDxfId="106"/>
    <tableColumn id="2" name="Crédit" dataDxfId="105" totalsRowDxfId="104"/>
    <tableColumn id="6" name="Débit" dataDxfId="103" totalsRowDxfId="102"/>
    <tableColumn id="12" name="Solde Courant" dataDxfId="101" totalsRowDxfId="100">
      <calculatedColumnFormula>Tableau1[[#This Row],[Crédit]]+Tableau1[[#This Row],[Débit]]</calculatedColumnFormula>
    </tableColumn>
    <tableColumn id="11" name="Crédit/Débit" dataDxfId="99" totalsRowDxfId="98">
      <calculatedColumnFormula>IF(Tableau1[[#This Row],[Crédit]]&lt;&gt;"","Crédit",IF(Tableau1[[#This Row],[Débit]]&lt;&gt;"","Débit",""))</calculatedColumnFormula>
    </tableColumn>
    <tableColumn id="13" name="Solde Cumulé" dataDxfId="97" totalsRowDxfId="96"/>
    <tableColumn id="7" name="Note" dataDxfId="95" totalsRowDxfId="9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84" dataDxfId="82" headerRowBorderDxfId="83" tableBorderDxfId="81" totalsRowBorderDxfId="80">
  <autoFilter ref="A1:S8"/>
  <tableColumns count="19">
    <tableColumn id="1" name="Compte"/>
    <tableColumn id="2" name="Date" dataDxfId="79"/>
    <tableColumn id="3" name="Type d'opération" dataDxfId="78"/>
    <tableColumn id="4" name="Tiers" dataDxfId="77"/>
    <tableColumn id="5" name="Libellés principaux" dataDxfId="76"/>
    <tableColumn id="6" name="Libellés secondaires" dataDxfId="75"/>
    <tableColumn id="9" name="Opération" dataDxfId="74"/>
    <tableColumn id="7" name="Janvier" dataDxfId="73"/>
    <tableColumn id="8" name="Février" dataDxfId="72"/>
    <tableColumn id="10" name="Mars" dataDxfId="71"/>
    <tableColumn id="11" name="Avril" dataDxfId="70"/>
    <tableColumn id="12" name="Mai" dataDxfId="69"/>
    <tableColumn id="13" name="Juin" dataDxfId="68"/>
    <tableColumn id="14" name="Juillet" dataDxfId="67"/>
    <tableColumn id="15" name="Août" dataDxfId="66"/>
    <tableColumn id="16" name="Septembre" dataDxfId="65"/>
    <tableColumn id="17" name="Octobre" dataDxfId="64"/>
    <tableColumn id="18" name="Novembre" dataDxfId="63"/>
    <tableColumn id="19" name="Décembre" dataDxfId="62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C4" totalsRowShown="0" headerRowDxfId="60" dataDxfId="58" headerRowBorderDxfId="59" tableBorderDxfId="57">
  <autoFilter ref="A3:AC4"/>
  <tableColumns count="29">
    <tableColumn id="1" name="Compte" dataDxfId="56"/>
    <tableColumn id="2" name="Tiers" dataDxfId="55"/>
    <tableColumn id="3" name="Libellés principaux" dataDxfId="54"/>
    <tableColumn id="4" name="Libellés secondaires" dataDxfId="53"/>
    <tableColumn id="29" name="Total budgété">
      <calculatedColumnFormula>SUM(Tableau3[[#This Row],[Janvier]:[Décembre]])</calculatedColumnFormula>
    </tableColumn>
    <tableColumn id="5" name="Janvier" dataDxfId="52"/>
    <tableColumn id="6" name="Février" dataDxfId="51"/>
    <tableColumn id="7" name="Mars" dataDxfId="50"/>
    <tableColumn id="8" name="Avril" dataDxfId="49"/>
    <tableColumn id="9" name="Mai" dataDxfId="48"/>
    <tableColumn id="10" name="Juin" dataDxfId="47"/>
    <tableColumn id="11" name="Juillet" dataDxfId="46"/>
    <tableColumn id="12" name="Août" dataDxfId="45"/>
    <tableColumn id="13" name="Septembre" dataDxfId="44"/>
    <tableColumn id="14" name="Octobre" dataDxfId="43"/>
    <tableColumn id="15" name="Novembre" dataDxfId="42"/>
    <tableColumn id="16" name="Décembre" dataDxfId="41"/>
    <tableColumn id="17" name="Janvier1" dataDxfId="40">
      <calculatedColumnFormula>F4-SUMPRODUCT((Libellés_principaux=$C4)*(Libellés_secondaires=$D4)*(Débit))</calculatedColumnFormula>
    </tableColumn>
    <tableColumn id="18" name="Février2" dataDxfId="39">
      <calculatedColumnFormula>G4-SUMPRODUCT((Libellés_principaux=$C4)*(Libellés_secondaires=$D4)*(Débit))</calculatedColumnFormula>
    </tableColumn>
    <tableColumn id="19" name="Mars3" dataDxfId="38">
      <calculatedColumnFormula>H4-SUMPRODUCT((Libellés_principaux=$C4)*(Libellés_secondaires=$D4)*(Débit))</calculatedColumnFormula>
    </tableColumn>
    <tableColumn id="20" name="Avril4" dataDxfId="37">
      <calculatedColumnFormula>I4-SUMPRODUCT((Libellés_principaux=$C4)*(Libellés_secondaires=$D4)*(Débit))</calculatedColumnFormula>
    </tableColumn>
    <tableColumn id="21" name="Mai5" dataDxfId="36">
      <calculatedColumnFormula>J4-SUMPRODUCT((Libellés_principaux=$C4)*(Libellés_secondaires=$D4)*(Débit))</calculatedColumnFormula>
    </tableColumn>
    <tableColumn id="22" name="Juin6" dataDxfId="35">
      <calculatedColumnFormula>K4-SUMPRODUCT((Libellés_principaux=$C4)*(Libellés_secondaires=$D4)*(Débit))</calculatedColumnFormula>
    </tableColumn>
    <tableColumn id="23" name="Juillet7" dataDxfId="34">
      <calculatedColumnFormula>L4-SUMPRODUCT((Libellés_principaux=$C4)*(Libellés_secondaires=$D4)*(Débit))</calculatedColumnFormula>
    </tableColumn>
    <tableColumn id="24" name="Août8" dataDxfId="33">
      <calculatedColumnFormula>M4-SUMPRODUCT((Libellés_principaux=$C4)*(Libellés_secondaires=$D4)*(Débit))</calculatedColumnFormula>
    </tableColumn>
    <tableColumn id="25" name="Septembre9" dataDxfId="32">
      <calculatedColumnFormula>N4-SUMPRODUCT((Libellés_principaux=$C4)*(Libellés_secondaires=$D4)*(Débit))</calculatedColumnFormula>
    </tableColumn>
    <tableColumn id="26" name="Octobre10" dataDxfId="31">
      <calculatedColumnFormula>O4-SUMPRODUCT((Libellés_principaux=$C4)*(Libellés_secondaires=$D4)*(Débit))</calculatedColumnFormula>
    </tableColumn>
    <tableColumn id="27" name="Novembre11" dataDxfId="30">
      <calculatedColumnFormula>P4-SUMPRODUCT((Libellés_principaux=$C4)*(Libellés_secondaires=$D4)*(Débit))</calculatedColumnFormula>
    </tableColumn>
    <tableColumn id="28" name="Décembre12" dataDxfId="29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28" dataDxfId="27">
  <autoFilter ref="A1:G3"/>
  <tableColumns count="7">
    <tableColumn id="1" name="Date" dataDxfId="26"/>
    <tableColumn id="2" name="Tiers" dataDxfId="25"/>
    <tableColumn id="3" name="Débit" dataDxfId="24"/>
    <tableColumn id="4" name="Distance parcourue" dataDxfId="23"/>
    <tableColumn id="5" name="Litre" dataDxfId="22"/>
    <tableColumn id="6" name="Tarif du litre" dataDxfId="21"/>
    <tableColumn id="7" name="Litre/100Km" dataDxfId="20">
      <calculatedColumnFormula>Tableau4[[#This Row],[Distance parcourue]]/100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Microsoft_Word_97_-_2003_Document2.doc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C9" sqref="C9"/>
    </sheetView>
  </sheetViews>
  <sheetFormatPr baseColWidth="10" defaultRowHeight="12.75" x14ac:dyDescent="0.2"/>
  <cols>
    <col min="1" max="1" width="25" bestFit="1" customWidth="1"/>
    <col min="2" max="2" width="10" bestFit="1" customWidth="1"/>
    <col min="3" max="3" width="14.85546875" customWidth="1"/>
    <col min="4" max="4" width="14.85546875" bestFit="1" customWidth="1"/>
    <col min="5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 x14ac:dyDescent="0.2">
      <c r="A1" s="3" t="s">
        <v>134</v>
      </c>
      <c r="B1" s="3" t="s">
        <v>139</v>
      </c>
      <c r="C1" s="3" t="s">
        <v>142</v>
      </c>
    </row>
    <row r="2" spans="1:5" x14ac:dyDescent="0.2">
      <c r="B2" t="s">
        <v>146</v>
      </c>
      <c r="C2" t="s">
        <v>140</v>
      </c>
      <c r="E2" t="s">
        <v>147</v>
      </c>
    </row>
    <row r="3" spans="1:5" x14ac:dyDescent="0.2">
      <c r="A3" s="3" t="s">
        <v>2</v>
      </c>
      <c r="C3" t="s">
        <v>149</v>
      </c>
      <c r="D3" t="s">
        <v>148</v>
      </c>
    </row>
    <row r="4" spans="1:5" x14ac:dyDescent="0.2">
      <c r="A4" t="s">
        <v>14</v>
      </c>
      <c r="B4" s="39">
        <v>8930</v>
      </c>
      <c r="C4" s="67">
        <v>-163</v>
      </c>
      <c r="D4" s="39">
        <v>4827</v>
      </c>
      <c r="E4" s="66">
        <v>13594</v>
      </c>
    </row>
    <row r="5" spans="1:5" x14ac:dyDescent="0.2">
      <c r="A5" t="s">
        <v>76</v>
      </c>
      <c r="B5" s="39">
        <v>6000</v>
      </c>
      <c r="C5" s="67"/>
      <c r="D5" s="39">
        <v>35</v>
      </c>
      <c r="E5" s="66">
        <v>6035</v>
      </c>
    </row>
    <row r="6" spans="1:5" x14ac:dyDescent="0.2">
      <c r="A6" t="s">
        <v>102</v>
      </c>
      <c r="B6" s="39">
        <v>50</v>
      </c>
      <c r="C6" s="67">
        <v>-5</v>
      </c>
      <c r="D6" s="39">
        <v>40</v>
      </c>
      <c r="E6" s="66">
        <v>85</v>
      </c>
    </row>
    <row r="7" spans="1:5" x14ac:dyDescent="0.2">
      <c r="A7" t="s">
        <v>13</v>
      </c>
      <c r="B7" s="39">
        <v>970</v>
      </c>
      <c r="C7" s="67">
        <v>2200</v>
      </c>
      <c r="D7" s="39">
        <v>1875</v>
      </c>
      <c r="E7" s="66">
        <v>5045</v>
      </c>
    </row>
    <row r="8" spans="1:5" x14ac:dyDescent="0.2">
      <c r="A8" t="s">
        <v>15</v>
      </c>
      <c r="B8" s="39">
        <v>6100</v>
      </c>
      <c r="C8" s="67"/>
      <c r="D8" s="39"/>
      <c r="E8" s="66">
        <v>6100</v>
      </c>
    </row>
    <row r="9" spans="1:5" x14ac:dyDescent="0.2">
      <c r="A9" t="s">
        <v>16</v>
      </c>
      <c r="B9" s="39">
        <v>300</v>
      </c>
      <c r="C9" s="67">
        <v>-60</v>
      </c>
      <c r="D9" s="39">
        <v>985</v>
      </c>
      <c r="E9" s="66">
        <v>1225</v>
      </c>
    </row>
    <row r="10" spans="1:5" x14ac:dyDescent="0.2">
      <c r="A10" t="s">
        <v>101</v>
      </c>
      <c r="B10" s="39">
        <v>90</v>
      </c>
      <c r="C10" s="67">
        <v>-6.9</v>
      </c>
      <c r="D10" s="39"/>
      <c r="E10" s="66">
        <v>83.1</v>
      </c>
    </row>
    <row r="11" spans="1:5" x14ac:dyDescent="0.2">
      <c r="A11" t="s">
        <v>17</v>
      </c>
      <c r="B11" s="39">
        <v>1200</v>
      </c>
      <c r="C11" s="67">
        <v>140</v>
      </c>
      <c r="D11" s="39">
        <v>-99</v>
      </c>
      <c r="E11" s="66">
        <v>1241</v>
      </c>
    </row>
    <row r="12" spans="1:5" x14ac:dyDescent="0.2">
      <c r="A12" t="s">
        <v>147</v>
      </c>
      <c r="B12" s="39">
        <v>23640</v>
      </c>
      <c r="C12" s="39">
        <v>2105.1</v>
      </c>
      <c r="D12" s="39">
        <v>7663</v>
      </c>
      <c r="E12" s="39">
        <v>33408.1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6"/>
  <sheetViews>
    <sheetView workbookViewId="0">
      <selection activeCell="G11" sqref="G11"/>
    </sheetView>
  </sheetViews>
  <sheetFormatPr baseColWidth="10" defaultRowHeight="12.75" x14ac:dyDescent="0.2"/>
  <cols>
    <col min="1" max="1" width="24.7109375" bestFit="1" customWidth="1"/>
    <col min="2" max="2" width="20.85546875" bestFit="1" customWidth="1"/>
    <col min="3" max="3" width="14" bestFit="1" customWidth="1"/>
    <col min="4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 x14ac:dyDescent="0.2">
      <c r="A1" s="3" t="s">
        <v>2</v>
      </c>
      <c r="B1" t="s">
        <v>124</v>
      </c>
    </row>
    <row r="3" spans="1:11" x14ac:dyDescent="0.2">
      <c r="A3" s="3" t="s">
        <v>134</v>
      </c>
      <c r="D3" s="3" t="s">
        <v>139</v>
      </c>
      <c r="E3" s="3" t="s">
        <v>0</v>
      </c>
    </row>
    <row r="4" spans="1:11" x14ac:dyDescent="0.2">
      <c r="D4" t="s">
        <v>140</v>
      </c>
      <c r="J4" t="s">
        <v>146</v>
      </c>
      <c r="K4" t="s">
        <v>8</v>
      </c>
    </row>
    <row r="5" spans="1:11" x14ac:dyDescent="0.2">
      <c r="A5" s="3" t="s">
        <v>18</v>
      </c>
      <c r="B5" s="3" t="s">
        <v>19</v>
      </c>
      <c r="C5" s="3" t="s">
        <v>135</v>
      </c>
      <c r="D5" t="s">
        <v>129</v>
      </c>
      <c r="E5" t="s">
        <v>130</v>
      </c>
      <c r="F5" t="s">
        <v>131</v>
      </c>
      <c r="G5" t="s">
        <v>132</v>
      </c>
      <c r="H5" t="s">
        <v>133</v>
      </c>
      <c r="I5" t="s">
        <v>150</v>
      </c>
      <c r="J5" t="s">
        <v>150</v>
      </c>
    </row>
    <row r="6" spans="1:11" x14ac:dyDescent="0.2">
      <c r="A6" t="s">
        <v>6</v>
      </c>
      <c r="D6" s="39">
        <v>-6</v>
      </c>
      <c r="E6" s="39"/>
      <c r="F6" s="39"/>
      <c r="G6" s="39"/>
      <c r="H6" s="39"/>
      <c r="I6" s="39"/>
      <c r="J6" s="39">
        <v>-60</v>
      </c>
      <c r="K6" s="39">
        <v>-66</v>
      </c>
    </row>
    <row r="7" spans="1:11" x14ac:dyDescent="0.2">
      <c r="B7" t="s">
        <v>20</v>
      </c>
      <c r="D7" s="39">
        <v>-6</v>
      </c>
      <c r="E7" s="39"/>
      <c r="F7" s="39"/>
      <c r="G7" s="39"/>
      <c r="H7" s="39"/>
      <c r="I7" s="39"/>
      <c r="J7" s="39"/>
      <c r="K7" s="39">
        <v>-6</v>
      </c>
    </row>
    <row r="8" spans="1:11" x14ac:dyDescent="0.2">
      <c r="C8" t="s">
        <v>12</v>
      </c>
      <c r="D8" s="39">
        <v>-6</v>
      </c>
      <c r="E8" s="39"/>
      <c r="F8" s="39"/>
      <c r="G8" s="39"/>
      <c r="H8" s="39"/>
      <c r="I8" s="39"/>
      <c r="J8" s="39"/>
      <c r="K8" s="39">
        <v>-6</v>
      </c>
    </row>
    <row r="9" spans="1:11" x14ac:dyDescent="0.2">
      <c r="B9" t="s">
        <v>21</v>
      </c>
      <c r="D9" s="39"/>
      <c r="E9" s="39"/>
      <c r="F9" s="39"/>
      <c r="G9" s="39"/>
      <c r="H9" s="39"/>
      <c r="I9" s="39"/>
      <c r="J9" s="39">
        <v>-60</v>
      </c>
      <c r="K9" s="39">
        <v>-60</v>
      </c>
    </row>
    <row r="10" spans="1:11" x14ac:dyDescent="0.2">
      <c r="C10" t="s">
        <v>12</v>
      </c>
      <c r="D10" s="39"/>
      <c r="E10" s="39"/>
      <c r="F10" s="39"/>
      <c r="G10" s="39"/>
      <c r="H10" s="39"/>
      <c r="I10" s="39"/>
      <c r="J10" s="39">
        <v>-60</v>
      </c>
      <c r="K10" s="39">
        <v>-60</v>
      </c>
    </row>
    <row r="11" spans="1:11" x14ac:dyDescent="0.2">
      <c r="A11" t="s">
        <v>29</v>
      </c>
      <c r="D11" s="39">
        <v>-35.9</v>
      </c>
      <c r="E11" s="39"/>
      <c r="F11" s="39"/>
      <c r="G11" s="39"/>
      <c r="H11" s="39"/>
      <c r="I11" s="39"/>
      <c r="J11" s="39"/>
      <c r="K11" s="39">
        <v>-35.9</v>
      </c>
    </row>
    <row r="12" spans="1:11" x14ac:dyDescent="0.2">
      <c r="B12" t="s">
        <v>30</v>
      </c>
      <c r="D12" s="39">
        <v>-33.9</v>
      </c>
      <c r="E12" s="39"/>
      <c r="F12" s="39"/>
      <c r="G12" s="39"/>
      <c r="H12" s="39"/>
      <c r="I12" s="39"/>
      <c r="J12" s="39"/>
      <c r="K12" s="39">
        <v>-33.9</v>
      </c>
    </row>
    <row r="13" spans="1:11" x14ac:dyDescent="0.2">
      <c r="C13" t="s">
        <v>11</v>
      </c>
      <c r="D13" s="39">
        <v>30</v>
      </c>
      <c r="E13" s="39"/>
      <c r="F13" s="39"/>
      <c r="G13" s="39"/>
      <c r="H13" s="39"/>
      <c r="I13" s="39"/>
      <c r="J13" s="39"/>
      <c r="K13" s="39">
        <v>30</v>
      </c>
    </row>
    <row r="14" spans="1:11" x14ac:dyDescent="0.2">
      <c r="C14" t="s">
        <v>12</v>
      </c>
      <c r="D14" s="39">
        <v>-63.9</v>
      </c>
      <c r="E14" s="39"/>
      <c r="F14" s="39"/>
      <c r="G14" s="39"/>
      <c r="H14" s="39"/>
      <c r="I14" s="39"/>
      <c r="J14" s="39"/>
      <c r="K14" s="39">
        <v>-63.9</v>
      </c>
    </row>
    <row r="15" spans="1:11" x14ac:dyDescent="0.2">
      <c r="B15" t="s">
        <v>31</v>
      </c>
      <c r="D15" s="39">
        <v>-2</v>
      </c>
      <c r="E15" s="39"/>
      <c r="F15" s="39"/>
      <c r="G15" s="39"/>
      <c r="H15" s="39"/>
      <c r="I15" s="39"/>
      <c r="J15" s="39"/>
      <c r="K15" s="39">
        <v>-2</v>
      </c>
    </row>
    <row r="16" spans="1:11" x14ac:dyDescent="0.2">
      <c r="C16" t="s">
        <v>12</v>
      </c>
      <c r="D16" s="39">
        <v>-2</v>
      </c>
      <c r="E16" s="39"/>
      <c r="F16" s="39"/>
      <c r="G16" s="39"/>
      <c r="H16" s="39"/>
      <c r="I16" s="39"/>
      <c r="J16" s="39"/>
      <c r="K16" s="39">
        <v>-2</v>
      </c>
    </row>
    <row r="17" spans="1:11" x14ac:dyDescent="0.2">
      <c r="A17" t="s">
        <v>37</v>
      </c>
      <c r="D17" s="39">
        <v>2070</v>
      </c>
      <c r="E17" s="39">
        <v>2070</v>
      </c>
      <c r="F17" s="39">
        <v>2070</v>
      </c>
      <c r="G17" s="39">
        <v>2070</v>
      </c>
      <c r="H17" s="39">
        <v>1100</v>
      </c>
      <c r="I17" s="39">
        <v>460</v>
      </c>
      <c r="J17" s="39"/>
      <c r="K17" s="39">
        <v>9840</v>
      </c>
    </row>
    <row r="18" spans="1:11" x14ac:dyDescent="0.2">
      <c r="B18" t="s">
        <v>4</v>
      </c>
      <c r="D18" s="39">
        <v>-30</v>
      </c>
      <c r="E18" s="39">
        <v>-30</v>
      </c>
      <c r="F18" s="39">
        <v>-30</v>
      </c>
      <c r="G18" s="39">
        <v>-30</v>
      </c>
      <c r="H18" s="39"/>
      <c r="I18" s="39"/>
      <c r="J18" s="39"/>
      <c r="K18" s="39">
        <v>-120</v>
      </c>
    </row>
    <row r="19" spans="1:11" x14ac:dyDescent="0.2">
      <c r="C19" t="s">
        <v>12</v>
      </c>
      <c r="D19" s="39">
        <v>-30</v>
      </c>
      <c r="E19" s="39">
        <v>-30</v>
      </c>
      <c r="F19" s="39">
        <v>-30</v>
      </c>
      <c r="G19" s="39">
        <v>-30</v>
      </c>
      <c r="H19" s="39"/>
      <c r="I19" s="39"/>
      <c r="J19" s="39"/>
      <c r="K19" s="39">
        <v>-120</v>
      </c>
    </row>
    <row r="20" spans="1:11" x14ac:dyDescent="0.2">
      <c r="B20" t="s">
        <v>38</v>
      </c>
      <c r="D20" s="39">
        <v>2100</v>
      </c>
      <c r="E20" s="39">
        <v>2100</v>
      </c>
      <c r="F20" s="39">
        <v>2100</v>
      </c>
      <c r="G20" s="39">
        <v>2100</v>
      </c>
      <c r="H20" s="39">
        <v>1100</v>
      </c>
      <c r="I20" s="39">
        <v>460</v>
      </c>
      <c r="J20" s="39"/>
      <c r="K20" s="39">
        <v>9960</v>
      </c>
    </row>
    <row r="21" spans="1:11" x14ac:dyDescent="0.2">
      <c r="C21" t="s">
        <v>11</v>
      </c>
      <c r="D21" s="39">
        <v>2100</v>
      </c>
      <c r="E21" s="39">
        <v>2100</v>
      </c>
      <c r="F21" s="39">
        <v>2100</v>
      </c>
      <c r="G21" s="39">
        <v>2100</v>
      </c>
      <c r="H21" s="39">
        <v>1100</v>
      </c>
      <c r="I21" s="39">
        <v>460</v>
      </c>
      <c r="J21" s="39"/>
      <c r="K21" s="39">
        <v>9960</v>
      </c>
    </row>
    <row r="22" spans="1:11" x14ac:dyDescent="0.2">
      <c r="A22" t="s">
        <v>39</v>
      </c>
      <c r="D22" s="39"/>
      <c r="E22" s="39">
        <v>-25</v>
      </c>
      <c r="F22" s="39">
        <v>-70</v>
      </c>
      <c r="G22" s="39"/>
      <c r="H22" s="39"/>
      <c r="I22" s="39"/>
      <c r="J22" s="39"/>
      <c r="K22" s="39">
        <v>-95</v>
      </c>
    </row>
    <row r="23" spans="1:11" x14ac:dyDescent="0.2">
      <c r="B23" t="s">
        <v>40</v>
      </c>
      <c r="D23" s="39"/>
      <c r="E23" s="39"/>
      <c r="F23" s="39">
        <v>-50</v>
      </c>
      <c r="G23" s="39"/>
      <c r="H23" s="39"/>
      <c r="I23" s="39"/>
      <c r="J23" s="39"/>
      <c r="K23" s="39">
        <v>-50</v>
      </c>
    </row>
    <row r="24" spans="1:11" x14ac:dyDescent="0.2">
      <c r="C24" t="s">
        <v>12</v>
      </c>
      <c r="D24" s="39"/>
      <c r="E24" s="39"/>
      <c r="F24" s="39">
        <v>-50</v>
      </c>
      <c r="G24" s="39"/>
      <c r="H24" s="39"/>
      <c r="I24" s="39"/>
      <c r="J24" s="39"/>
      <c r="K24" s="39">
        <v>-50</v>
      </c>
    </row>
    <row r="25" spans="1:11" x14ac:dyDescent="0.2">
      <c r="B25" t="s">
        <v>43</v>
      </c>
      <c r="D25" s="39"/>
      <c r="E25" s="39">
        <v>-25</v>
      </c>
      <c r="F25" s="39"/>
      <c r="G25" s="39"/>
      <c r="H25" s="39"/>
      <c r="I25" s="39"/>
      <c r="J25" s="39"/>
      <c r="K25" s="39">
        <v>-25</v>
      </c>
    </row>
    <row r="26" spans="1:11" x14ac:dyDescent="0.2">
      <c r="C26" t="s">
        <v>12</v>
      </c>
      <c r="D26" s="39"/>
      <c r="E26" s="39">
        <v>-25</v>
      </c>
      <c r="F26" s="39"/>
      <c r="G26" s="39"/>
      <c r="H26" s="39"/>
      <c r="I26" s="39"/>
      <c r="J26" s="39"/>
      <c r="K26" s="39">
        <v>-25</v>
      </c>
    </row>
    <row r="27" spans="1:11" x14ac:dyDescent="0.2">
      <c r="B27" t="s">
        <v>42</v>
      </c>
      <c r="D27" s="39"/>
      <c r="E27" s="39"/>
      <c r="F27" s="39">
        <v>-20</v>
      </c>
      <c r="G27" s="39"/>
      <c r="H27" s="39"/>
      <c r="I27" s="39"/>
      <c r="J27" s="39"/>
      <c r="K27" s="39">
        <v>-20</v>
      </c>
    </row>
    <row r="28" spans="1:11" x14ac:dyDescent="0.2">
      <c r="C28" t="s">
        <v>12</v>
      </c>
      <c r="D28" s="39"/>
      <c r="E28" s="39"/>
      <c r="F28" s="39">
        <v>-20</v>
      </c>
      <c r="G28" s="39"/>
      <c r="H28" s="39"/>
      <c r="I28" s="39"/>
      <c r="J28" s="39"/>
      <c r="K28" s="39">
        <v>-20</v>
      </c>
    </row>
    <row r="29" spans="1:11" x14ac:dyDescent="0.2">
      <c r="A29" t="s">
        <v>7</v>
      </c>
      <c r="D29" s="39"/>
      <c r="E29" s="39">
        <v>-10</v>
      </c>
      <c r="F29" s="39"/>
      <c r="G29" s="39">
        <v>-25</v>
      </c>
      <c r="H29" s="39"/>
      <c r="I29" s="39"/>
      <c r="J29" s="39">
        <v>-10</v>
      </c>
      <c r="K29" s="39">
        <v>-45</v>
      </c>
    </row>
    <row r="30" spans="1:11" x14ac:dyDescent="0.2">
      <c r="B30" t="s">
        <v>49</v>
      </c>
      <c r="D30" s="39"/>
      <c r="E30" s="39">
        <v>-10</v>
      </c>
      <c r="F30" s="39"/>
      <c r="G30" s="39"/>
      <c r="H30" s="39"/>
      <c r="I30" s="39"/>
      <c r="J30" s="39"/>
      <c r="K30" s="39">
        <v>-10</v>
      </c>
    </row>
    <row r="31" spans="1:11" x14ac:dyDescent="0.2">
      <c r="C31" t="s">
        <v>12</v>
      </c>
      <c r="D31" s="39"/>
      <c r="E31" s="39">
        <v>-10</v>
      </c>
      <c r="F31" s="39"/>
      <c r="G31" s="39"/>
      <c r="H31" s="39"/>
      <c r="I31" s="39"/>
      <c r="J31" s="39"/>
      <c r="K31" s="39">
        <v>-10</v>
      </c>
    </row>
    <row r="32" spans="1:11" x14ac:dyDescent="0.2">
      <c r="B32" t="s">
        <v>55</v>
      </c>
      <c r="D32" s="39"/>
      <c r="E32" s="39"/>
      <c r="F32" s="39"/>
      <c r="G32" s="39">
        <v>-25</v>
      </c>
      <c r="H32" s="39"/>
      <c r="I32" s="39"/>
      <c r="J32" s="39"/>
      <c r="K32" s="39">
        <v>-25</v>
      </c>
    </row>
    <row r="33" spans="1:11" x14ac:dyDescent="0.2">
      <c r="C33" t="s">
        <v>12</v>
      </c>
      <c r="D33" s="39"/>
      <c r="E33" s="39"/>
      <c r="F33" s="39"/>
      <c r="G33" s="39">
        <v>-25</v>
      </c>
      <c r="H33" s="39"/>
      <c r="I33" s="39"/>
      <c r="J33" s="39"/>
      <c r="K33" s="39">
        <v>-25</v>
      </c>
    </row>
    <row r="34" spans="1:11" x14ac:dyDescent="0.2">
      <c r="B34" t="s">
        <v>51</v>
      </c>
      <c r="D34" s="39"/>
      <c r="E34" s="39"/>
      <c r="F34" s="39"/>
      <c r="G34" s="39"/>
      <c r="H34" s="39"/>
      <c r="I34" s="39"/>
      <c r="J34" s="39">
        <v>-10</v>
      </c>
      <c r="K34" s="39">
        <v>-10</v>
      </c>
    </row>
    <row r="35" spans="1:11" x14ac:dyDescent="0.2">
      <c r="C35" t="s">
        <v>12</v>
      </c>
      <c r="D35" s="39"/>
      <c r="E35" s="39"/>
      <c r="F35" s="39"/>
      <c r="G35" s="39"/>
      <c r="H35" s="39"/>
      <c r="I35" s="39"/>
      <c r="J35" s="39">
        <v>-10</v>
      </c>
      <c r="K35" s="39">
        <v>-10</v>
      </c>
    </row>
    <row r="36" spans="1:11" x14ac:dyDescent="0.2">
      <c r="A36" t="s">
        <v>8</v>
      </c>
      <c r="D36" s="39">
        <v>2028.1</v>
      </c>
      <c r="E36" s="39">
        <v>2035</v>
      </c>
      <c r="F36" s="39">
        <v>2000</v>
      </c>
      <c r="G36" s="39">
        <v>2045</v>
      </c>
      <c r="H36" s="39">
        <v>1100</v>
      </c>
      <c r="I36" s="39">
        <v>460</v>
      </c>
      <c r="J36" s="39">
        <v>-70</v>
      </c>
      <c r="K36" s="39">
        <v>9598.1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0"/>
  <sheetViews>
    <sheetView tabSelected="1" workbookViewId="0">
      <pane ySplit="2" topLeftCell="A36" activePane="bottomLeft" state="frozen"/>
      <selection pane="bottomLeft" activeCell="C63" sqref="C63"/>
    </sheetView>
  </sheetViews>
  <sheetFormatPr baseColWidth="10" defaultColWidth="11.42578125" defaultRowHeight="12.75" x14ac:dyDescent="0.2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5" customWidth="1"/>
    <col min="8" max="8" width="11.42578125" style="46"/>
    <col min="9" max="10" width="14.140625" style="42" customWidth="1"/>
    <col min="12" max="12" width="11.42578125" style="118"/>
    <col min="13" max="13" width="11.7109375" style="1" customWidth="1"/>
    <col min="14" max="16384" width="11.42578125" style="1"/>
  </cols>
  <sheetData>
    <row r="1" spans="1:13" ht="25.5" customHeight="1" x14ac:dyDescent="0.2">
      <c r="A1" s="133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Mardi 27 Octobre 2015, la mensualisation est Inscrite/non inscrite. Sur le compte XYX - Compte Joint, le solde au dernier relevé bancaire est de XXX€,
le solde budgété à la fin octobre est de YYY€ € et le numéro du dernier chèque enregistré est le ZZZ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</row>
    <row r="2" spans="1:13" s="25" customFormat="1" ht="39.75" customHeight="1" x14ac:dyDescent="0.2">
      <c r="A2" s="25" t="s">
        <v>2</v>
      </c>
      <c r="B2" s="26" t="s">
        <v>0</v>
      </c>
      <c r="C2" s="26" t="s">
        <v>92</v>
      </c>
      <c r="D2" s="25" t="s">
        <v>1</v>
      </c>
      <c r="E2" s="25" t="s">
        <v>18</v>
      </c>
      <c r="F2" s="25" t="s">
        <v>19</v>
      </c>
      <c r="G2" s="25" t="s">
        <v>141</v>
      </c>
      <c r="H2" s="25" t="s">
        <v>11</v>
      </c>
      <c r="I2" s="25" t="s">
        <v>12</v>
      </c>
      <c r="J2" s="25" t="s">
        <v>125</v>
      </c>
      <c r="K2" s="25" t="s">
        <v>135</v>
      </c>
      <c r="L2" s="25" t="s">
        <v>190</v>
      </c>
      <c r="M2" s="25" t="s">
        <v>10</v>
      </c>
    </row>
    <row r="3" spans="1:13" x14ac:dyDescent="0.2">
      <c r="A3" s="1" t="s">
        <v>14</v>
      </c>
      <c r="B3" s="59">
        <v>42369</v>
      </c>
      <c r="F3" s="22"/>
      <c r="G3" s="65" t="s">
        <v>138</v>
      </c>
      <c r="H3" s="42">
        <v>9000</v>
      </c>
      <c r="I3" s="47"/>
      <c r="J3" s="47">
        <f>Tableau1[[#This Row],[Crédit]]+Tableau1[[#This Row],[Débit]]</f>
        <v>9000</v>
      </c>
      <c r="K3" s="60" t="str">
        <f>IF(Tableau1[[#This Row],[Crédit]]&lt;&gt;"","Crédit",IF(Tableau1[[#This Row],[Débit]]&lt;&gt;"","Débit",""))</f>
        <v>Crédit</v>
      </c>
      <c r="L3" s="119">
        <f t="shared" ref="L3:L10" ca="1" si="0">IF(H3-SUMPRODUCT((Choix1=$E3)*(Choix2=F3)*(I3))&lt;0,0,H3-SUMPRODUCT((Choix1=$E3)*(Choix2=F3)*(I3)))</f>
        <v>9000</v>
      </c>
      <c r="M3" s="4"/>
    </row>
    <row r="4" spans="1:13" x14ac:dyDescent="0.2">
      <c r="A4" s="1" t="s">
        <v>76</v>
      </c>
      <c r="B4" s="59">
        <v>42369</v>
      </c>
      <c r="F4" s="22"/>
      <c r="G4" s="65" t="s">
        <v>138</v>
      </c>
      <c r="H4" s="42">
        <v>6000</v>
      </c>
      <c r="I4" s="47"/>
      <c r="J4" s="47">
        <f>Tableau1[[#This Row],[Crédit]]+Tableau1[[#This Row],[Débit]]</f>
        <v>6000</v>
      </c>
      <c r="K4" s="60" t="str">
        <f>IF(Tableau1[[#This Row],[Crédit]]&lt;&gt;"","Crédit",IF(Tableau1[[#This Row],[Débit]]&lt;&gt;"","Débit",""))</f>
        <v>Crédit</v>
      </c>
      <c r="L4" s="119">
        <f t="shared" ca="1" si="0"/>
        <v>6000</v>
      </c>
      <c r="M4" s="4"/>
    </row>
    <row r="5" spans="1:13" x14ac:dyDescent="0.2">
      <c r="A5" s="1" t="s">
        <v>102</v>
      </c>
      <c r="B5" s="59">
        <v>42369</v>
      </c>
      <c r="D5" s="17"/>
      <c r="F5" s="22"/>
      <c r="G5" s="65" t="s">
        <v>138</v>
      </c>
      <c r="H5" s="43">
        <v>50</v>
      </c>
      <c r="I5" s="48"/>
      <c r="J5" s="48">
        <f>Tableau1[[#This Row],[Crédit]]+Tableau1[[#This Row],[Débit]]</f>
        <v>50</v>
      </c>
      <c r="K5" s="60" t="str">
        <f>IF(Tableau1[[#This Row],[Crédit]]&lt;&gt;"","Crédit",IF(Tableau1[[#This Row],[Débit]]&lt;&gt;"","Débit",""))</f>
        <v>Crédit</v>
      </c>
      <c r="L5" s="119">
        <f t="shared" ca="1" si="0"/>
        <v>50</v>
      </c>
      <c r="M5" s="4"/>
    </row>
    <row r="6" spans="1:13" x14ac:dyDescent="0.2">
      <c r="A6" s="1" t="s">
        <v>13</v>
      </c>
      <c r="B6" s="59">
        <v>42369</v>
      </c>
      <c r="F6" s="22"/>
      <c r="G6" s="65" t="s">
        <v>138</v>
      </c>
      <c r="H6" s="42">
        <v>1000</v>
      </c>
      <c r="I6" s="47"/>
      <c r="J6" s="47">
        <f>Tableau1[[#This Row],[Crédit]]+Tableau1[[#This Row],[Débit]]</f>
        <v>1000</v>
      </c>
      <c r="K6" s="60" t="str">
        <f>IF(Tableau1[[#This Row],[Crédit]]&lt;&gt;"","Crédit",IF(Tableau1[[#This Row],[Débit]]&lt;&gt;"","Débit",""))</f>
        <v>Crédit</v>
      </c>
      <c r="L6" s="119">
        <f t="shared" ca="1" si="0"/>
        <v>1000</v>
      </c>
      <c r="M6" s="4"/>
    </row>
    <row r="7" spans="1:13" x14ac:dyDescent="0.2">
      <c r="A7" s="1" t="s">
        <v>15</v>
      </c>
      <c r="B7" s="59">
        <v>42369</v>
      </c>
      <c r="F7" s="22"/>
      <c r="G7" s="65" t="s">
        <v>138</v>
      </c>
      <c r="H7" s="42">
        <v>6100</v>
      </c>
      <c r="J7" s="42">
        <f>Tableau1[[#This Row],[Crédit]]+Tableau1[[#This Row],[Débit]]</f>
        <v>6100</v>
      </c>
      <c r="K7" s="61" t="str">
        <f>IF(Tableau1[[#This Row],[Crédit]]&lt;&gt;"","Crédit",IF(Tableau1[[#This Row],[Débit]]&lt;&gt;"","Débit",""))</f>
        <v>Crédit</v>
      </c>
      <c r="L7" s="119">
        <f t="shared" ca="1" si="0"/>
        <v>6100</v>
      </c>
      <c r="M7" s="4"/>
    </row>
    <row r="8" spans="1:13" x14ac:dyDescent="0.2">
      <c r="A8" s="1" t="s">
        <v>16</v>
      </c>
      <c r="B8" s="59">
        <v>42369</v>
      </c>
      <c r="F8" s="22"/>
      <c r="G8" s="65" t="s">
        <v>138</v>
      </c>
      <c r="H8" s="42">
        <v>300</v>
      </c>
      <c r="J8" s="42">
        <f>Tableau1[[#This Row],[Crédit]]+Tableau1[[#This Row],[Débit]]</f>
        <v>300</v>
      </c>
      <c r="K8" s="61" t="str">
        <f>IF(Tableau1[[#This Row],[Crédit]]&lt;&gt;"","Crédit",IF(Tableau1[[#This Row],[Débit]]&lt;&gt;"","Débit",""))</f>
        <v>Crédit</v>
      </c>
      <c r="L8" s="119">
        <f t="shared" ca="1" si="0"/>
        <v>300</v>
      </c>
      <c r="M8" s="4"/>
    </row>
    <row r="9" spans="1:13" x14ac:dyDescent="0.2">
      <c r="A9" s="1" t="s">
        <v>101</v>
      </c>
      <c r="B9" s="59">
        <v>42369</v>
      </c>
      <c r="D9" s="17"/>
      <c r="F9" s="22"/>
      <c r="G9" s="65" t="s">
        <v>138</v>
      </c>
      <c r="H9" s="43">
        <v>60</v>
      </c>
      <c r="I9" s="43"/>
      <c r="J9" s="43">
        <f>Tableau1[[#This Row],[Crédit]]+Tableau1[[#This Row],[Débit]]</f>
        <v>60</v>
      </c>
      <c r="K9" s="61" t="str">
        <f>IF(Tableau1[[#This Row],[Crédit]]&lt;&gt;"","Crédit",IF(Tableau1[[#This Row],[Débit]]&lt;&gt;"","Débit",""))</f>
        <v>Crédit</v>
      </c>
      <c r="L9" s="119">
        <f t="shared" ca="1" si="0"/>
        <v>60</v>
      </c>
      <c r="M9" s="4"/>
    </row>
    <row r="10" spans="1:13" x14ac:dyDescent="0.2">
      <c r="A10" s="1" t="s">
        <v>17</v>
      </c>
      <c r="B10" s="59">
        <v>42369</v>
      </c>
      <c r="F10" s="22"/>
      <c r="G10" s="65" t="s">
        <v>138</v>
      </c>
      <c r="H10" s="42">
        <v>1200</v>
      </c>
      <c r="J10" s="42">
        <f>Tableau1[[#This Row],[Crédit]]+Tableau1[[#This Row],[Débit]]</f>
        <v>1200</v>
      </c>
      <c r="K10" s="61" t="str">
        <f>IF(Tableau1[[#This Row],[Crédit]]&lt;&gt;"","Crédit",IF(Tableau1[[#This Row],[Débit]]&lt;&gt;"","Débit",""))</f>
        <v>Crédit</v>
      </c>
      <c r="L10" s="119">
        <f t="shared" ca="1" si="0"/>
        <v>1200</v>
      </c>
      <c r="M10" s="4"/>
    </row>
    <row r="11" spans="1:13" x14ac:dyDescent="0.2">
      <c r="A11" s="5" t="s">
        <v>13</v>
      </c>
      <c r="B11" s="23">
        <v>42370</v>
      </c>
      <c r="C11" s="23" t="s">
        <v>95</v>
      </c>
      <c r="D11" s="22" t="s">
        <v>128</v>
      </c>
      <c r="E11" s="22" t="s">
        <v>37</v>
      </c>
      <c r="F11" s="22" t="s">
        <v>38</v>
      </c>
      <c r="G11" s="64"/>
      <c r="H11" s="44">
        <v>1100</v>
      </c>
      <c r="I11" s="44"/>
      <c r="J11" s="43">
        <f>Tableau1[[#This Row],[Crédit]]+Tableau1[[#This Row],[Débit]]</f>
        <v>1100</v>
      </c>
      <c r="K11" s="61" t="str">
        <f>IF(Tableau1[[#This Row],[Crédit]]&lt;&gt;"","Crédit",IF(Tableau1[[#This Row],[Débit]]&lt;&gt;"","Débit",""))</f>
        <v>Crédit</v>
      </c>
      <c r="L11" s="119">
        <f ca="1">IF(ISNUMBER(INDIRECT("L"&amp;ROW()-1)),INDIRECT("L"&amp;ROW()-1)+INDIRECT("H"&amp;ROW())-INDIRECT("I"&amp;ROW()),LOOKUP(9^9,Crédit_Débit!L:L))</f>
        <v>2300</v>
      </c>
      <c r="M11" s="63"/>
    </row>
    <row r="12" spans="1:13" x14ac:dyDescent="0.2">
      <c r="A12" s="5" t="s">
        <v>16</v>
      </c>
      <c r="B12" s="23">
        <v>42370</v>
      </c>
      <c r="C12" s="23" t="s">
        <v>97</v>
      </c>
      <c r="D12" s="22" t="s">
        <v>128</v>
      </c>
      <c r="E12" s="22" t="s">
        <v>37</v>
      </c>
      <c r="F12" s="22" t="s">
        <v>4</v>
      </c>
      <c r="G12" s="64" t="s">
        <v>138</v>
      </c>
      <c r="H12" s="44"/>
      <c r="I12" s="44">
        <v>-30</v>
      </c>
      <c r="J12" s="43">
        <f>Tableau1[[#This Row],[Crédit]]+Tableau1[[#This Row],[Débit]]</f>
        <v>-30</v>
      </c>
      <c r="K12" s="61" t="str">
        <f>IF(Tableau1[[#This Row],[Crédit]]&lt;&gt;"","Crédit",IF(Tableau1[[#This Row],[Débit]]&lt;&gt;"","Débit",""))</f>
        <v>Débit</v>
      </c>
      <c r="L12" s="119">
        <f ca="1">IF(ISNUMBER(INDIRECT("L"&amp;ROW()-1)),INDIRECT("L"&amp;ROW()-1)+INDIRECT("H"&amp;ROW())-INDIRECT("I"&amp;ROW()),LOOKUP(9^9,Crédit_Débit!L:L))</f>
        <v>2330</v>
      </c>
      <c r="M12" s="63"/>
    </row>
    <row r="13" spans="1:13" x14ac:dyDescent="0.2">
      <c r="A13" s="5" t="s">
        <v>14</v>
      </c>
      <c r="B13" s="23">
        <v>42370</v>
      </c>
      <c r="C13" s="23" t="s">
        <v>95</v>
      </c>
      <c r="D13" s="22" t="s">
        <v>127</v>
      </c>
      <c r="E13" s="22" t="s">
        <v>37</v>
      </c>
      <c r="F13" s="22" t="s">
        <v>38</v>
      </c>
      <c r="G13" s="64"/>
      <c r="H13" s="44">
        <v>1000</v>
      </c>
      <c r="I13" s="44"/>
      <c r="J13" s="44">
        <f>Tableau1[[#This Row],[Crédit]]+Tableau1[[#This Row],[Débit]]</f>
        <v>1000</v>
      </c>
      <c r="K13" s="61" t="str">
        <f>IF(Tableau1[[#This Row],[Crédit]]&lt;&gt;"","Crédit",IF(Tableau1[[#This Row],[Débit]]&lt;&gt;"","Débit",""))</f>
        <v>Crédit</v>
      </c>
      <c r="L13" s="119">
        <f ca="1">IF(ISNUMBER(INDIRECT("L"&amp;ROW()-1)),INDIRECT("L"&amp;ROW()-1)+INDIRECT("H"&amp;ROW())-INDIRECT("I"&amp;ROW()),LOOKUP(9^9,Crédit_Débit!L:L))</f>
        <v>3330</v>
      </c>
      <c r="M13" s="63"/>
    </row>
    <row r="14" spans="1:13" x14ac:dyDescent="0.2">
      <c r="A14" s="5" t="s">
        <v>14</v>
      </c>
      <c r="B14" s="23">
        <v>42371</v>
      </c>
      <c r="C14" s="23" t="s">
        <v>97</v>
      </c>
      <c r="D14" s="22" t="s">
        <v>106</v>
      </c>
      <c r="E14" s="22" t="s">
        <v>6</v>
      </c>
      <c r="F14" s="22" t="s">
        <v>20</v>
      </c>
      <c r="G14" s="64" t="s">
        <v>138</v>
      </c>
      <c r="H14" s="44"/>
      <c r="I14" s="44">
        <v>-3</v>
      </c>
      <c r="J14" s="44">
        <f>Tableau1[[#This Row],[Crédit]]+Tableau1[[#This Row],[Débit]]</f>
        <v>-3</v>
      </c>
      <c r="K14" s="62" t="str">
        <f>IF(Tableau1[[#This Row],[Crédit]]&lt;&gt;"","Crédit",IF(Tableau1[[#This Row],[Débit]]&lt;&gt;"","Débit",""))</f>
        <v>Débit</v>
      </c>
      <c r="L14" s="119">
        <f ca="1">IF(ISNUMBER(INDIRECT("L"&amp;ROW()-1)),INDIRECT("L"&amp;ROW()-1)+INDIRECT("H"&amp;ROW())-INDIRECT("I"&amp;ROW()),LOOKUP(9^9,Crédit_Débit!L:L))</f>
        <v>3333</v>
      </c>
      <c r="M14" s="24"/>
    </row>
    <row r="15" spans="1:13" x14ac:dyDescent="0.2">
      <c r="A15" s="5" t="s">
        <v>13</v>
      </c>
      <c r="B15" s="23">
        <v>42372</v>
      </c>
      <c r="C15" s="23" t="s">
        <v>97</v>
      </c>
      <c r="D15" s="5" t="s">
        <v>106</v>
      </c>
      <c r="E15" s="22" t="s">
        <v>6</v>
      </c>
      <c r="F15" s="22" t="s">
        <v>20</v>
      </c>
      <c r="G15" s="64"/>
      <c r="H15" s="45"/>
      <c r="I15" s="45">
        <v>-3</v>
      </c>
      <c r="J15" s="45">
        <f>Tableau1[[#This Row],[Crédit]]+Tableau1[[#This Row],[Débit]]</f>
        <v>-3</v>
      </c>
      <c r="K15" s="62" t="str">
        <f>IF(Tableau1[[#This Row],[Crédit]]&lt;&gt;"","Crédit",IF(Tableau1[[#This Row],[Débit]]&lt;&gt;"","Débit",""))</f>
        <v>Débit</v>
      </c>
      <c r="L15" s="119">
        <f ca="1">IF(ISNUMBER(INDIRECT("L"&amp;ROW()-1)),INDIRECT("L"&amp;ROW()-1)+INDIRECT("H"&amp;ROW())-INDIRECT("I"&amp;ROW()),LOOKUP(9^9,Crédit_Débit!L:L))</f>
        <v>3336</v>
      </c>
      <c r="M15" s="28"/>
    </row>
    <row r="16" spans="1:13" x14ac:dyDescent="0.2">
      <c r="A16" s="5" t="s">
        <v>102</v>
      </c>
      <c r="B16" s="23">
        <v>42373</v>
      </c>
      <c r="C16" s="23" t="s">
        <v>100</v>
      </c>
      <c r="D16" s="5" t="s">
        <v>107</v>
      </c>
      <c r="E16" s="27" t="s">
        <v>29</v>
      </c>
      <c r="F16" s="27" t="s">
        <v>30</v>
      </c>
      <c r="G16" s="64" t="s">
        <v>138</v>
      </c>
      <c r="H16" s="45"/>
      <c r="I16" s="45">
        <v>-5</v>
      </c>
      <c r="J16" s="45">
        <f>Tableau1[[#This Row],[Crédit]]+Tableau1[[#This Row],[Débit]]</f>
        <v>-5</v>
      </c>
      <c r="K16" s="62" t="str">
        <f>IF(Tableau1[[#This Row],[Crédit]]&lt;&gt;"","Crédit",IF(Tableau1[[#This Row],[Débit]]&lt;&gt;"","Débit",""))</f>
        <v>Débit</v>
      </c>
      <c r="L16" s="119">
        <f ca="1">IF(ISNUMBER(INDIRECT("L"&amp;ROW()-1)),INDIRECT("L"&amp;ROW()-1)+INDIRECT("H"&amp;ROW())-INDIRECT("I"&amp;ROW()),LOOKUP(9^9,Crédit_Débit!L:L))</f>
        <v>3341</v>
      </c>
      <c r="M16" s="28"/>
    </row>
    <row r="17" spans="1:13" x14ac:dyDescent="0.2">
      <c r="A17" s="5" t="s">
        <v>17</v>
      </c>
      <c r="B17" s="23">
        <v>42374</v>
      </c>
      <c r="C17" s="23" t="s">
        <v>93</v>
      </c>
      <c r="D17" s="5" t="s">
        <v>108</v>
      </c>
      <c r="E17" s="27" t="s">
        <v>29</v>
      </c>
      <c r="F17" s="27" t="s">
        <v>30</v>
      </c>
      <c r="G17" s="64"/>
      <c r="H17" s="45"/>
      <c r="I17" s="43">
        <v>-52</v>
      </c>
      <c r="J17" s="43">
        <f>Tableau1[[#This Row],[Crédit]]+Tableau1[[#This Row],[Débit]]</f>
        <v>-52</v>
      </c>
      <c r="K17" s="62" t="str">
        <f>IF(Tableau1[[#This Row],[Crédit]]&lt;&gt;"","Crédit",IF(Tableau1[[#This Row],[Débit]]&lt;&gt;"","Débit",""))</f>
        <v>Débit</v>
      </c>
      <c r="L17" s="119">
        <f ca="1">IF(ISNUMBER(INDIRECT("L"&amp;ROW()-1)),INDIRECT("L"&amp;ROW()-1)+INDIRECT("H"&amp;ROW())-INDIRECT("I"&amp;ROW()),LOOKUP(9^9,Crédit_Débit!L:L))</f>
        <v>3393</v>
      </c>
      <c r="M17" s="28"/>
    </row>
    <row r="18" spans="1:13" x14ac:dyDescent="0.2">
      <c r="A18" s="5" t="s">
        <v>17</v>
      </c>
      <c r="B18" s="23">
        <v>42374</v>
      </c>
      <c r="C18" s="23" t="s">
        <v>93</v>
      </c>
      <c r="D18" s="5" t="s">
        <v>108</v>
      </c>
      <c r="E18" s="27" t="s">
        <v>29</v>
      </c>
      <c r="F18" s="27" t="s">
        <v>30</v>
      </c>
      <c r="G18" s="64" t="s">
        <v>138</v>
      </c>
      <c r="H18" s="44">
        <v>30</v>
      </c>
      <c r="I18" s="43"/>
      <c r="J18" s="43">
        <f>Tableau1[[#This Row],[Crédit]]+Tableau1[[#This Row],[Débit]]</f>
        <v>30</v>
      </c>
      <c r="K18" s="62" t="str">
        <f>IF(Tableau1[[#This Row],[Crédit]]&lt;&gt;"","Crédit",IF(Tableau1[[#This Row],[Débit]]&lt;&gt;"","Débit",""))</f>
        <v>Crédit</v>
      </c>
      <c r="L18" s="119">
        <f ca="1">IF(ISNUMBER(INDIRECT("L"&amp;ROW()-1)),INDIRECT("L"&amp;ROW()-1)+INDIRECT("H"&amp;ROW())-INDIRECT("I"&amp;ROW()),LOOKUP(9^9,Crédit_Débit!L:L))</f>
        <v>3423</v>
      </c>
      <c r="M18" s="24"/>
    </row>
    <row r="19" spans="1:13" x14ac:dyDescent="0.2">
      <c r="A19" s="5" t="s">
        <v>17</v>
      </c>
      <c r="B19" s="23">
        <v>42374</v>
      </c>
      <c r="C19" s="23" t="s">
        <v>93</v>
      </c>
      <c r="D19" s="5" t="s">
        <v>108</v>
      </c>
      <c r="E19" s="27" t="s">
        <v>29</v>
      </c>
      <c r="F19" s="27" t="s">
        <v>31</v>
      </c>
      <c r="G19" s="64"/>
      <c r="H19" s="45"/>
      <c r="I19" s="45">
        <v>-2</v>
      </c>
      <c r="J19" s="45">
        <f>Tableau1[[#This Row],[Crédit]]+Tableau1[[#This Row],[Débit]]</f>
        <v>-2</v>
      </c>
      <c r="K19" s="62" t="str">
        <f>IF(Tableau1[[#This Row],[Crédit]]&lt;&gt;"","Crédit",IF(Tableau1[[#This Row],[Débit]]&lt;&gt;"","Débit",""))</f>
        <v>Débit</v>
      </c>
      <c r="L19" s="119">
        <f ca="1">IF(ISNUMBER(INDIRECT("L"&amp;ROW()-1)),INDIRECT("L"&amp;ROW()-1)+INDIRECT("H"&amp;ROW())-INDIRECT("I"&amp;ROW()),LOOKUP(9^9,Crédit_Débit!L:L))</f>
        <v>3425</v>
      </c>
      <c r="M19" s="28"/>
    </row>
    <row r="20" spans="1:13" x14ac:dyDescent="0.2">
      <c r="A20" s="5" t="s">
        <v>101</v>
      </c>
      <c r="B20" s="23">
        <v>42375</v>
      </c>
      <c r="C20" s="23" t="s">
        <v>100</v>
      </c>
      <c r="D20" s="5" t="s">
        <v>109</v>
      </c>
      <c r="E20" s="27" t="s">
        <v>29</v>
      </c>
      <c r="F20" s="27" t="s">
        <v>30</v>
      </c>
      <c r="G20" s="64" t="s">
        <v>138</v>
      </c>
      <c r="H20" s="45"/>
      <c r="I20" s="45">
        <v>-6.9</v>
      </c>
      <c r="J20" s="45">
        <f>Tableau1[[#This Row],[Crédit]]+Tableau1[[#This Row],[Débit]]</f>
        <v>-6.9</v>
      </c>
      <c r="K20" s="62" t="str">
        <f>IF(Tableau1[[#This Row],[Crédit]]&lt;&gt;"","Crédit",IF(Tableau1[[#This Row],[Débit]]&lt;&gt;"","Débit",""))</f>
        <v>Débit</v>
      </c>
      <c r="L20" s="119">
        <f ca="1">IF(ISNUMBER(INDIRECT("L"&amp;ROW()-1)),INDIRECT("L"&amp;ROW()-1)+INDIRECT("H"&amp;ROW())-INDIRECT("I"&amp;ROW()),LOOKUP(9^9,Crédit_Débit!L:L))</f>
        <v>3431.9</v>
      </c>
      <c r="M20" s="28"/>
    </row>
    <row r="21" spans="1:13" x14ac:dyDescent="0.2">
      <c r="A21" s="5" t="s">
        <v>76</v>
      </c>
      <c r="B21" s="23">
        <v>42376</v>
      </c>
      <c r="C21" s="23" t="s">
        <v>96</v>
      </c>
      <c r="D21" s="5" t="s">
        <v>110</v>
      </c>
      <c r="E21" s="27" t="s">
        <v>111</v>
      </c>
      <c r="F21" s="27" t="s">
        <v>14</v>
      </c>
      <c r="G21" s="64"/>
      <c r="H21" s="45"/>
      <c r="I21" s="45">
        <v>-30</v>
      </c>
      <c r="J21" s="45">
        <f>Tableau1[[#This Row],[Crédit]]+Tableau1[[#This Row],[Débit]]</f>
        <v>-30</v>
      </c>
      <c r="K21" s="62" t="str">
        <f>IF(Tableau1[[#This Row],[Crédit]]&lt;&gt;"","Crédit",IF(Tableau1[[#This Row],[Débit]]&lt;&gt;"","Débit",""))</f>
        <v>Débit</v>
      </c>
      <c r="L21" s="119">
        <f ca="1">IF(ISNUMBER(INDIRECT("L"&amp;ROW()-1)),INDIRECT("L"&amp;ROW()-1)+INDIRECT("H"&amp;ROW())-INDIRECT("I"&amp;ROW()),LOOKUP(9^9,Crédit_Débit!L:L))</f>
        <v>3461.9</v>
      </c>
      <c r="M21" s="28"/>
    </row>
    <row r="22" spans="1:13" x14ac:dyDescent="0.2">
      <c r="A22" s="5" t="s">
        <v>14</v>
      </c>
      <c r="B22" s="23">
        <v>42377</v>
      </c>
      <c r="C22" s="23" t="s">
        <v>95</v>
      </c>
      <c r="D22" s="22" t="s">
        <v>110</v>
      </c>
      <c r="E22" s="22" t="s">
        <v>111</v>
      </c>
      <c r="F22" s="22" t="s">
        <v>76</v>
      </c>
      <c r="G22" s="64"/>
      <c r="H22" s="44">
        <v>30</v>
      </c>
      <c r="I22" s="44"/>
      <c r="J22" s="44">
        <f>Tableau1[[#This Row],[Crédit]]+Tableau1[[#This Row],[Débit]]</f>
        <v>30</v>
      </c>
      <c r="K22" s="62" t="str">
        <f>IF(Tableau1[[#This Row],[Crédit]]&lt;&gt;"","Crédit",IF(Tableau1[[#This Row],[Débit]]&lt;&gt;"","Débit",""))</f>
        <v>Crédit</v>
      </c>
      <c r="L22" s="119">
        <f ca="1">IF(ISNUMBER(INDIRECT("L"&amp;ROW()-1)),INDIRECT("L"&amp;ROW()-1)+INDIRECT("H"&amp;ROW())-INDIRECT("I"&amp;ROW()),LOOKUP(9^9,Crédit_Débit!L:L))</f>
        <v>3491.9</v>
      </c>
      <c r="M22" s="24"/>
    </row>
    <row r="23" spans="1:13" x14ac:dyDescent="0.2">
      <c r="A23" s="5" t="s">
        <v>13</v>
      </c>
      <c r="B23" s="23">
        <v>42401</v>
      </c>
      <c r="C23" s="23" t="s">
        <v>95</v>
      </c>
      <c r="D23" s="22" t="s">
        <v>128</v>
      </c>
      <c r="E23" s="22" t="s">
        <v>37</v>
      </c>
      <c r="F23" s="22" t="s">
        <v>38</v>
      </c>
      <c r="G23" s="64" t="s">
        <v>138</v>
      </c>
      <c r="H23" s="44">
        <v>1100</v>
      </c>
      <c r="I23" s="44"/>
      <c r="J23" s="44">
        <f>Tableau1[[#This Row],[Crédit]]+Tableau1[[#This Row],[Débit]]</f>
        <v>1100</v>
      </c>
      <c r="K23" s="62" t="str">
        <f>IF(Tableau1[[#This Row],[Crédit]]&lt;&gt;"","Crédit",IF(Tableau1[[#This Row],[Débit]]&lt;&gt;"","Débit",""))</f>
        <v>Crédit</v>
      </c>
      <c r="L23" s="119">
        <f ca="1">IF(ISNUMBER(INDIRECT("L"&amp;ROW()-1)),INDIRECT("L"&amp;ROW()-1)+INDIRECT("H"&amp;ROW())-INDIRECT("I"&amp;ROW()),LOOKUP(9^9,Crédit_Débit!L:L))</f>
        <v>4591.8999999999996</v>
      </c>
      <c r="M23" s="24"/>
    </row>
    <row r="24" spans="1:13" x14ac:dyDescent="0.2">
      <c r="A24" s="5" t="s">
        <v>16</v>
      </c>
      <c r="B24" s="23">
        <v>42401</v>
      </c>
      <c r="C24" s="23" t="s">
        <v>97</v>
      </c>
      <c r="D24" s="22" t="s">
        <v>128</v>
      </c>
      <c r="E24" s="22" t="s">
        <v>37</v>
      </c>
      <c r="F24" s="22" t="s">
        <v>4</v>
      </c>
      <c r="G24" s="64"/>
      <c r="H24" s="44"/>
      <c r="I24" s="44">
        <v>-30</v>
      </c>
      <c r="J24" s="44">
        <f>Tableau1[[#This Row],[Crédit]]+Tableau1[[#This Row],[Débit]]</f>
        <v>-30</v>
      </c>
      <c r="K24" s="62" t="str">
        <f>IF(Tableau1[[#This Row],[Crédit]]&lt;&gt;"","Crédit",IF(Tableau1[[#This Row],[Débit]]&lt;&gt;"","Débit",""))</f>
        <v>Débit</v>
      </c>
      <c r="L24" s="119">
        <f ca="1">IF(ISNUMBER(INDIRECT("L"&amp;ROW()-1)),INDIRECT("L"&amp;ROW()-1)+INDIRECT("H"&amp;ROW())-INDIRECT("I"&amp;ROW()),LOOKUP(9^9,Crédit_Débit!L:L))</f>
        <v>4621.8999999999996</v>
      </c>
      <c r="M24" s="24"/>
    </row>
    <row r="25" spans="1:13" x14ac:dyDescent="0.2">
      <c r="A25" s="5" t="s">
        <v>14</v>
      </c>
      <c r="B25" s="23">
        <v>42401</v>
      </c>
      <c r="C25" s="23" t="s">
        <v>95</v>
      </c>
      <c r="D25" s="22" t="s">
        <v>127</v>
      </c>
      <c r="E25" s="22" t="s">
        <v>37</v>
      </c>
      <c r="F25" s="22" t="s">
        <v>38</v>
      </c>
      <c r="G25" s="64"/>
      <c r="H25" s="44">
        <v>1000</v>
      </c>
      <c r="I25" s="44"/>
      <c r="J25" s="44">
        <f>Tableau1[[#This Row],[Crédit]]+Tableau1[[#This Row],[Débit]]</f>
        <v>1000</v>
      </c>
      <c r="K25" s="62" t="str">
        <f>IF(Tableau1[[#This Row],[Crédit]]&lt;&gt;"","Crédit",IF(Tableau1[[#This Row],[Débit]]&lt;&gt;"","Débit",""))</f>
        <v>Crédit</v>
      </c>
      <c r="L25" s="119">
        <f ca="1">IF(ISNUMBER(INDIRECT("L"&amp;ROW()-1)),INDIRECT("L"&amp;ROW()-1)+INDIRECT("H"&amp;ROW())-INDIRECT("I"&amp;ROW()),LOOKUP(9^9,Crédit_Débit!L:L))</f>
        <v>5621.9</v>
      </c>
      <c r="M25" s="24"/>
    </row>
    <row r="26" spans="1:13" x14ac:dyDescent="0.2">
      <c r="A26" s="5" t="s">
        <v>14</v>
      </c>
      <c r="B26" s="23">
        <v>42402</v>
      </c>
      <c r="C26" s="23" t="s">
        <v>94</v>
      </c>
      <c r="D26" s="22" t="s">
        <v>84</v>
      </c>
      <c r="E26" s="22" t="s">
        <v>7</v>
      </c>
      <c r="F26" s="22" t="s">
        <v>49</v>
      </c>
      <c r="G26" s="64"/>
      <c r="H26" s="44"/>
      <c r="I26" s="44">
        <v>-10</v>
      </c>
      <c r="J26" s="44">
        <f>Tableau1[[#This Row],[Crédit]]+Tableau1[[#This Row],[Débit]]</f>
        <v>-10</v>
      </c>
      <c r="K26" s="62" t="str">
        <f>IF(Tableau1[[#This Row],[Crédit]]&lt;&gt;"","Crédit",IF(Tableau1[[#This Row],[Débit]]&lt;&gt;"","Débit",""))</f>
        <v>Débit</v>
      </c>
      <c r="L26" s="119">
        <f ca="1">IF(ISNUMBER(INDIRECT("L"&amp;ROW()-1)),INDIRECT("L"&amp;ROW()-1)+INDIRECT("H"&amp;ROW())-INDIRECT("I"&amp;ROW()),LOOKUP(9^9,Crédit_Débit!L:L))</f>
        <v>5631.9</v>
      </c>
      <c r="M26" s="24"/>
    </row>
    <row r="27" spans="1:13" x14ac:dyDescent="0.2">
      <c r="A27" s="5" t="s">
        <v>16</v>
      </c>
      <c r="B27" s="23">
        <v>42403</v>
      </c>
      <c r="C27" s="23" t="s">
        <v>93</v>
      </c>
      <c r="D27" s="22" t="s">
        <v>122</v>
      </c>
      <c r="E27" s="22" t="s">
        <v>39</v>
      </c>
      <c r="F27" s="22" t="s">
        <v>43</v>
      </c>
      <c r="G27" s="64"/>
      <c r="H27" s="44"/>
      <c r="I27" s="44">
        <v>-25</v>
      </c>
      <c r="J27" s="44">
        <f>Tableau1[[#This Row],[Crédit]]+Tableau1[[#This Row],[Débit]]</f>
        <v>-25</v>
      </c>
      <c r="K27" s="62" t="str">
        <f>IF(Tableau1[[#This Row],[Crédit]]&lt;&gt;"","Crédit",IF(Tableau1[[#This Row],[Débit]]&lt;&gt;"","Débit",""))</f>
        <v>Débit</v>
      </c>
      <c r="L27" s="119">
        <f ca="1">IF(ISNUMBER(INDIRECT("L"&amp;ROW()-1)),INDIRECT("L"&amp;ROW()-1)+INDIRECT("H"&amp;ROW())-INDIRECT("I"&amp;ROW()),LOOKUP(9^9,Crédit_Débit!L:L))</f>
        <v>5656.9</v>
      </c>
      <c r="M27" s="24"/>
    </row>
    <row r="28" spans="1:13" x14ac:dyDescent="0.2">
      <c r="A28" s="5" t="s">
        <v>14</v>
      </c>
      <c r="B28" s="23">
        <v>42430</v>
      </c>
      <c r="C28" s="23" t="s">
        <v>95</v>
      </c>
      <c r="D28" s="22" t="s">
        <v>127</v>
      </c>
      <c r="E28" s="22" t="s">
        <v>37</v>
      </c>
      <c r="F28" s="22" t="s">
        <v>38</v>
      </c>
      <c r="G28" s="64"/>
      <c r="H28" s="44">
        <v>1000</v>
      </c>
      <c r="I28" s="44"/>
      <c r="J28" s="44">
        <f>Tableau1[[#This Row],[Crédit]]+Tableau1[[#This Row],[Débit]]</f>
        <v>1000</v>
      </c>
      <c r="K28" s="62" t="str">
        <f>IF(Tableau1[[#This Row],[Crédit]]&lt;&gt;"","Crédit",IF(Tableau1[[#This Row],[Débit]]&lt;&gt;"","Débit",""))</f>
        <v>Crédit</v>
      </c>
      <c r="L28" s="119">
        <f ca="1">IF(ISNUMBER(INDIRECT("L"&amp;ROW()-1)),INDIRECT("L"&amp;ROW()-1)+INDIRECT("H"&amp;ROW())-INDIRECT("I"&amp;ROW()),LOOKUP(9^9,Crédit_Débit!L:L))</f>
        <v>6656.9</v>
      </c>
      <c r="M28" s="24"/>
    </row>
    <row r="29" spans="1:13" x14ac:dyDescent="0.2">
      <c r="A29" s="5" t="s">
        <v>13</v>
      </c>
      <c r="B29" s="23">
        <v>42430</v>
      </c>
      <c r="C29" s="23" t="s">
        <v>95</v>
      </c>
      <c r="D29" s="22" t="s">
        <v>128</v>
      </c>
      <c r="E29" s="22" t="s">
        <v>37</v>
      </c>
      <c r="F29" s="22" t="s">
        <v>38</v>
      </c>
      <c r="G29" s="64" t="s">
        <v>138</v>
      </c>
      <c r="H29" s="44">
        <v>1100</v>
      </c>
      <c r="I29" s="44"/>
      <c r="J29" s="44">
        <f>Tableau1[[#This Row],[Crédit]]+Tableau1[[#This Row],[Débit]]</f>
        <v>1100</v>
      </c>
      <c r="K29" s="62" t="str">
        <f>IF(Tableau1[[#This Row],[Crédit]]&lt;&gt;"","Crédit",IF(Tableau1[[#This Row],[Débit]]&lt;&gt;"","Débit",""))</f>
        <v>Crédit</v>
      </c>
      <c r="L29" s="119">
        <f ca="1">IF(ISNUMBER(INDIRECT("L"&amp;ROW()-1)),INDIRECT("L"&amp;ROW()-1)+INDIRECT("H"&amp;ROW())-INDIRECT("I"&amp;ROW()),LOOKUP(9^9,Crédit_Débit!L:L))</f>
        <v>7756.9</v>
      </c>
      <c r="M29" s="24"/>
    </row>
    <row r="30" spans="1:13" x14ac:dyDescent="0.2">
      <c r="A30" s="5" t="s">
        <v>16</v>
      </c>
      <c r="B30" s="23">
        <v>42430</v>
      </c>
      <c r="C30" s="23" t="s">
        <v>97</v>
      </c>
      <c r="D30" s="22" t="s">
        <v>128</v>
      </c>
      <c r="E30" s="22" t="s">
        <v>37</v>
      </c>
      <c r="F30" s="22" t="s">
        <v>4</v>
      </c>
      <c r="G30" s="64" t="s">
        <v>138</v>
      </c>
      <c r="H30" s="44"/>
      <c r="I30" s="44">
        <v>-30</v>
      </c>
      <c r="J30" s="44">
        <f>Tableau1[[#This Row],[Crédit]]+Tableau1[[#This Row],[Débit]]</f>
        <v>-30</v>
      </c>
      <c r="K30" s="62" t="str">
        <f>IF(Tableau1[[#This Row],[Crédit]]&lt;&gt;"","Crédit",IF(Tableau1[[#This Row],[Débit]]&lt;&gt;"","Débit",""))</f>
        <v>Débit</v>
      </c>
      <c r="L30" s="119">
        <f ca="1">IF(ISNUMBER(INDIRECT("L"&amp;ROW()-1)),INDIRECT("L"&amp;ROW()-1)+INDIRECT("H"&amp;ROW())-INDIRECT("I"&amp;ROW()),LOOKUP(9^9,Crédit_Débit!L:L))</f>
        <v>7786.9</v>
      </c>
      <c r="M30" s="24"/>
    </row>
    <row r="31" spans="1:13" x14ac:dyDescent="0.2">
      <c r="A31" s="5" t="s">
        <v>17</v>
      </c>
      <c r="B31" s="23">
        <v>42439</v>
      </c>
      <c r="C31" s="23" t="s">
        <v>97</v>
      </c>
      <c r="D31" s="22" t="s">
        <v>40</v>
      </c>
      <c r="E31" s="22" t="s">
        <v>39</v>
      </c>
      <c r="F31" s="22" t="s">
        <v>40</v>
      </c>
      <c r="G31" s="64" t="s">
        <v>138</v>
      </c>
      <c r="H31" s="44"/>
      <c r="I31" s="44">
        <v>-50</v>
      </c>
      <c r="J31" s="44">
        <f>Tableau1[[#This Row],[Crédit]]+Tableau1[[#This Row],[Débit]]</f>
        <v>-50</v>
      </c>
      <c r="K31" s="62" t="str">
        <f>IF(Tableau1[[#This Row],[Crédit]]&lt;&gt;"","Crédit",IF(Tableau1[[#This Row],[Débit]]&lt;&gt;"","Débit",""))</f>
        <v>Débit</v>
      </c>
      <c r="L31" s="119">
        <f ca="1">IF(ISNUMBER(INDIRECT("L"&amp;ROW()-1)),INDIRECT("L"&amp;ROW()-1)+INDIRECT("H"&amp;ROW())-INDIRECT("I"&amp;ROW()),LOOKUP(9^9,Crédit_Débit!L:L))</f>
        <v>7836.9</v>
      </c>
      <c r="M31" s="24"/>
    </row>
    <row r="32" spans="1:13" x14ac:dyDescent="0.2">
      <c r="A32" s="5" t="s">
        <v>17</v>
      </c>
      <c r="B32" s="49">
        <v>42441</v>
      </c>
      <c r="C32" s="23" t="s">
        <v>97</v>
      </c>
      <c r="D32" s="22" t="s">
        <v>126</v>
      </c>
      <c r="E32" s="22" t="s">
        <v>39</v>
      </c>
      <c r="F32" s="22" t="s">
        <v>42</v>
      </c>
      <c r="G32" s="64"/>
      <c r="H32" s="44"/>
      <c r="I32" s="44">
        <v>-20</v>
      </c>
      <c r="J32" s="44">
        <f>Tableau1[[#This Row],[Crédit]]+Tableau1[[#This Row],[Débit]]</f>
        <v>-20</v>
      </c>
      <c r="K32" s="62" t="str">
        <f>IF(Tableau1[[#This Row],[Crédit]]&lt;&gt;"","Crédit",IF(Tableau1[[#This Row],[Débit]]&lt;&gt;"","Débit",""))</f>
        <v>Débit</v>
      </c>
      <c r="L32" s="119">
        <f ca="1">IF(ISNUMBER(INDIRECT("L"&amp;ROW()-1)),INDIRECT("L"&amp;ROW()-1)+INDIRECT("H"&amp;ROW())-INDIRECT("I"&amp;ROW()),LOOKUP(9^9,Crédit_Débit!L:L))</f>
        <v>7856.9</v>
      </c>
      <c r="M32" s="24"/>
    </row>
    <row r="33" spans="1:13" x14ac:dyDescent="0.2">
      <c r="A33" s="5" t="s">
        <v>14</v>
      </c>
      <c r="B33" s="23">
        <v>42461</v>
      </c>
      <c r="C33" s="23" t="s">
        <v>94</v>
      </c>
      <c r="D33" s="22">
        <v>111112</v>
      </c>
      <c r="E33" s="22" t="s">
        <v>37</v>
      </c>
      <c r="F33" s="22" t="s">
        <v>38</v>
      </c>
      <c r="G33" s="64"/>
      <c r="H33" s="44">
        <v>1000</v>
      </c>
      <c r="I33" s="44"/>
      <c r="J33" s="44">
        <f>Tableau1[[#This Row],[Crédit]]+Tableau1[[#This Row],[Débit]]</f>
        <v>1000</v>
      </c>
      <c r="K33" s="62" t="str">
        <f>IF(Tableau1[[#This Row],[Crédit]]&lt;&gt;"","Crédit",IF(Tableau1[[#This Row],[Débit]]&lt;&gt;"","Débit",""))</f>
        <v>Crédit</v>
      </c>
      <c r="L33" s="119">
        <f ca="1">IF(ISNUMBER(INDIRECT("L"&amp;ROW()-1)),INDIRECT("L"&amp;ROW()-1)+INDIRECT("H"&amp;ROW())-INDIRECT("I"&amp;ROW()),LOOKUP(9^9,Crédit_Débit!L:L))</f>
        <v>8856.9</v>
      </c>
      <c r="M33" s="24"/>
    </row>
    <row r="34" spans="1:13" x14ac:dyDescent="0.2">
      <c r="A34" s="5" t="s">
        <v>13</v>
      </c>
      <c r="B34" s="23">
        <v>42461</v>
      </c>
      <c r="C34" s="23" t="s">
        <v>94</v>
      </c>
      <c r="D34" s="22">
        <v>222223</v>
      </c>
      <c r="E34" s="22" t="s">
        <v>37</v>
      </c>
      <c r="F34" s="22" t="s">
        <v>38</v>
      </c>
      <c r="G34" s="64"/>
      <c r="H34" s="44">
        <v>1100</v>
      </c>
      <c r="I34" s="44"/>
      <c r="J34" s="44">
        <f>Tableau1[[#This Row],[Crédit]]+Tableau1[[#This Row],[Débit]]</f>
        <v>1100</v>
      </c>
      <c r="K34" s="62" t="str">
        <f>IF(Tableau1[[#This Row],[Crédit]]&lt;&gt;"","Crédit",IF(Tableau1[[#This Row],[Débit]]&lt;&gt;"","Débit",""))</f>
        <v>Crédit</v>
      </c>
      <c r="L34" s="119">
        <f ca="1">IF(ISNUMBER(INDIRECT("L"&amp;ROW()-1)),INDIRECT("L"&amp;ROW()-1)+INDIRECT("H"&amp;ROW())-INDIRECT("I"&amp;ROW()),LOOKUP(9^9,Crédit_Débit!L:L))</f>
        <v>9956.9</v>
      </c>
      <c r="M34" s="24"/>
    </row>
    <row r="35" spans="1:13" x14ac:dyDescent="0.2">
      <c r="A35" s="5" t="s">
        <v>16</v>
      </c>
      <c r="B35" s="23">
        <v>42461</v>
      </c>
      <c r="C35" s="23" t="s">
        <v>97</v>
      </c>
      <c r="D35" s="22" t="s">
        <v>128</v>
      </c>
      <c r="E35" s="22" t="s">
        <v>37</v>
      </c>
      <c r="F35" s="22" t="s">
        <v>4</v>
      </c>
      <c r="G35" s="64"/>
      <c r="H35" s="44"/>
      <c r="I35" s="44">
        <v>-30</v>
      </c>
      <c r="J35" s="44">
        <f>Tableau1[[#This Row],[Crédit]]+Tableau1[[#This Row],[Débit]]</f>
        <v>-30</v>
      </c>
      <c r="K35" s="62" t="str">
        <f>IF(Tableau1[[#This Row],[Crédit]]&lt;&gt;"","Crédit",IF(Tableau1[[#This Row],[Débit]]&lt;&gt;"","Débit",""))</f>
        <v>Débit</v>
      </c>
      <c r="L35" s="119">
        <f ca="1">IF(ISNUMBER(INDIRECT("L"&amp;ROW()-1)),INDIRECT("L"&amp;ROW()-1)+INDIRECT("H"&amp;ROW())-INDIRECT("I"&amp;ROW()),LOOKUP(9^9,Crédit_Débit!L:L))</f>
        <v>9986.9</v>
      </c>
      <c r="M35" s="24"/>
    </row>
    <row r="36" spans="1:13" x14ac:dyDescent="0.2">
      <c r="A36" s="5" t="s">
        <v>17</v>
      </c>
      <c r="B36" s="23">
        <v>42478</v>
      </c>
      <c r="C36" s="23" t="s">
        <v>99</v>
      </c>
      <c r="D36" s="22" t="s">
        <v>136</v>
      </c>
      <c r="E36" s="22" t="s">
        <v>7</v>
      </c>
      <c r="F36" s="22" t="s">
        <v>55</v>
      </c>
      <c r="G36" s="64"/>
      <c r="H36" s="44"/>
      <c r="I36" s="44">
        <v>-25</v>
      </c>
      <c r="J36" s="44">
        <f>Tableau1[[#This Row],[Crédit]]+Tableau1[[#This Row],[Débit]]</f>
        <v>-25</v>
      </c>
      <c r="K36" s="62" t="str">
        <f>IF(Tableau1[[#This Row],[Crédit]]&lt;&gt;"","Crédit",IF(Tableau1[[#This Row],[Débit]]&lt;&gt;"","Débit",""))</f>
        <v>Débit</v>
      </c>
      <c r="L36" s="119">
        <f ca="1">IF(ISNUMBER(INDIRECT("L"&amp;ROW()-1)),INDIRECT("L"&amp;ROW()-1)+INDIRECT("H"&amp;ROW())-INDIRECT("I"&amp;ROW()),LOOKUP(9^9,Crédit_Débit!L:L))</f>
        <v>10011.9</v>
      </c>
      <c r="M36" s="24"/>
    </row>
    <row r="37" spans="1:13" x14ac:dyDescent="0.2">
      <c r="A37" s="5" t="s">
        <v>16</v>
      </c>
      <c r="B37" s="23">
        <v>42510</v>
      </c>
      <c r="C37" s="23" t="s">
        <v>97</v>
      </c>
      <c r="D37" s="22" t="s">
        <v>128</v>
      </c>
      <c r="E37" s="22" t="s">
        <v>37</v>
      </c>
      <c r="F37" s="22" t="s">
        <v>38</v>
      </c>
      <c r="G37" s="64"/>
      <c r="H37" s="44">
        <v>1100</v>
      </c>
      <c r="I37" s="44"/>
      <c r="J37" s="44">
        <f>Tableau1[[#This Row],[Crédit]]+Tableau1[[#This Row],[Débit]]</f>
        <v>1100</v>
      </c>
      <c r="K37" s="62" t="str">
        <f>IF(Tableau1[[#This Row],[Crédit]]&lt;&gt;"","Crédit",IF(Tableau1[[#This Row],[Débit]]&lt;&gt;"","Débit",""))</f>
        <v>Crédit</v>
      </c>
      <c r="L37" s="119">
        <f ca="1">IF(ISNUMBER(INDIRECT("L"&amp;ROW()-1)),INDIRECT("L"&amp;ROW()-1)+INDIRECT("H"&amp;ROW())-INDIRECT("I"&amp;ROW()),LOOKUP(9^9,Crédit_Débit!L:L))</f>
        <v>11111.9</v>
      </c>
      <c r="M37" s="24"/>
    </row>
    <row r="38" spans="1:13" x14ac:dyDescent="0.2">
      <c r="A38" s="5" t="s">
        <v>14</v>
      </c>
      <c r="B38" s="23">
        <v>42511</v>
      </c>
      <c r="C38" s="23" t="s">
        <v>94</v>
      </c>
      <c r="D38" s="22">
        <v>111113</v>
      </c>
      <c r="E38" s="70" t="s">
        <v>111</v>
      </c>
      <c r="F38" s="22" t="s">
        <v>76</v>
      </c>
      <c r="G38" s="64"/>
      <c r="H38" s="44"/>
      <c r="I38" s="44">
        <v>-50</v>
      </c>
      <c r="J38" s="44">
        <f>Tableau1[[#This Row],[Crédit]]+Tableau1[[#This Row],[Débit]]</f>
        <v>-50</v>
      </c>
      <c r="K38" s="62" t="str">
        <f>IF(Tableau1[[#This Row],[Crédit]]&lt;&gt;"","Crédit",IF(Tableau1[[#This Row],[Débit]]&lt;&gt;"","Débit",""))</f>
        <v>Débit</v>
      </c>
      <c r="L38" s="119">
        <f ca="1">IF(ISNUMBER(INDIRECT("L"&amp;ROW()-1)),INDIRECT("L"&amp;ROW()-1)+INDIRECT("H"&amp;ROW())-INDIRECT("I"&amp;ROW()),LOOKUP(9^9,Crédit_Débit!L:L))</f>
        <v>11161.9</v>
      </c>
      <c r="M38" s="24"/>
    </row>
    <row r="39" spans="1:13" x14ac:dyDescent="0.2">
      <c r="A39" s="5" t="s">
        <v>76</v>
      </c>
      <c r="B39" s="23">
        <v>42511</v>
      </c>
      <c r="C39" s="23" t="s">
        <v>95</v>
      </c>
      <c r="D39" s="22" t="s">
        <v>137</v>
      </c>
      <c r="E39" s="70" t="s">
        <v>111</v>
      </c>
      <c r="F39" s="22" t="s">
        <v>16</v>
      </c>
      <c r="G39" s="64"/>
      <c r="H39" s="44">
        <v>50</v>
      </c>
      <c r="I39" s="44"/>
      <c r="J39" s="44">
        <f>Tableau1[[#This Row],[Crédit]]+Tableau1[[#This Row],[Débit]]</f>
        <v>50</v>
      </c>
      <c r="K39" s="62" t="s">
        <v>11</v>
      </c>
      <c r="L39" s="119">
        <f ca="1">IF(ISNUMBER(INDIRECT("L"&amp;ROW()-1)),INDIRECT("L"&amp;ROW()-1)+INDIRECT("H"&amp;ROW())-INDIRECT("I"&amp;ROW()),LOOKUP(9^9,Crédit_Débit!L:L))</f>
        <v>11211.9</v>
      </c>
      <c r="M39" s="24"/>
    </row>
    <row r="40" spans="1:13" x14ac:dyDescent="0.2">
      <c r="A40" s="5" t="s">
        <v>14</v>
      </c>
      <c r="B40" s="23">
        <v>42522</v>
      </c>
      <c r="C40" s="23" t="s">
        <v>97</v>
      </c>
      <c r="D40" s="22" t="s">
        <v>144</v>
      </c>
      <c r="E40" s="70" t="s">
        <v>111</v>
      </c>
      <c r="F40" s="22" t="s">
        <v>17</v>
      </c>
      <c r="G40" s="64" t="s">
        <v>138</v>
      </c>
      <c r="H40" s="44"/>
      <c r="I40" s="44">
        <v>-160</v>
      </c>
      <c r="J40" s="44">
        <f>Tableau1[[#This Row],[Crédit]]+Tableau1[[#This Row],[Débit]]</f>
        <v>-160</v>
      </c>
      <c r="K40" s="62" t="str">
        <f>IF(Tableau1[[#This Row],[Crédit]]&lt;&gt;"","Crédit",IF(Tableau1[[#This Row],[Débit]]&lt;&gt;"","Débit",""))</f>
        <v>Débit</v>
      </c>
      <c r="L40" s="119">
        <f ca="1">IF(ISNUMBER(INDIRECT("L"&amp;ROW()-1)),INDIRECT("L"&amp;ROW()-1)+INDIRECT("H"&amp;ROW())-INDIRECT("I"&amp;ROW()),LOOKUP(9^9,Crédit_Débit!L:L))</f>
        <v>11371.9</v>
      </c>
      <c r="M40" s="24"/>
    </row>
    <row r="41" spans="1:13" x14ac:dyDescent="0.2">
      <c r="A41" s="5" t="s">
        <v>17</v>
      </c>
      <c r="B41" s="23">
        <v>42522</v>
      </c>
      <c r="C41" s="23" t="s">
        <v>97</v>
      </c>
      <c r="D41" s="22" t="s">
        <v>144</v>
      </c>
      <c r="E41" s="70" t="s">
        <v>111</v>
      </c>
      <c r="F41" s="22" t="s">
        <v>14</v>
      </c>
      <c r="G41" s="64" t="s">
        <v>138</v>
      </c>
      <c r="H41" s="44">
        <v>160</v>
      </c>
      <c r="I41" s="44"/>
      <c r="J41" s="44">
        <f>Tableau1[[#This Row],[Crédit]]+Tableau1[[#This Row],[Débit]]</f>
        <v>160</v>
      </c>
      <c r="K41" s="62" t="s">
        <v>11</v>
      </c>
      <c r="L41" s="119">
        <f ca="1">IF(ISNUMBER(INDIRECT("L"&amp;ROW()-1)),INDIRECT("L"&amp;ROW()-1)+INDIRECT("H"&amp;ROW())-INDIRECT("I"&amp;ROW()),LOOKUP(9^9,Crédit_Débit!L:L))</f>
        <v>11531.9</v>
      </c>
      <c r="M41" s="24"/>
    </row>
    <row r="42" spans="1:13" x14ac:dyDescent="0.2">
      <c r="A42" s="5" t="s">
        <v>14</v>
      </c>
      <c r="B42" s="23">
        <v>42523</v>
      </c>
      <c r="C42" s="23" t="s">
        <v>96</v>
      </c>
      <c r="D42" s="22" t="s">
        <v>87</v>
      </c>
      <c r="E42" s="22" t="s">
        <v>22</v>
      </c>
      <c r="F42" s="22" t="s">
        <v>23</v>
      </c>
      <c r="G42" s="64"/>
      <c r="H42" s="44"/>
      <c r="I42" s="44">
        <v>-260</v>
      </c>
      <c r="J42" s="44">
        <f>Tableau1[[#This Row],[Crédit]]+Tableau1[[#This Row],[Débit]]</f>
        <v>-260</v>
      </c>
      <c r="K42" s="62" t="str">
        <f>IF(Tableau1[[#This Row],[Crédit]]&lt;&gt;"","Crédit",IF(Tableau1[[#This Row],[Débit]]&lt;&gt;"","Débit",""))</f>
        <v>Débit</v>
      </c>
      <c r="L42" s="119">
        <f ca="1">IF(ISNUMBER(INDIRECT("L"&amp;ROW()-1)),INDIRECT("L"&amp;ROW()-1)+INDIRECT("H"&amp;ROW())-INDIRECT("I"&amp;ROW()),LOOKUP(9^9,Crédit_Débit!L:L))</f>
        <v>11791.9</v>
      </c>
      <c r="M42" s="24"/>
    </row>
    <row r="43" spans="1:13" x14ac:dyDescent="0.2">
      <c r="A43" s="5" t="s">
        <v>14</v>
      </c>
      <c r="B43" s="23">
        <v>42524</v>
      </c>
      <c r="C43" s="23" t="s">
        <v>95</v>
      </c>
      <c r="D43" s="22" t="s">
        <v>145</v>
      </c>
      <c r="E43" s="22" t="s">
        <v>22</v>
      </c>
      <c r="F43" s="22" t="s">
        <v>6</v>
      </c>
      <c r="G43" s="64"/>
      <c r="H43" s="44">
        <v>360</v>
      </c>
      <c r="I43" s="44"/>
      <c r="J43" s="44">
        <f>Tableau1[[#This Row],[Crédit]]+Tableau1[[#This Row],[Débit]]</f>
        <v>360</v>
      </c>
      <c r="K43" s="62" t="str">
        <f>IF(Tableau1[[#This Row],[Crédit]]&lt;&gt;"","Crédit",IF(Tableau1[[#This Row],[Débit]]&lt;&gt;"","Débit",""))</f>
        <v>Crédit</v>
      </c>
      <c r="L43" s="119">
        <f ca="1">IF(ISNUMBER(INDIRECT("L"&amp;ROW()-1)),INDIRECT("L"&amp;ROW()-1)+INDIRECT("H"&amp;ROW())-INDIRECT("I"&amp;ROW()),LOOKUP(9^9,Crédit_Débit!L:L))</f>
        <v>12151.9</v>
      </c>
      <c r="M43" s="24"/>
    </row>
    <row r="44" spans="1:13" x14ac:dyDescent="0.2">
      <c r="A44" s="5" t="s">
        <v>14</v>
      </c>
      <c r="B44" s="23">
        <v>42525</v>
      </c>
      <c r="C44" s="23" t="s">
        <v>96</v>
      </c>
      <c r="D44" s="22" t="s">
        <v>127</v>
      </c>
      <c r="E44" s="22" t="s">
        <v>37</v>
      </c>
      <c r="F44" s="22" t="s">
        <v>38</v>
      </c>
      <c r="G44" s="64"/>
      <c r="H44" s="44">
        <v>460</v>
      </c>
      <c r="I44" s="44"/>
      <c r="J44" s="44">
        <f>Tableau1[[#This Row],[Crédit]]+Tableau1[[#This Row],[Débit]]</f>
        <v>460</v>
      </c>
      <c r="K44" s="62" t="str">
        <f>IF(Tableau1[[#This Row],[Crédit]]&lt;&gt;"","Crédit",IF(Tableau1[[#This Row],[Débit]]&lt;&gt;"","Débit",""))</f>
        <v>Crédit</v>
      </c>
      <c r="L44" s="119">
        <f ca="1">IF(ISNUMBER(INDIRECT("L"&amp;ROW()-1)),INDIRECT("L"&amp;ROW()-1)+INDIRECT("H"&amp;ROW())-INDIRECT("I"&amp;ROW()),LOOKUP(9^9,Crédit_Débit!L:L))</f>
        <v>12611.9</v>
      </c>
      <c r="M44" s="24"/>
    </row>
    <row r="45" spans="1:13" x14ac:dyDescent="0.2">
      <c r="A45" s="5" t="s">
        <v>13</v>
      </c>
      <c r="B45" s="23">
        <v>42526</v>
      </c>
      <c r="C45" s="23" t="s">
        <v>96</v>
      </c>
      <c r="D45" s="5" t="s">
        <v>151</v>
      </c>
      <c r="E45" s="22" t="s">
        <v>111</v>
      </c>
      <c r="F45" s="27" t="s">
        <v>14</v>
      </c>
      <c r="G45" s="68"/>
      <c r="H45" s="45"/>
      <c r="I45" s="45">
        <v>-200</v>
      </c>
      <c r="J45" s="45">
        <f>Tableau1[[#This Row],[Crédit]]+Tableau1[[#This Row],[Débit]]</f>
        <v>-200</v>
      </c>
      <c r="K45" s="62" t="str">
        <f>IF(Tableau1[[#This Row],[Crédit]]&lt;&gt;"","Crédit",IF(Tableau1[[#This Row],[Débit]]&lt;&gt;"","Débit",""))</f>
        <v>Débit</v>
      </c>
      <c r="L45" s="119">
        <f ca="1">IF(ISNUMBER(INDIRECT("L"&amp;ROW()-1)),INDIRECT("L"&amp;ROW()-1)+INDIRECT("H"&amp;ROW())-INDIRECT("I"&amp;ROW()),LOOKUP(9^9,Crédit_Débit!L:L))</f>
        <v>12811.9</v>
      </c>
      <c r="M45" s="28"/>
    </row>
    <row r="46" spans="1:13" x14ac:dyDescent="0.2">
      <c r="A46" s="5" t="s">
        <v>14</v>
      </c>
      <c r="B46" s="23">
        <v>42526</v>
      </c>
      <c r="C46" s="23" t="s">
        <v>96</v>
      </c>
      <c r="D46" s="5" t="s">
        <v>151</v>
      </c>
      <c r="E46" s="69" t="s">
        <v>111</v>
      </c>
      <c r="F46" s="27" t="s">
        <v>13</v>
      </c>
      <c r="G46" s="68"/>
      <c r="H46" s="45">
        <v>200</v>
      </c>
      <c r="I46" s="45"/>
      <c r="J46" s="45">
        <f>Tableau1[[#This Row],[Crédit]]+Tableau1[[#This Row],[Débit]]</f>
        <v>200</v>
      </c>
      <c r="K46" s="62" t="s">
        <v>11</v>
      </c>
      <c r="L46" s="119">
        <f ca="1">IF(ISNUMBER(INDIRECT("L"&amp;ROW()-1)),INDIRECT("L"&amp;ROW()-1)+INDIRECT("H"&amp;ROW())-INDIRECT("I"&amp;ROW()),LOOKUP(9^9,Crédit_Débit!L:L))</f>
        <v>13011.9</v>
      </c>
      <c r="M46" s="28"/>
    </row>
    <row r="47" spans="1:13" x14ac:dyDescent="0.2">
      <c r="A47" s="5" t="s">
        <v>13</v>
      </c>
      <c r="B47" s="23">
        <v>42526</v>
      </c>
      <c r="C47" s="23" t="s">
        <v>96</v>
      </c>
      <c r="D47" s="5" t="s">
        <v>151</v>
      </c>
      <c r="E47" s="70" t="s">
        <v>111</v>
      </c>
      <c r="F47" s="27" t="s">
        <v>14</v>
      </c>
      <c r="G47" s="68"/>
      <c r="H47" s="45"/>
      <c r="I47" s="45">
        <v>-102</v>
      </c>
      <c r="J47" s="45">
        <f>Tableau1[[#This Row],[Crédit]]+Tableau1[[#This Row],[Débit]]</f>
        <v>-102</v>
      </c>
      <c r="K47" s="62" t="s">
        <v>12</v>
      </c>
      <c r="L47" s="119">
        <f ca="1">IF(ISNUMBER(INDIRECT("L"&amp;ROW()-1)),INDIRECT("L"&amp;ROW()-1)+INDIRECT("H"&amp;ROW())-INDIRECT("I"&amp;ROW()),LOOKUP(9^9,Crédit_Débit!L:L))</f>
        <v>13113.9</v>
      </c>
      <c r="M47" s="28"/>
    </row>
    <row r="48" spans="1:13" x14ac:dyDescent="0.2">
      <c r="A48" s="5" t="s">
        <v>14</v>
      </c>
      <c r="B48" s="23">
        <v>42526</v>
      </c>
      <c r="C48" s="23" t="s">
        <v>96</v>
      </c>
      <c r="D48" s="5" t="s">
        <v>151</v>
      </c>
      <c r="E48" s="70" t="s">
        <v>111</v>
      </c>
      <c r="F48" s="27" t="s">
        <v>13</v>
      </c>
      <c r="G48" s="68"/>
      <c r="H48" s="45">
        <v>102</v>
      </c>
      <c r="I48" s="45"/>
      <c r="J48" s="45">
        <f>Tableau1[[#This Row],[Crédit]]+Tableau1[[#This Row],[Débit]]</f>
        <v>102</v>
      </c>
      <c r="K48" s="62" t="s">
        <v>11</v>
      </c>
      <c r="L48" s="119">
        <f ca="1">IF(ISNUMBER(INDIRECT("L"&amp;ROW()-1)),INDIRECT("L"&amp;ROW()-1)+INDIRECT("H"&amp;ROW())-INDIRECT("I"&amp;ROW()),LOOKUP(9^9,Crédit_Débit!L:L))</f>
        <v>13215.9</v>
      </c>
      <c r="M48" s="28"/>
    </row>
    <row r="49" spans="1:13" x14ac:dyDescent="0.2">
      <c r="A49" s="5" t="s">
        <v>14</v>
      </c>
      <c r="B49" s="23">
        <v>42527</v>
      </c>
      <c r="C49" s="23" t="s">
        <v>96</v>
      </c>
      <c r="D49" s="5" t="s">
        <v>100</v>
      </c>
      <c r="E49" s="75" t="s">
        <v>111</v>
      </c>
      <c r="F49" s="27" t="s">
        <v>102</v>
      </c>
      <c r="G49" s="74"/>
      <c r="H49" s="45"/>
      <c r="I49" s="45">
        <v>-40</v>
      </c>
      <c r="J49" s="45">
        <f>Tableau1[[#This Row],[Crédit]]+Tableau1[[#This Row],[Débit]]</f>
        <v>-40</v>
      </c>
      <c r="K49" s="62" t="str">
        <f>IF(Tableau1[[#This Row],[Crédit]]&lt;&gt;"","Crédit",IF(Tableau1[[#This Row],[Débit]]&lt;&gt;"","Débit",""))</f>
        <v>Débit</v>
      </c>
      <c r="L49" s="119">
        <f ca="1">IF(ISNUMBER(INDIRECT("L"&amp;ROW()-1)),INDIRECT("L"&amp;ROW()-1)+INDIRECT("H"&amp;ROW())-INDIRECT("I"&amp;ROW()),LOOKUP(9^9,Crédit_Débit!L:L))</f>
        <v>13255.9</v>
      </c>
      <c r="M49" s="28"/>
    </row>
    <row r="50" spans="1:13" x14ac:dyDescent="0.2">
      <c r="A50" s="5" t="s">
        <v>102</v>
      </c>
      <c r="B50" s="23">
        <v>42527</v>
      </c>
      <c r="C50" s="23" t="s">
        <v>95</v>
      </c>
      <c r="D50" s="5" t="s">
        <v>100</v>
      </c>
      <c r="E50" s="75" t="s">
        <v>111</v>
      </c>
      <c r="F50" s="27" t="s">
        <v>14</v>
      </c>
      <c r="G50" s="74"/>
      <c r="H50" s="45">
        <v>40</v>
      </c>
      <c r="I50" s="45"/>
      <c r="J50" s="45">
        <f>Tableau1[[#This Row],[Crédit]]+Tableau1[[#This Row],[Débit]]</f>
        <v>40</v>
      </c>
      <c r="K50" s="62" t="s">
        <v>11</v>
      </c>
      <c r="L50" s="119">
        <f ca="1">IF(ISNUMBER(INDIRECT("L"&amp;ROW()-1)),INDIRECT("L"&amp;ROW()-1)+INDIRECT("H"&amp;ROW())-INDIRECT("I"&amp;ROW()),LOOKUP(9^9,Crédit_Débit!L:L))</f>
        <v>13295.9</v>
      </c>
      <c r="M50" s="28"/>
    </row>
    <row r="51" spans="1:13" x14ac:dyDescent="0.2">
      <c r="A51" s="5" t="s">
        <v>13</v>
      </c>
      <c r="B51" s="23">
        <v>42162</v>
      </c>
      <c r="C51" s="23" t="s">
        <v>96</v>
      </c>
      <c r="D51" s="22" t="s">
        <v>167</v>
      </c>
      <c r="E51" s="70" t="s">
        <v>111</v>
      </c>
      <c r="F51" s="22" t="s">
        <v>101</v>
      </c>
      <c r="G51" s="64"/>
      <c r="H51" s="44"/>
      <c r="I51" s="44">
        <v>-30</v>
      </c>
      <c r="J51" s="44">
        <f>Tableau1[[#This Row],[Crédit]]+Tableau1[[#This Row],[Débit]]</f>
        <v>-30</v>
      </c>
      <c r="K51" s="62" t="str">
        <f>IF(Tableau1[[#This Row],[Crédit]]&lt;&gt;"","Crédit",IF(Tableau1[[#This Row],[Débit]]&lt;&gt;"","Débit",""))</f>
        <v>Débit</v>
      </c>
      <c r="L51" s="119">
        <f ca="1">IF(ISNUMBER(INDIRECT("L"&amp;ROW()-1)),INDIRECT("L"&amp;ROW()-1)+INDIRECT("H"&amp;ROW())-INDIRECT("I"&amp;ROW()),LOOKUP(9^9,Crédit_Débit!L:L))</f>
        <v>13325.9</v>
      </c>
      <c r="M51" s="24"/>
    </row>
    <row r="52" spans="1:13" x14ac:dyDescent="0.2">
      <c r="A52" s="5" t="s">
        <v>101</v>
      </c>
      <c r="B52" s="23">
        <v>42162</v>
      </c>
      <c r="C52" s="23" t="s">
        <v>95</v>
      </c>
      <c r="D52" s="22" t="s">
        <v>167</v>
      </c>
      <c r="E52" s="70" t="s">
        <v>111</v>
      </c>
      <c r="F52" s="22" t="s">
        <v>13</v>
      </c>
      <c r="G52" s="64"/>
      <c r="H52" s="44">
        <v>30</v>
      </c>
      <c r="I52" s="44"/>
      <c r="J52" s="44">
        <f>Tableau1[[#This Row],[Crédit]]+Tableau1[[#This Row],[Débit]]</f>
        <v>30</v>
      </c>
      <c r="K52" s="62" t="s">
        <v>11</v>
      </c>
      <c r="L52" s="119">
        <f ca="1">IF(ISNUMBER(INDIRECT("L"&amp;ROW()-1)),INDIRECT("L"&amp;ROW()-1)+INDIRECT("H"&amp;ROW())-INDIRECT("I"&amp;ROW()),LOOKUP(9^9,Crédit_Débit!L:L))</f>
        <v>13355.9</v>
      </c>
      <c r="M52" s="24"/>
    </row>
    <row r="53" spans="1:13" x14ac:dyDescent="0.2">
      <c r="A53" s="22" t="s">
        <v>14</v>
      </c>
      <c r="B53" s="23">
        <v>42163</v>
      </c>
      <c r="C53" s="23" t="s">
        <v>94</v>
      </c>
      <c r="D53" s="22">
        <v>111114</v>
      </c>
      <c r="E53" s="22" t="s">
        <v>7</v>
      </c>
      <c r="F53" s="22" t="s">
        <v>51</v>
      </c>
      <c r="G53" s="64"/>
      <c r="H53" s="44"/>
      <c r="I53" s="44">
        <v>-10</v>
      </c>
      <c r="J53" s="44">
        <f>Tableau1[[#This Row],[Crédit]]+Tableau1[[#This Row],[Débit]]</f>
        <v>-10</v>
      </c>
      <c r="K53" s="62" t="str">
        <f>IF(Tableau1[[#This Row],[Crédit]]&lt;&gt;"","Crédit",IF(Tableau1[[#This Row],[Débit]]&lt;&gt;"","Débit",""))</f>
        <v>Débit</v>
      </c>
      <c r="L53" s="119">
        <f ca="1">IF(ISNUMBER(INDIRECT("L"&amp;ROW()-1)),INDIRECT("L"&amp;ROW()-1)+INDIRECT("H"&amp;ROW())-INDIRECT("I"&amp;ROW()),LOOKUP(9^9,Crédit_Débit!L:L))</f>
        <v>13365.9</v>
      </c>
      <c r="M53" s="24"/>
    </row>
    <row r="54" spans="1:13" x14ac:dyDescent="0.2">
      <c r="A54" s="5" t="s">
        <v>14</v>
      </c>
      <c r="B54" s="23">
        <v>42530</v>
      </c>
      <c r="C54" s="23" t="s">
        <v>94</v>
      </c>
      <c r="D54" s="5">
        <v>111115</v>
      </c>
      <c r="E54" s="75" t="s">
        <v>111</v>
      </c>
      <c r="F54" s="27" t="s">
        <v>76</v>
      </c>
      <c r="G54" s="74"/>
      <c r="H54" s="45"/>
      <c r="I54" s="45">
        <v>-15</v>
      </c>
      <c r="J54" s="45">
        <f>Tableau1[[#This Row],[Crédit]]+Tableau1[[#This Row],[Débit]]</f>
        <v>-15</v>
      </c>
      <c r="K54" s="62" t="str">
        <f>IF(Tableau1[[#This Row],[Crédit]]&lt;&gt;"","Crédit",IF(Tableau1[[#This Row],[Débit]]&lt;&gt;"","Débit",""))</f>
        <v>Débit</v>
      </c>
      <c r="L54" s="119">
        <f ca="1">IF(ISNUMBER(INDIRECT("L"&amp;ROW()-1)),INDIRECT("L"&amp;ROW()-1)+INDIRECT("H"&amp;ROW())-INDIRECT("I"&amp;ROW()),LOOKUP(9^9,Crédit_Débit!L:L))</f>
        <v>13380.9</v>
      </c>
      <c r="M54" s="28"/>
    </row>
    <row r="55" spans="1:13" x14ac:dyDescent="0.2">
      <c r="A55" s="5" t="s">
        <v>76</v>
      </c>
      <c r="B55" s="23">
        <v>42530</v>
      </c>
      <c r="C55" s="23" t="s">
        <v>95</v>
      </c>
      <c r="D55" s="5" t="s">
        <v>170</v>
      </c>
      <c r="E55" s="75" t="s">
        <v>111</v>
      </c>
      <c r="F55" s="27" t="s">
        <v>14</v>
      </c>
      <c r="G55" s="74"/>
      <c r="H55" s="45">
        <v>15</v>
      </c>
      <c r="I55" s="45"/>
      <c r="J55" s="45">
        <f>Tableau1[[#This Row],[Crédit]]+Tableau1[[#This Row],[Débit]]</f>
        <v>15</v>
      </c>
      <c r="K55" s="62" t="s">
        <v>11</v>
      </c>
      <c r="L55" s="119">
        <f ca="1">IF(ISNUMBER(INDIRECT("L"&amp;ROW()-1)),INDIRECT("L"&amp;ROW()-1)+INDIRECT("H"&amp;ROW())-INDIRECT("I"&amp;ROW()),LOOKUP(9^9,Crédit_Débit!L:L))</f>
        <v>13395.9</v>
      </c>
      <c r="M55" s="28"/>
    </row>
    <row r="56" spans="1:13" x14ac:dyDescent="0.2">
      <c r="A56" s="5" t="s">
        <v>13</v>
      </c>
      <c r="B56" s="23">
        <v>42531</v>
      </c>
      <c r="C56" s="23" t="s">
        <v>99</v>
      </c>
      <c r="D56" s="5" t="s">
        <v>170</v>
      </c>
      <c r="E56" s="70" t="s">
        <v>111</v>
      </c>
      <c r="F56" s="22" t="s">
        <v>16</v>
      </c>
      <c r="G56" s="64"/>
      <c r="H56" s="44"/>
      <c r="I56" s="44">
        <v>-20</v>
      </c>
      <c r="J56" s="44">
        <f>Tableau1[[#This Row],[Crédit]]+Tableau1[[#This Row],[Débit]]</f>
        <v>-20</v>
      </c>
      <c r="K56" s="62" t="str">
        <f>IF(Tableau1[[#This Row],[Crédit]]&lt;&gt;"","Crédit",IF(Tableau1[[#This Row],[Débit]]&lt;&gt;"","Débit",""))</f>
        <v>Débit</v>
      </c>
      <c r="L56" s="119">
        <f ca="1">IF(ISNUMBER(INDIRECT("L"&amp;ROW()-1)),INDIRECT("L"&amp;ROW()-1)+INDIRECT("H"&amp;ROW())-INDIRECT("I"&amp;ROW()),LOOKUP(9^9,Crédit_Débit!L:L))</f>
        <v>13415.9</v>
      </c>
      <c r="M56" s="24"/>
    </row>
    <row r="57" spans="1:13" x14ac:dyDescent="0.2">
      <c r="A57" s="5" t="s">
        <v>16</v>
      </c>
      <c r="B57" s="23">
        <v>42531</v>
      </c>
      <c r="C57" s="23" t="s">
        <v>95</v>
      </c>
      <c r="D57" s="5" t="s">
        <v>170</v>
      </c>
      <c r="E57" s="70" t="s">
        <v>111</v>
      </c>
      <c r="F57" s="22" t="s">
        <v>13</v>
      </c>
      <c r="G57" s="64"/>
      <c r="H57" s="44">
        <v>20</v>
      </c>
      <c r="I57" s="44"/>
      <c r="J57" s="44">
        <f>Tableau1[[#This Row],[Crédit]]+Tableau1[[#This Row],[Débit]]</f>
        <v>20</v>
      </c>
      <c r="K57" s="62" t="s">
        <v>11</v>
      </c>
      <c r="L57" s="119">
        <f ca="1">IF(ISNUMBER(INDIRECT("L"&amp;ROW()-1)),INDIRECT("L"&amp;ROW()-1)+INDIRECT("H"&amp;ROW())-INDIRECT("I"&amp;ROW()),LOOKUP(9^9,Crédit_Débit!L:L))</f>
        <v>13435.9</v>
      </c>
      <c r="M57" s="24"/>
    </row>
    <row r="58" spans="1:13" x14ac:dyDescent="0.2">
      <c r="A58" s="5" t="s">
        <v>14</v>
      </c>
      <c r="B58" s="23">
        <v>42166</v>
      </c>
      <c r="C58" s="23" t="s">
        <v>94</v>
      </c>
      <c r="D58" s="22" t="s">
        <v>205</v>
      </c>
      <c r="E58" s="22" t="s">
        <v>6</v>
      </c>
      <c r="F58" s="22" t="s">
        <v>21</v>
      </c>
      <c r="G58" s="64"/>
      <c r="H58" s="44"/>
      <c r="I58" s="44">
        <v>-60</v>
      </c>
      <c r="J58" s="44">
        <f>Tableau1[[#This Row],[Crédit]]+Tableau1[[#This Row],[Débit]]</f>
        <v>-60</v>
      </c>
      <c r="K58" s="62" t="str">
        <f>IF(Tableau1[[#This Row],[Crédit]]&lt;&gt;"","Crédit",IF(Tableau1[[#This Row],[Débit]]&lt;&gt;"","Débit",""))</f>
        <v>Débit</v>
      </c>
      <c r="L58" s="119">
        <f ca="1">IF(ISNUMBER(INDIRECT("L"&amp;ROW()-1)),INDIRECT("L"&amp;ROW()-1)+INDIRECT("H"&amp;ROW())-INDIRECT("I"&amp;ROW()),LOOKUP(9^9,Crédit_Débit!L:L))</f>
        <v>13495.9</v>
      </c>
      <c r="M58" s="24"/>
    </row>
    <row r="59" spans="1:13" x14ac:dyDescent="0.2">
      <c r="A59" s="5" t="s">
        <v>102</v>
      </c>
      <c r="B59" s="23">
        <v>42167</v>
      </c>
      <c r="C59" s="23" t="s">
        <v>96</v>
      </c>
      <c r="D59" s="22" t="s">
        <v>192</v>
      </c>
      <c r="E59" s="70" t="s">
        <v>111</v>
      </c>
      <c r="F59" s="22" t="s">
        <v>14</v>
      </c>
      <c r="G59" s="64"/>
      <c r="H59" s="44"/>
      <c r="I59" s="44">
        <v>-10</v>
      </c>
      <c r="J59" s="44">
        <f>Tableau1[[#This Row],[Crédit]]+Tableau1[[#This Row],[Débit]]</f>
        <v>-10</v>
      </c>
      <c r="K59" s="62" t="str">
        <f>IF(Tableau1[[#This Row],[Crédit]]&lt;&gt;"","Crédit",IF(Tableau1[[#This Row],[Débit]]&lt;&gt;"","Débit",""))</f>
        <v>Débit</v>
      </c>
      <c r="L59" s="121"/>
      <c r="M59" s="24"/>
    </row>
    <row r="60" spans="1:13" x14ac:dyDescent="0.2">
      <c r="A60" s="5" t="s">
        <v>14</v>
      </c>
      <c r="B60" s="23">
        <v>42167</v>
      </c>
      <c r="C60" s="23" t="s">
        <v>95</v>
      </c>
      <c r="D60" s="22" t="s">
        <v>192</v>
      </c>
      <c r="E60" s="70" t="s">
        <v>111</v>
      </c>
      <c r="F60" s="22" t="s">
        <v>102</v>
      </c>
      <c r="G60" s="64"/>
      <c r="H60" s="44">
        <v>10</v>
      </c>
      <c r="I60" s="44"/>
      <c r="J60" s="44">
        <f>Tableau1[[#This Row],[Crédit]]+Tableau1[[#This Row],[Débit]]</f>
        <v>10</v>
      </c>
      <c r="K60" s="62" t="s">
        <v>11</v>
      </c>
      <c r="L60" s="121"/>
      <c r="M60" s="24"/>
    </row>
  </sheetData>
  <sortState ref="A2:N771">
    <sortCondition ref="B1"/>
  </sortState>
  <dataConsolidate/>
  <mergeCells count="1">
    <mergeCell ref="A1:M1"/>
  </mergeCells>
  <conditionalFormatting sqref="I2:J16 A11:I13 A13:J13 A23:I25 A28:M30 A35:M35 I19:J38 A40:M44 K2:M38 L12:L59 A2:H38 M50:M1048576 I50:J1048576 A50:G1048576">
    <cfRule type="expression" dxfId="131" priority="51">
      <formula>AND(MONTH($B2)=MONTH(TODAY()),YEAR($B2)=YEAR(TODAY()))</formula>
    </cfRule>
  </conditionalFormatting>
  <conditionalFormatting sqref="I14:J14">
    <cfRule type="expression" dxfId="130" priority="46">
      <formula>AND(MONTH($B2)=MONTH(TODAY()),YEAR($B2)=YEAR(TODAY()))</formula>
    </cfRule>
  </conditionalFormatting>
  <conditionalFormatting sqref="I3:J1048576">
    <cfRule type="cellIs" dxfId="129" priority="45" operator="lessThan">
      <formula>0</formula>
    </cfRule>
  </conditionalFormatting>
  <conditionalFormatting sqref="A45:M45">
    <cfRule type="expression" dxfId="128" priority="21">
      <formula>AND(MONTH($B45)=MONTH(TODAY()),YEAR($B45)=YEAR(TODAY()))</formula>
    </cfRule>
  </conditionalFormatting>
  <conditionalFormatting sqref="A46:M47">
    <cfRule type="expression" dxfId="127" priority="19">
      <formula>AND(MONTH($B46)=MONTH(TODAY()),YEAR($B46)=YEAR(TODAY()))</formula>
    </cfRule>
  </conditionalFormatting>
  <conditionalFormatting sqref="A48:M49">
    <cfRule type="expression" dxfId="126" priority="17">
      <formula>AND(MONTH($B48)=MONTH(TODAY()),YEAR($B48)=YEAR(TODAY()))</formula>
    </cfRule>
  </conditionalFormatting>
  <conditionalFormatting sqref="A39:M39">
    <cfRule type="expression" dxfId="125" priority="9">
      <formula>AND(MONTH($B39)=MONTH(TODAY()),YEAR($B39)=YEAR(TODAY()))</formula>
    </cfRule>
  </conditionalFormatting>
  <conditionalFormatting sqref="A47:M47">
    <cfRule type="expression" dxfId="124" priority="3">
      <formula>AND(MONTH($B47)=MONTH(TODAY()),YEAR($B47)=YEAR(TODAY()))</formula>
    </cfRule>
  </conditionalFormatting>
  <conditionalFormatting sqref="M49 I49:J49 A49:G49">
    <cfRule type="expression" dxfId="123" priority="2">
      <formula>AND(MONTH($B49)=MONTH(TODAY()),YEAR($B49)=YEAR(TODAY()))</formula>
    </cfRule>
  </conditionalFormatting>
  <conditionalFormatting sqref="A38:M38">
    <cfRule type="expression" dxfId="122" priority="1">
      <formula>AND(MONTH($B38)=MONTH(TODAY()),YEAR($B38)=YEAR(TODAY()))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X27"/>
  <sheetViews>
    <sheetView topLeftCell="B1" workbookViewId="0">
      <selection activeCell="F2" sqref="F2"/>
    </sheetView>
  </sheetViews>
  <sheetFormatPr baseColWidth="10" defaultRowHeight="12.75" x14ac:dyDescent="0.2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 x14ac:dyDescent="0.2">
      <c r="A1" s="8" t="s">
        <v>1</v>
      </c>
      <c r="B1" s="13" t="s">
        <v>18</v>
      </c>
      <c r="C1" s="15" t="s">
        <v>19</v>
      </c>
    </row>
    <row r="2" spans="1:50" x14ac:dyDescent="0.2">
      <c r="A2" s="11" t="s">
        <v>78</v>
      </c>
      <c r="B2" s="29" t="s">
        <v>111</v>
      </c>
      <c r="C2" s="160" t="str">
        <f t="shared" ref="C2:O2" ca="1" si="0">INDIRECT("Système!A" &amp; COLUMN(C2)-1)</f>
        <v>YYY - Compte Courant</v>
      </c>
      <c r="D2" s="160" t="str">
        <f t="shared" ca="1" si="0"/>
        <v>YYY - Livret Epargne</v>
      </c>
      <c r="E2" s="160" t="str">
        <f t="shared" ca="1" si="0"/>
        <v>YYY - Monnaie</v>
      </c>
      <c r="F2" s="160" t="str">
        <f t="shared" ca="1" si="0"/>
        <v>XXX - Compte Courant</v>
      </c>
      <c r="G2" s="160" t="str">
        <f t="shared" ca="1" si="0"/>
        <v>XXX - Livret caisse d'Epargne</v>
      </c>
      <c r="H2" s="160" t="str">
        <f t="shared" ca="1" si="0"/>
        <v>XXX - Livret Compte courant</v>
      </c>
      <c r="I2" s="160" t="str">
        <f t="shared" ca="1" si="0"/>
        <v>XXX - Monnaie</v>
      </c>
      <c r="J2" s="160" t="str">
        <f t="shared" ca="1" si="0"/>
        <v>XYX - Compte Joint</v>
      </c>
      <c r="K2" s="160">
        <f t="shared" ca="1" si="0"/>
        <v>0</v>
      </c>
      <c r="L2" s="160">
        <f t="shared" ca="1" si="0"/>
        <v>0</v>
      </c>
      <c r="M2" s="160">
        <f t="shared" ca="1" si="0"/>
        <v>0</v>
      </c>
      <c r="N2" s="160">
        <f t="shared" ca="1" si="0"/>
        <v>0</v>
      </c>
      <c r="O2" s="160">
        <f t="shared" ca="1" si="0"/>
        <v>0</v>
      </c>
    </row>
    <row r="3" spans="1:50" x14ac:dyDescent="0.2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 x14ac:dyDescent="0.2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x14ac:dyDescent="0.2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x14ac:dyDescent="0.2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x14ac:dyDescent="0.2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x14ac:dyDescent="0.2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x14ac:dyDescent="0.2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x14ac:dyDescent="0.2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x14ac:dyDescent="0.2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x14ac:dyDescent="0.2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x14ac:dyDescent="0.2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 x14ac:dyDescent="0.2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 x14ac:dyDescent="0.2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 x14ac:dyDescent="0.2">
      <c r="A16" s="11" t="s">
        <v>90</v>
      </c>
    </row>
    <row r="17" spans="1:6" s="6" customFormat="1" ht="11.25" x14ac:dyDescent="0.2">
      <c r="A17" s="11" t="s">
        <v>110</v>
      </c>
    </row>
    <row r="18" spans="1:6" s="6" customFormat="1" ht="11.25" x14ac:dyDescent="0.2">
      <c r="A18" s="11" t="s">
        <v>5</v>
      </c>
    </row>
    <row r="19" spans="1:6" s="6" customFormat="1" ht="11.25" x14ac:dyDescent="0.2">
      <c r="A19" s="12" t="s">
        <v>91</v>
      </c>
    </row>
    <row r="20" spans="1:6" s="6" customFormat="1" x14ac:dyDescent="0.2">
      <c r="C20"/>
      <c r="D20"/>
      <c r="E20"/>
      <c r="F20"/>
    </row>
    <row r="21" spans="1:6" s="6" customFormat="1" x14ac:dyDescent="0.2">
      <c r="C21"/>
      <c r="D21"/>
      <c r="E21"/>
      <c r="F21"/>
    </row>
    <row r="22" spans="1:6" s="6" customFormat="1" x14ac:dyDescent="0.2">
      <c r="C22"/>
      <c r="D22"/>
      <c r="E22"/>
      <c r="F22"/>
    </row>
    <row r="23" spans="1:6" s="6" customFormat="1" ht="11.25" x14ac:dyDescent="0.2"/>
    <row r="24" spans="1:6" s="6" customFormat="1" ht="11.25" x14ac:dyDescent="0.2"/>
    <row r="25" spans="1:6" s="6" customFormat="1" ht="11.25" x14ac:dyDescent="0.2"/>
    <row r="26" spans="1:6" s="6" customFormat="1" ht="11.25" x14ac:dyDescent="0.2"/>
    <row r="27" spans="1:6" s="6" customFormat="1" ht="11.25" x14ac:dyDescent="0.2">
      <c r="A27" s="10"/>
    </row>
  </sheetData>
  <conditionalFormatting sqref="A2:A1048576">
    <cfRule type="expression" dxfId="93" priority="6">
      <formula>A2&lt;&gt;""</formula>
    </cfRule>
  </conditionalFormatting>
  <conditionalFormatting sqref="B2:B1048576">
    <cfRule type="expression" dxfId="92" priority="5">
      <formula>B2&lt;&gt;""</formula>
    </cfRule>
  </conditionalFormatting>
  <conditionalFormatting sqref="H3:H21 C3:G16 G17:G22 C23:H1048576 I3:XFD1048576 J2:XFD2">
    <cfRule type="expression" dxfId="14" priority="4">
      <formula>C2&lt;&gt;""</formula>
    </cfRule>
  </conditionalFormatting>
  <conditionalFormatting sqref="C17:F22">
    <cfRule type="expression" dxfId="13" priority="2">
      <formula>C17&lt;&gt;""</formula>
    </cfRule>
  </conditionalFormatting>
  <conditionalFormatting sqref="C2:I2">
    <cfRule type="expression" dxfId="6" priority="1">
      <formula>C2&lt;&gt;""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A2" sqref="A2"/>
    </sheetView>
  </sheetViews>
  <sheetFormatPr baseColWidth="10" defaultRowHeight="12.75" x14ac:dyDescent="0.2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 x14ac:dyDescent="0.2">
      <c r="A1" s="71" t="s">
        <v>2</v>
      </c>
      <c r="B1" s="83" t="s">
        <v>169</v>
      </c>
      <c r="C1" s="134" t="s">
        <v>123</v>
      </c>
      <c r="D1" s="134"/>
      <c r="E1" s="72" t="s">
        <v>92</v>
      </c>
      <c r="F1" s="73" t="s">
        <v>152</v>
      </c>
      <c r="G1" s="73" t="s">
        <v>17</v>
      </c>
    </row>
    <row r="2" spans="1:7" x14ac:dyDescent="0.2">
      <c r="A2" s="57" t="s">
        <v>14</v>
      </c>
      <c r="B2" s="132" t="s">
        <v>204</v>
      </c>
      <c r="C2" s="55" t="s">
        <v>104</v>
      </c>
      <c r="D2" s="56" t="s">
        <v>143</v>
      </c>
      <c r="E2" s="16" t="s">
        <v>172</v>
      </c>
      <c r="F2" s="135" t="s">
        <v>153</v>
      </c>
      <c r="G2" s="136" t="s">
        <v>202</v>
      </c>
    </row>
    <row r="3" spans="1:7" x14ac:dyDescent="0.2">
      <c r="A3" s="57" t="s">
        <v>76</v>
      </c>
      <c r="B3" s="132" t="s">
        <v>168</v>
      </c>
      <c r="C3" s="55" t="s">
        <v>105</v>
      </c>
      <c r="D3" s="56" t="s">
        <v>143</v>
      </c>
      <c r="E3" s="16" t="s">
        <v>94</v>
      </c>
      <c r="F3" s="135"/>
      <c r="G3" s="137"/>
    </row>
    <row r="4" spans="1:7" x14ac:dyDescent="0.2">
      <c r="A4" s="58" t="s">
        <v>102</v>
      </c>
      <c r="B4" s="132" t="s">
        <v>168</v>
      </c>
      <c r="C4" s="55" t="s">
        <v>112</v>
      </c>
      <c r="D4" s="56" t="s">
        <v>143</v>
      </c>
      <c r="E4" s="16" t="s">
        <v>95</v>
      </c>
      <c r="F4" s="86" t="s">
        <v>171</v>
      </c>
      <c r="G4" s="84">
        <f ca="1">TODAY()</f>
        <v>42304</v>
      </c>
    </row>
    <row r="5" spans="1:7" x14ac:dyDescent="0.2">
      <c r="A5" s="57" t="s">
        <v>13</v>
      </c>
      <c r="B5" s="132" t="s">
        <v>203</v>
      </c>
      <c r="C5" s="55" t="s">
        <v>113</v>
      </c>
      <c r="D5" s="56" t="s">
        <v>143</v>
      </c>
      <c r="E5" s="16" t="s">
        <v>96</v>
      </c>
    </row>
    <row r="6" spans="1:7" x14ac:dyDescent="0.2">
      <c r="A6" s="58" t="s">
        <v>15</v>
      </c>
      <c r="B6" s="132" t="s">
        <v>168</v>
      </c>
      <c r="C6" s="55" t="s">
        <v>114</v>
      </c>
      <c r="D6" s="56" t="s">
        <v>143</v>
      </c>
      <c r="E6" s="16" t="s">
        <v>97</v>
      </c>
    </row>
    <row r="7" spans="1:7" x14ac:dyDescent="0.2">
      <c r="A7" s="57" t="s">
        <v>16</v>
      </c>
      <c r="B7" s="132" t="s">
        <v>168</v>
      </c>
      <c r="C7" s="55" t="s">
        <v>115</v>
      </c>
      <c r="D7" s="56" t="s">
        <v>143</v>
      </c>
      <c r="E7" s="16" t="s">
        <v>98</v>
      </c>
    </row>
    <row r="8" spans="1:7" x14ac:dyDescent="0.2">
      <c r="A8" s="58" t="s">
        <v>101</v>
      </c>
      <c r="B8" s="132" t="s">
        <v>168</v>
      </c>
      <c r="C8" s="55" t="s">
        <v>116</v>
      </c>
      <c r="D8" s="56" t="s">
        <v>154</v>
      </c>
      <c r="E8" s="9" t="s">
        <v>99</v>
      </c>
      <c r="G8" s="117"/>
    </row>
    <row r="9" spans="1:7" x14ac:dyDescent="0.2">
      <c r="A9" s="58" t="s">
        <v>17</v>
      </c>
      <c r="B9" s="132" t="s">
        <v>201</v>
      </c>
      <c r="C9" s="55" t="s">
        <v>117</v>
      </c>
      <c r="D9" s="56" t="s">
        <v>154</v>
      </c>
      <c r="E9" s="9" t="s">
        <v>100</v>
      </c>
    </row>
    <row r="10" spans="1:7" x14ac:dyDescent="0.2">
      <c r="A10" s="6"/>
      <c r="B10" s="6"/>
      <c r="C10" s="55" t="s">
        <v>118</v>
      </c>
      <c r="D10" s="56" t="s">
        <v>154</v>
      </c>
      <c r="E10" s="6"/>
    </row>
    <row r="11" spans="1:7" x14ac:dyDescent="0.2">
      <c r="A11" s="6"/>
      <c r="B11" s="6"/>
      <c r="C11" s="55" t="s">
        <v>119</v>
      </c>
      <c r="D11" s="56" t="s">
        <v>154</v>
      </c>
      <c r="E11" s="6"/>
    </row>
    <row r="12" spans="1:7" x14ac:dyDescent="0.2">
      <c r="A12" s="6"/>
      <c r="B12" s="6"/>
      <c r="C12" s="55" t="s">
        <v>120</v>
      </c>
      <c r="D12" s="56" t="s">
        <v>154</v>
      </c>
      <c r="E12" s="5"/>
    </row>
    <row r="13" spans="1:7" x14ac:dyDescent="0.2">
      <c r="A13" s="6"/>
      <c r="B13" s="6"/>
      <c r="C13" s="55" t="s">
        <v>121</v>
      </c>
      <c r="D13" s="56" t="s">
        <v>154</v>
      </c>
    </row>
    <row r="14" spans="1:7" x14ac:dyDescent="0.2">
      <c r="A14" s="6"/>
      <c r="B14" s="6"/>
      <c r="E14" s="6"/>
    </row>
    <row r="15" spans="1:7" x14ac:dyDescent="0.2">
      <c r="A15" s="6"/>
      <c r="B15" s="6"/>
      <c r="E15" s="6"/>
    </row>
    <row r="16" spans="1:7" x14ac:dyDescent="0.2">
      <c r="A16" s="6"/>
      <c r="B16" s="6"/>
      <c r="E16" s="6"/>
    </row>
    <row r="17" spans="1:5" x14ac:dyDescent="0.2">
      <c r="A17" s="6"/>
      <c r="B17" s="6"/>
      <c r="E17" s="6"/>
    </row>
    <row r="18" spans="1:5" x14ac:dyDescent="0.2">
      <c r="A18" s="6"/>
      <c r="B18" s="6"/>
      <c r="E18" s="6"/>
    </row>
    <row r="19" spans="1:5" x14ac:dyDescent="0.2">
      <c r="A19" s="6"/>
      <c r="B19" s="6"/>
      <c r="E19" s="6"/>
    </row>
    <row r="20" spans="1:5" x14ac:dyDescent="0.2">
      <c r="A20" s="6"/>
      <c r="B20" s="6"/>
      <c r="E20" s="6"/>
    </row>
    <row r="21" spans="1:5" x14ac:dyDescent="0.2">
      <c r="E21" s="6"/>
    </row>
    <row r="22" spans="1:5" x14ac:dyDescent="0.2">
      <c r="E22" s="6"/>
    </row>
    <row r="23" spans="1:5" x14ac:dyDescent="0.2">
      <c r="E23" s="6"/>
    </row>
    <row r="24" spans="1:5" x14ac:dyDescent="0.2">
      <c r="E24" s="6"/>
    </row>
    <row r="25" spans="1:5" x14ac:dyDescent="0.2">
      <c r="E25" s="6"/>
    </row>
  </sheetData>
  <mergeCells count="3">
    <mergeCell ref="C1:D1"/>
    <mergeCell ref="F2:F3"/>
    <mergeCell ref="G2:G3"/>
  </mergeCells>
  <conditionalFormatting sqref="E2:E1048576 A2:B1048576">
    <cfRule type="expression" dxfId="91" priority="8">
      <formula>A2&lt;&gt;""</formula>
    </cfRule>
  </conditionalFormatting>
  <conditionalFormatting sqref="E2:E1048576">
    <cfRule type="expression" dxfId="90" priority="7">
      <formula>E2&lt;&gt;""</formula>
    </cfRule>
  </conditionalFormatting>
  <conditionalFormatting sqref="A2:B8 B3:B9">
    <cfRule type="expression" dxfId="89" priority="5">
      <formula>AND(MONTH($C2)=MONTH(TODAY()),YEAR($C2)=YEAR(TODAY()))</formula>
    </cfRule>
  </conditionalFormatting>
  <conditionalFormatting sqref="A9:B9">
    <cfRule type="expression" dxfId="88" priority="3">
      <formula>AND(MONTH($C9)=MONTH(TODAY()),YEAR($C9)=YEAR(TODAY()))</formula>
    </cfRule>
  </conditionalFormatting>
  <conditionalFormatting sqref="D2:D13">
    <cfRule type="cellIs" dxfId="87" priority="1" operator="equal">
      <formula>"Non Inscrite"</formula>
    </cfRule>
    <cfRule type="cellIs" dxfId="86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dvAspect="DVASPECT_ICON" shapeId="3076" r:id="rId4">
          <objectPr defaultSize="0" r:id="rId5">
            <anchor moveWithCells="1">
              <from>
                <xdr:col>5</xdr:col>
                <xdr:colOff>561975</xdr:colOff>
                <xdr:row>8</xdr:row>
                <xdr:rowOff>152400</xdr:rowOff>
              </from>
              <to>
                <xdr:col>5</xdr:col>
                <xdr:colOff>1476375</xdr:colOff>
                <xdr:row>13</xdr:row>
                <xdr:rowOff>28575</xdr:rowOff>
              </to>
            </anchor>
          </objectPr>
        </oleObject>
      </mc:Choice>
      <mc:Fallback>
        <oleObject progId="Word.Document.8" dvAspect="DVASPECT_ICON" shapeId="3076" r:id="rId4"/>
      </mc:Fallback>
    </mc:AlternateContent>
    <mc:AlternateContent xmlns:mc="http://schemas.openxmlformats.org/markup-compatibility/2006">
      <mc:Choice Requires="x14">
        <oleObject progId="Word.Document.8" dvAspect="DVASPECT_ICON" shapeId="3079" r:id="rId6">
          <objectPr defaultSize="0" r:id="rId7">
            <anchor moveWithCells="1">
              <from>
                <xdr:col>5</xdr:col>
                <xdr:colOff>1771650</xdr:colOff>
                <xdr:row>9</xdr:row>
                <xdr:rowOff>0</xdr:rowOff>
              </from>
              <to>
                <xdr:col>6</xdr:col>
                <xdr:colOff>723900</xdr:colOff>
                <xdr:row>13</xdr:row>
                <xdr:rowOff>38100</xdr:rowOff>
              </to>
            </anchor>
          </objectPr>
        </oleObject>
      </mc:Choice>
      <mc:Fallback>
        <oleObject progId="Word.Document.8" dvAspect="DVASPECT_ICON" shapeId="3079" r:id="rId6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8"/>
  <sheetViews>
    <sheetView zoomScale="85" zoomScaleNormal="85" workbookViewId="0">
      <selection activeCell="H9" sqref="H9"/>
    </sheetView>
  </sheetViews>
  <sheetFormatPr baseColWidth="10" defaultRowHeight="12.75" x14ac:dyDescent="0.2"/>
  <cols>
    <col min="1" max="1" width="20.140625" bestFit="1" customWidth="1"/>
    <col min="2" max="2" width="7.42578125" style="41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6"/>
  </cols>
  <sheetData>
    <row r="1" spans="1:19" ht="25.5" x14ac:dyDescent="0.2">
      <c r="A1" s="35" t="s">
        <v>2</v>
      </c>
      <c r="B1" s="36" t="s">
        <v>0</v>
      </c>
      <c r="C1" s="36" t="s">
        <v>92</v>
      </c>
      <c r="D1" s="35" t="s">
        <v>1</v>
      </c>
      <c r="E1" s="35" t="s">
        <v>18</v>
      </c>
      <c r="F1" s="35" t="s">
        <v>19</v>
      </c>
      <c r="G1" s="35" t="s">
        <v>103</v>
      </c>
      <c r="H1" s="18" t="s">
        <v>104</v>
      </c>
      <c r="I1" s="30" t="s">
        <v>105</v>
      </c>
      <c r="J1" s="38" t="s">
        <v>112</v>
      </c>
      <c r="K1" s="38" t="s">
        <v>113</v>
      </c>
      <c r="L1" s="38" t="s">
        <v>114</v>
      </c>
      <c r="M1" s="38" t="s">
        <v>115</v>
      </c>
      <c r="N1" s="38" t="s">
        <v>116</v>
      </c>
      <c r="O1" s="38" t="s">
        <v>117</v>
      </c>
      <c r="P1" s="38" t="s">
        <v>118</v>
      </c>
      <c r="Q1" s="38" t="s">
        <v>119</v>
      </c>
      <c r="R1" s="38" t="s">
        <v>120</v>
      </c>
      <c r="S1" s="38" t="s">
        <v>121</v>
      </c>
    </row>
    <row r="2" spans="1:19" x14ac:dyDescent="0.2">
      <c r="A2" s="19" t="s">
        <v>14</v>
      </c>
      <c r="B2" s="40">
        <v>1</v>
      </c>
      <c r="C2" s="20" t="s">
        <v>97</v>
      </c>
      <c r="D2" s="21" t="s">
        <v>144</v>
      </c>
      <c r="E2" s="21" t="s">
        <v>111</v>
      </c>
      <c r="F2" s="22" t="s">
        <v>17</v>
      </c>
      <c r="G2" s="21" t="s">
        <v>12</v>
      </c>
      <c r="H2" s="51">
        <v>-110</v>
      </c>
      <c r="I2" s="51">
        <v>-120</v>
      </c>
      <c r="J2" s="51">
        <v>-130</v>
      </c>
      <c r="K2" s="51">
        <v>-140</v>
      </c>
      <c r="L2" s="51">
        <v>-150</v>
      </c>
      <c r="M2" s="51">
        <v>-160</v>
      </c>
      <c r="N2" s="51">
        <v>-170</v>
      </c>
      <c r="O2" s="51">
        <v>-180</v>
      </c>
      <c r="P2" s="51">
        <v>-190</v>
      </c>
      <c r="Q2" s="51">
        <v>-200</v>
      </c>
      <c r="R2" s="50"/>
      <c r="S2" s="50"/>
    </row>
    <row r="3" spans="1:19" x14ac:dyDescent="0.2">
      <c r="A3" s="19" t="s">
        <v>13</v>
      </c>
      <c r="B3" s="40">
        <v>1</v>
      </c>
      <c r="C3" s="20" t="s">
        <v>97</v>
      </c>
      <c r="D3" s="21" t="s">
        <v>144</v>
      </c>
      <c r="E3" s="21" t="s">
        <v>111</v>
      </c>
      <c r="F3" s="21" t="s">
        <v>17</v>
      </c>
      <c r="G3" s="33" t="s">
        <v>12</v>
      </c>
      <c r="H3" s="51">
        <v>-111</v>
      </c>
      <c r="I3" s="52">
        <v>-121</v>
      </c>
      <c r="J3" s="85">
        <v>-131</v>
      </c>
      <c r="K3" s="85">
        <v>-141</v>
      </c>
      <c r="L3" s="85">
        <v>-151</v>
      </c>
      <c r="M3" s="85">
        <v>-161</v>
      </c>
      <c r="N3" s="85">
        <v>-171</v>
      </c>
      <c r="O3" s="85">
        <v>-181</v>
      </c>
      <c r="P3" s="85">
        <v>-191</v>
      </c>
      <c r="Q3" s="85">
        <v>-201</v>
      </c>
      <c r="R3" s="50"/>
      <c r="S3" s="50"/>
    </row>
    <row r="4" spans="1:19" x14ac:dyDescent="0.2">
      <c r="A4" s="19" t="s">
        <v>14</v>
      </c>
      <c r="B4" s="40">
        <v>2</v>
      </c>
      <c r="C4" s="20" t="s">
        <v>96</v>
      </c>
      <c r="D4" s="21" t="s">
        <v>87</v>
      </c>
      <c r="E4" s="21" t="s">
        <v>22</v>
      </c>
      <c r="F4" s="22" t="s">
        <v>23</v>
      </c>
      <c r="G4" s="21" t="s">
        <v>12</v>
      </c>
      <c r="H4" s="51">
        <v>-210</v>
      </c>
      <c r="I4" s="51">
        <v>-220</v>
      </c>
      <c r="J4" s="51">
        <v>-230</v>
      </c>
      <c r="K4" s="51">
        <v>-240</v>
      </c>
      <c r="L4" s="51">
        <v>-250</v>
      </c>
      <c r="M4" s="51">
        <v>-260</v>
      </c>
      <c r="N4" s="51">
        <v>-270</v>
      </c>
      <c r="O4" s="51">
        <v>-280</v>
      </c>
      <c r="P4" s="51">
        <v>-290</v>
      </c>
      <c r="Q4" s="51">
        <v>-300</v>
      </c>
      <c r="R4" s="50"/>
      <c r="S4" s="50"/>
    </row>
    <row r="5" spans="1:19" x14ac:dyDescent="0.2">
      <c r="A5" s="19" t="s">
        <v>14</v>
      </c>
      <c r="B5" s="40">
        <v>3</v>
      </c>
      <c r="C5" s="20" t="s">
        <v>95</v>
      </c>
      <c r="D5" s="21" t="s">
        <v>145</v>
      </c>
      <c r="E5" s="21" t="s">
        <v>22</v>
      </c>
      <c r="F5" s="22" t="s">
        <v>6</v>
      </c>
      <c r="G5" s="21" t="s">
        <v>11</v>
      </c>
      <c r="H5" s="51">
        <v>310</v>
      </c>
      <c r="I5" s="52">
        <v>320</v>
      </c>
      <c r="J5" s="51">
        <v>330</v>
      </c>
      <c r="K5" s="52">
        <v>340</v>
      </c>
      <c r="L5" s="51">
        <v>350</v>
      </c>
      <c r="M5" s="52">
        <v>360</v>
      </c>
      <c r="N5" s="51">
        <v>370</v>
      </c>
      <c r="O5" s="52">
        <v>380</v>
      </c>
      <c r="P5" s="51">
        <v>390</v>
      </c>
      <c r="Q5" s="52">
        <v>400</v>
      </c>
      <c r="R5" s="50"/>
      <c r="S5" s="50"/>
    </row>
    <row r="6" spans="1:19" x14ac:dyDescent="0.2">
      <c r="A6" s="31" t="s">
        <v>14</v>
      </c>
      <c r="B6" s="40">
        <v>4</v>
      </c>
      <c r="C6" s="32" t="s">
        <v>96</v>
      </c>
      <c r="D6" s="33" t="s">
        <v>127</v>
      </c>
      <c r="E6" s="33" t="s">
        <v>37</v>
      </c>
      <c r="F6" s="22" t="s">
        <v>38</v>
      </c>
      <c r="G6" s="33" t="s">
        <v>11</v>
      </c>
      <c r="H6" s="53">
        <v>410</v>
      </c>
      <c r="I6" s="53">
        <v>420</v>
      </c>
      <c r="J6" s="53">
        <v>430</v>
      </c>
      <c r="K6" s="53">
        <v>440</v>
      </c>
      <c r="L6" s="53">
        <v>450</v>
      </c>
      <c r="M6" s="53">
        <v>460</v>
      </c>
      <c r="N6" s="53">
        <v>470</v>
      </c>
      <c r="O6" s="53">
        <v>480</v>
      </c>
      <c r="P6" s="53">
        <v>490</v>
      </c>
      <c r="Q6" s="53">
        <v>500</v>
      </c>
      <c r="R6" s="50"/>
      <c r="S6" s="50"/>
    </row>
    <row r="7" spans="1:19" x14ac:dyDescent="0.2">
      <c r="A7" s="34" t="s">
        <v>17</v>
      </c>
      <c r="B7" s="40">
        <v>5</v>
      </c>
      <c r="C7" s="32" t="s">
        <v>97</v>
      </c>
      <c r="D7" s="33" t="s">
        <v>144</v>
      </c>
      <c r="E7" s="33" t="s">
        <v>39</v>
      </c>
      <c r="F7" s="22" t="s">
        <v>40</v>
      </c>
      <c r="G7" s="33" t="s">
        <v>12</v>
      </c>
      <c r="H7" s="53"/>
      <c r="I7" s="54"/>
      <c r="J7" s="50"/>
      <c r="K7" s="50"/>
      <c r="L7" s="50"/>
      <c r="M7" s="50"/>
      <c r="N7" s="50"/>
      <c r="O7" s="50">
        <v>-8888</v>
      </c>
      <c r="P7" s="50"/>
      <c r="Q7" s="50"/>
      <c r="R7" s="50"/>
      <c r="S7" s="50"/>
    </row>
    <row r="8" spans="1:19" x14ac:dyDescent="0.2">
      <c r="A8" s="37" t="s">
        <v>14</v>
      </c>
      <c r="B8" s="40">
        <v>6</v>
      </c>
      <c r="C8" s="32" t="s">
        <v>97</v>
      </c>
      <c r="D8" s="33" t="s">
        <v>110</v>
      </c>
      <c r="E8" s="33" t="s">
        <v>33</v>
      </c>
      <c r="F8" s="33" t="s">
        <v>34</v>
      </c>
      <c r="G8" s="33" t="s">
        <v>12</v>
      </c>
      <c r="H8" s="53"/>
      <c r="I8" s="54"/>
      <c r="J8" s="50"/>
      <c r="K8" s="50"/>
      <c r="L8" s="50"/>
      <c r="M8" s="50"/>
      <c r="N8" s="50"/>
      <c r="O8" s="50">
        <v>-9999</v>
      </c>
      <c r="P8" s="50"/>
      <c r="Q8" s="50"/>
      <c r="R8" s="50"/>
      <c r="S8" s="50"/>
    </row>
  </sheetData>
  <conditionalFormatting sqref="A1:G1 F2:F8">
    <cfRule type="expression" dxfId="85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4"/>
  <sheetViews>
    <sheetView workbookViewId="0">
      <selection activeCell="T2" sqref="T2"/>
    </sheetView>
  </sheetViews>
  <sheetFormatPr baseColWidth="10" defaultRowHeight="12.75" x14ac:dyDescent="0.2"/>
  <cols>
    <col min="1" max="1" width="25" bestFit="1" customWidth="1"/>
    <col min="4" max="5" width="13.28515625" customWidth="1"/>
    <col min="11" max="29" width="11.85546875" customWidth="1"/>
  </cols>
  <sheetData>
    <row r="1" spans="1:29" x14ac:dyDescent="0.2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9"/>
      <c r="R1" s="80">
        <v>1</v>
      </c>
      <c r="S1" s="80">
        <v>2</v>
      </c>
      <c r="T1" s="80">
        <v>3</v>
      </c>
      <c r="U1" s="80">
        <v>4</v>
      </c>
      <c r="V1" s="80">
        <v>5</v>
      </c>
      <c r="W1" s="80">
        <v>6</v>
      </c>
      <c r="X1" s="80">
        <v>7</v>
      </c>
      <c r="Y1" s="80">
        <v>8</v>
      </c>
      <c r="Z1" s="80">
        <v>9</v>
      </c>
      <c r="AA1" s="80">
        <v>10</v>
      </c>
      <c r="AB1" s="80">
        <v>11</v>
      </c>
      <c r="AC1" s="80">
        <v>12</v>
      </c>
    </row>
    <row r="2" spans="1:29" x14ac:dyDescent="0.2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1"/>
      <c r="R2" s="81" t="e">
        <f ca="1">SUM(INDIRECT("R4:R"&amp;COUNTA($C:$C)+3))</f>
        <v>#N/A</v>
      </c>
      <c r="S2" s="81" t="e">
        <f ca="1">SUM(INDIRECT("S4:S"&amp;COUNTA($C:$C)+3))</f>
        <v>#N/A</v>
      </c>
      <c r="T2" s="81" t="e">
        <f ca="1">SUM(INDIRECT("T4:T"&amp;COUNTA($C:$C)+3))</f>
        <v>#N/A</v>
      </c>
      <c r="U2" s="81" t="e">
        <f ca="1">SUM(INDIRECT("U4:U"&amp;COUNTA($C:$C)+3))</f>
        <v>#N/A</v>
      </c>
      <c r="V2" s="81" t="e">
        <f ca="1">SUM(INDIRECT("V4:V"&amp;COUNTA($C:$C)+3))</f>
        <v>#N/A</v>
      </c>
      <c r="W2" s="81" t="e">
        <f ca="1">SUM(INDIRECT("W4:W"&amp;COUNTA($C:$C)+3))</f>
        <v>#N/A</v>
      </c>
      <c r="X2" s="81" t="e">
        <f ca="1">SUM(INDIRECT("X4:X"&amp;COUNTA($C:$C)+3))</f>
        <v>#N/A</v>
      </c>
      <c r="Y2" s="81" t="e">
        <f ca="1">SUM(INDIRECT("Y4:Y"&amp;COUNTA($C:$C)+3))</f>
        <v>#N/A</v>
      </c>
      <c r="Z2" s="81" t="e">
        <f ca="1">SUM(INDIRECT("Z4:Z"&amp;COUNTA($C:$C)+3))</f>
        <v>#N/A</v>
      </c>
      <c r="AA2" s="81" t="e">
        <f ca="1">SUM(INDIRECT("AA4:AA"&amp;COUNTA($C:$C)+3))</f>
        <v>#N/A</v>
      </c>
      <c r="AB2" s="81" t="e">
        <f ca="1">SUM(INDIRECT("AB4:AB"&amp;COUNTA($C:$C)+3))</f>
        <v>#N/A</v>
      </c>
      <c r="AC2" s="81" t="e">
        <f ca="1">SUM(INDIRECT("AC4:AC"&amp;COUNTA($C:$C)+3))</f>
        <v>#N/A</v>
      </c>
    </row>
    <row r="3" spans="1:29" ht="25.5" x14ac:dyDescent="0.2">
      <c r="A3" s="120" t="s">
        <v>2</v>
      </c>
      <c r="B3" s="76" t="s">
        <v>1</v>
      </c>
      <c r="C3" s="120" t="s">
        <v>18</v>
      </c>
      <c r="D3" s="76" t="s">
        <v>19</v>
      </c>
      <c r="E3" s="76" t="s">
        <v>191</v>
      </c>
      <c r="F3" s="77" t="s">
        <v>104</v>
      </c>
      <c r="G3" s="77" t="s">
        <v>105</v>
      </c>
      <c r="H3" s="78" t="s">
        <v>112</v>
      </c>
      <c r="I3" s="78" t="s">
        <v>113</v>
      </c>
      <c r="J3" s="78" t="s">
        <v>114</v>
      </c>
      <c r="K3" s="78" t="s">
        <v>115</v>
      </c>
      <c r="L3" s="78" t="s">
        <v>116</v>
      </c>
      <c r="M3" s="78" t="s">
        <v>117</v>
      </c>
      <c r="N3" s="78" t="s">
        <v>118</v>
      </c>
      <c r="O3" s="78" t="s">
        <v>119</v>
      </c>
      <c r="P3" s="78" t="s">
        <v>120</v>
      </c>
      <c r="Q3" s="78" t="s">
        <v>121</v>
      </c>
      <c r="R3" s="79" t="s">
        <v>156</v>
      </c>
      <c r="S3" s="79" t="s">
        <v>155</v>
      </c>
      <c r="T3" s="79" t="s">
        <v>157</v>
      </c>
      <c r="U3" s="79" t="s">
        <v>158</v>
      </c>
      <c r="V3" s="79" t="s">
        <v>159</v>
      </c>
      <c r="W3" s="79" t="s">
        <v>160</v>
      </c>
      <c r="X3" s="79" t="s">
        <v>161</v>
      </c>
      <c r="Y3" s="79" t="s">
        <v>162</v>
      </c>
      <c r="Z3" s="79" t="s">
        <v>163</v>
      </c>
      <c r="AA3" s="79" t="s">
        <v>164</v>
      </c>
      <c r="AB3" s="79" t="s">
        <v>165</v>
      </c>
      <c r="AC3" s="79" t="s">
        <v>166</v>
      </c>
    </row>
    <row r="4" spans="1:29" x14ac:dyDescent="0.2"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82" t="e">
        <f t="shared" ref="R4:AC4" ca="1" si="0">F4-SUMPRODUCT((Libellés_principaux=$C4)*(Libellés_secondaires=$D4)*(Débit))</f>
        <v>#N/A</v>
      </c>
      <c r="S4" s="82" t="e">
        <f t="shared" ca="1" si="0"/>
        <v>#N/A</v>
      </c>
      <c r="T4" s="82" t="e">
        <f t="shared" ca="1" si="0"/>
        <v>#N/A</v>
      </c>
      <c r="U4" s="82" t="e">
        <f t="shared" ca="1" si="0"/>
        <v>#N/A</v>
      </c>
      <c r="V4" s="82" t="e">
        <f t="shared" ca="1" si="0"/>
        <v>#N/A</v>
      </c>
      <c r="W4" s="82" t="e">
        <f t="shared" ca="1" si="0"/>
        <v>#N/A</v>
      </c>
      <c r="X4" s="82" t="e">
        <f t="shared" ca="1" si="0"/>
        <v>#N/A</v>
      </c>
      <c r="Y4" s="82" t="e">
        <f t="shared" ca="1" si="0"/>
        <v>#N/A</v>
      </c>
      <c r="Z4" s="82" t="e">
        <f t="shared" ca="1" si="0"/>
        <v>#N/A</v>
      </c>
      <c r="AA4" s="82" t="e">
        <f t="shared" ca="1" si="0"/>
        <v>#N/A</v>
      </c>
      <c r="AB4" s="82" t="e">
        <f t="shared" ca="1" si="0"/>
        <v>#N/A</v>
      </c>
      <c r="AC4" s="82" t="e">
        <f t="shared" ca="1" si="0"/>
        <v>#N/A</v>
      </c>
    </row>
  </sheetData>
  <mergeCells count="1">
    <mergeCell ref="A1:Q2"/>
  </mergeCells>
  <conditionalFormatting sqref="A3:E3">
    <cfRule type="expression" dxfId="61" priority="3">
      <formula>AND(MONTH(#REF!)=MONTH(TODAY()),YEAR(#REF!)=YEAR(TODAY()))</formula>
    </cfRule>
  </conditionalFormatting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19"/>
  <sheetViews>
    <sheetView zoomScale="70" zoomScaleNormal="70" workbookViewId="0">
      <selection activeCell="J2" sqref="J2"/>
    </sheetView>
  </sheetViews>
  <sheetFormatPr baseColWidth="10" defaultRowHeight="12.75" x14ac:dyDescent="0.2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 x14ac:dyDescent="0.2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</row>
    <row r="2" spans="1:20" ht="21" thickBot="1" x14ac:dyDescent="0.25">
      <c r="A2" s="150" t="s">
        <v>187</v>
      </c>
      <c r="B2" s="151"/>
      <c r="C2" s="151"/>
      <c r="D2" s="151"/>
      <c r="E2" s="151"/>
      <c r="F2" s="151"/>
      <c r="G2" s="151"/>
      <c r="H2" s="151"/>
      <c r="I2" s="152"/>
      <c r="J2" s="87" t="s">
        <v>189</v>
      </c>
      <c r="K2" s="88"/>
      <c r="L2" s="88"/>
      <c r="M2" s="88"/>
      <c r="N2" s="88"/>
      <c r="O2" s="88"/>
      <c r="P2" s="88"/>
      <c r="Q2" s="88"/>
      <c r="R2" s="88"/>
      <c r="S2" s="88"/>
      <c r="T2" s="89"/>
    </row>
    <row r="3" spans="1:20" ht="21" thickBot="1" x14ac:dyDescent="0.25">
      <c r="A3" s="153" t="s">
        <v>188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5"/>
      <c r="S3" s="156" t="s">
        <v>173</v>
      </c>
      <c r="T3" s="157"/>
    </row>
    <row r="4" spans="1:20" ht="29.25" thickBot="1" x14ac:dyDescent="0.25">
      <c r="A4" s="90" t="s">
        <v>174</v>
      </c>
      <c r="B4" s="158">
        <v>700</v>
      </c>
      <c r="C4" s="159"/>
      <c r="D4" s="90" t="s">
        <v>175</v>
      </c>
      <c r="E4" s="158">
        <v>200</v>
      </c>
      <c r="F4" s="159"/>
      <c r="G4" s="90" t="s">
        <v>3</v>
      </c>
      <c r="H4" s="158">
        <v>150</v>
      </c>
      <c r="I4" s="159"/>
      <c r="J4" s="90" t="s">
        <v>176</v>
      </c>
      <c r="K4" s="158">
        <v>120</v>
      </c>
      <c r="L4" s="159"/>
      <c r="M4" s="90" t="s">
        <v>177</v>
      </c>
      <c r="N4" s="158">
        <v>0</v>
      </c>
      <c r="O4" s="159"/>
      <c r="P4" s="90" t="s">
        <v>178</v>
      </c>
      <c r="Q4" s="158">
        <v>0</v>
      </c>
      <c r="R4" s="159"/>
      <c r="S4" s="91" t="s">
        <v>179</v>
      </c>
      <c r="T4" s="92">
        <f>SUM(T6:T16)</f>
        <v>0</v>
      </c>
    </row>
    <row r="5" spans="1:20" ht="29.25" thickBot="1" x14ac:dyDescent="0.25">
      <c r="A5" s="93" t="s">
        <v>180</v>
      </c>
      <c r="B5" s="146">
        <f>B4-C17</f>
        <v>700</v>
      </c>
      <c r="C5" s="147"/>
      <c r="D5" s="94" t="s">
        <v>180</v>
      </c>
      <c r="E5" s="148">
        <f>E4-F17</f>
        <v>200</v>
      </c>
      <c r="F5" s="149"/>
      <c r="G5" s="94" t="s">
        <v>180</v>
      </c>
      <c r="H5" s="148">
        <f>H4-I17</f>
        <v>150</v>
      </c>
      <c r="I5" s="149"/>
      <c r="J5" s="94" t="s">
        <v>180</v>
      </c>
      <c r="K5" s="148">
        <f>K4-L17</f>
        <v>120</v>
      </c>
      <c r="L5" s="149"/>
      <c r="M5" s="94" t="s">
        <v>180</v>
      </c>
      <c r="N5" s="148">
        <f>N4-O17</f>
        <v>0</v>
      </c>
      <c r="O5" s="149"/>
      <c r="P5" s="94" t="s">
        <v>180</v>
      </c>
      <c r="Q5" s="148">
        <f>Q4-R17</f>
        <v>0</v>
      </c>
      <c r="R5" s="149"/>
      <c r="S5" s="95" t="s">
        <v>181</v>
      </c>
      <c r="T5" s="96" t="s">
        <v>182</v>
      </c>
    </row>
    <row r="6" spans="1:20" ht="18.75" thickBot="1" x14ac:dyDescent="0.25">
      <c r="A6" s="95" t="s">
        <v>181</v>
      </c>
      <c r="B6" s="97" t="s">
        <v>183</v>
      </c>
      <c r="C6" s="96" t="s">
        <v>184</v>
      </c>
      <c r="D6" s="95" t="s">
        <v>181</v>
      </c>
      <c r="E6" s="97" t="s">
        <v>183</v>
      </c>
      <c r="F6" s="96" t="s">
        <v>184</v>
      </c>
      <c r="G6" s="95" t="s">
        <v>181</v>
      </c>
      <c r="H6" s="97" t="s">
        <v>183</v>
      </c>
      <c r="I6" s="96" t="s">
        <v>184</v>
      </c>
      <c r="J6" s="95" t="s">
        <v>181</v>
      </c>
      <c r="K6" s="97" t="s">
        <v>183</v>
      </c>
      <c r="L6" s="96" t="s">
        <v>184</v>
      </c>
      <c r="M6" s="95" t="s">
        <v>181</v>
      </c>
      <c r="N6" s="97" t="s">
        <v>183</v>
      </c>
      <c r="O6" s="96" t="s">
        <v>184</v>
      </c>
      <c r="P6" s="95" t="s">
        <v>181</v>
      </c>
      <c r="Q6" s="97" t="s">
        <v>183</v>
      </c>
      <c r="R6" s="96" t="s">
        <v>184</v>
      </c>
      <c r="S6" s="98"/>
      <c r="T6" s="99"/>
    </row>
    <row r="7" spans="1:20" ht="18" x14ac:dyDescent="0.2">
      <c r="A7" s="100"/>
      <c r="B7" s="101"/>
      <c r="C7" s="99"/>
      <c r="D7" s="100"/>
      <c r="E7" s="101"/>
      <c r="F7" s="99"/>
      <c r="G7" s="100"/>
      <c r="H7" s="101"/>
      <c r="I7" s="99"/>
      <c r="J7" s="100"/>
      <c r="K7" s="101"/>
      <c r="L7" s="99"/>
      <c r="M7" s="100"/>
      <c r="N7" s="101"/>
      <c r="O7" s="99"/>
      <c r="P7" s="100"/>
      <c r="Q7" s="101"/>
      <c r="R7" s="99"/>
      <c r="S7" s="98"/>
      <c r="T7" s="99"/>
    </row>
    <row r="8" spans="1:20" ht="18" x14ac:dyDescent="0.2">
      <c r="A8" s="102"/>
      <c r="B8" s="103"/>
      <c r="C8" s="104"/>
      <c r="D8" s="102"/>
      <c r="E8" s="103"/>
      <c r="F8" s="104"/>
      <c r="G8" s="102"/>
      <c r="H8" s="103"/>
      <c r="I8" s="104"/>
      <c r="J8" s="102"/>
      <c r="K8" s="103"/>
      <c r="L8" s="104"/>
      <c r="M8" s="102"/>
      <c r="N8" s="103"/>
      <c r="O8" s="104"/>
      <c r="P8" s="102"/>
      <c r="Q8" s="103"/>
      <c r="R8" s="104"/>
      <c r="S8" s="105"/>
      <c r="T8" s="104"/>
    </row>
    <row r="9" spans="1:20" ht="18" x14ac:dyDescent="0.2">
      <c r="A9" s="102"/>
      <c r="B9" s="103"/>
      <c r="C9" s="104"/>
      <c r="D9" s="102"/>
      <c r="E9" s="103"/>
      <c r="F9" s="104"/>
      <c r="G9" s="102"/>
      <c r="H9" s="103"/>
      <c r="I9" s="104"/>
      <c r="J9" s="102"/>
      <c r="K9" s="103"/>
      <c r="L9" s="104"/>
      <c r="M9" s="102"/>
      <c r="N9" s="103"/>
      <c r="O9" s="104"/>
      <c r="P9" s="102"/>
      <c r="Q9" s="103"/>
      <c r="R9" s="104"/>
      <c r="S9" s="105"/>
      <c r="T9" s="104"/>
    </row>
    <row r="10" spans="1:20" ht="18" x14ac:dyDescent="0.2">
      <c r="A10" s="102"/>
      <c r="B10" s="103"/>
      <c r="C10" s="104"/>
      <c r="D10" s="102"/>
      <c r="E10" s="103"/>
      <c r="F10" s="104"/>
      <c r="G10" s="102"/>
      <c r="H10" s="103"/>
      <c r="I10" s="104"/>
      <c r="J10" s="102"/>
      <c r="K10" s="103"/>
      <c r="L10" s="104"/>
      <c r="M10" s="102"/>
      <c r="N10" s="103"/>
      <c r="O10" s="104"/>
      <c r="P10" s="102"/>
      <c r="Q10" s="103"/>
      <c r="R10" s="104"/>
      <c r="S10" s="105"/>
      <c r="T10" s="104"/>
    </row>
    <row r="11" spans="1:20" ht="18" x14ac:dyDescent="0.2">
      <c r="A11" s="102"/>
      <c r="B11" s="103"/>
      <c r="C11" s="104"/>
      <c r="D11" s="102"/>
      <c r="E11" s="103"/>
      <c r="F11" s="104"/>
      <c r="G11" s="102"/>
      <c r="H11" s="103"/>
      <c r="I11" s="104"/>
      <c r="J11" s="102"/>
      <c r="K11" s="103"/>
      <c r="L11" s="104"/>
      <c r="M11" s="102"/>
      <c r="N11" s="103"/>
      <c r="O11" s="104"/>
      <c r="P11" s="102"/>
      <c r="Q11" s="103"/>
      <c r="R11" s="104"/>
      <c r="S11" s="105"/>
      <c r="T11" s="104"/>
    </row>
    <row r="12" spans="1:20" ht="18" x14ac:dyDescent="0.2">
      <c r="A12" s="102"/>
      <c r="B12" s="103"/>
      <c r="C12" s="104"/>
      <c r="D12" s="102"/>
      <c r="E12" s="103"/>
      <c r="F12" s="104"/>
      <c r="G12" s="102"/>
      <c r="H12" s="103"/>
      <c r="I12" s="104"/>
      <c r="J12" s="102"/>
      <c r="K12" s="103"/>
      <c r="L12" s="104"/>
      <c r="M12" s="102"/>
      <c r="N12" s="103"/>
      <c r="O12" s="104"/>
      <c r="P12" s="102"/>
      <c r="Q12" s="103"/>
      <c r="R12" s="104"/>
      <c r="S12" s="105"/>
      <c r="T12" s="104"/>
    </row>
    <row r="13" spans="1:20" ht="18" x14ac:dyDescent="0.2">
      <c r="A13" s="105"/>
      <c r="B13" s="103"/>
      <c r="C13" s="104"/>
      <c r="D13" s="105"/>
      <c r="E13" s="103"/>
      <c r="F13" s="104"/>
      <c r="G13" s="105"/>
      <c r="H13" s="103"/>
      <c r="I13" s="104"/>
      <c r="J13" s="105"/>
      <c r="K13" s="103"/>
      <c r="L13" s="104"/>
      <c r="M13" s="105"/>
      <c r="N13" s="103"/>
      <c r="O13" s="104"/>
      <c r="P13" s="105"/>
      <c r="Q13" s="103"/>
      <c r="R13" s="104"/>
      <c r="S13" s="105"/>
      <c r="T13" s="104"/>
    </row>
    <row r="14" spans="1:20" ht="18" x14ac:dyDescent="0.2">
      <c r="A14" s="105"/>
      <c r="B14" s="103"/>
      <c r="C14" s="104"/>
      <c r="D14" s="105"/>
      <c r="E14" s="103"/>
      <c r="F14" s="104"/>
      <c r="G14" s="105"/>
      <c r="H14" s="103"/>
      <c r="I14" s="104"/>
      <c r="J14" s="105"/>
      <c r="K14" s="103"/>
      <c r="L14" s="104"/>
      <c r="M14" s="105"/>
      <c r="N14" s="103"/>
      <c r="O14" s="104"/>
      <c r="P14" s="105"/>
      <c r="Q14" s="103"/>
      <c r="R14" s="104"/>
      <c r="S14" s="105"/>
      <c r="T14" s="104"/>
    </row>
    <row r="15" spans="1:20" ht="18" x14ac:dyDescent="0.2">
      <c r="A15" s="105"/>
      <c r="B15" s="103"/>
      <c r="C15" s="104"/>
      <c r="D15" s="105"/>
      <c r="E15" s="103"/>
      <c r="F15" s="104"/>
      <c r="G15" s="105"/>
      <c r="H15" s="103"/>
      <c r="I15" s="104"/>
      <c r="J15" s="105"/>
      <c r="K15" s="103"/>
      <c r="L15" s="104"/>
      <c r="M15" s="105"/>
      <c r="N15" s="103"/>
      <c r="O15" s="104"/>
      <c r="P15" s="105"/>
      <c r="Q15" s="103"/>
      <c r="R15" s="104"/>
      <c r="S15" s="105"/>
      <c r="T15" s="104"/>
    </row>
    <row r="16" spans="1:20" ht="18.75" thickBot="1" x14ac:dyDescent="0.25">
      <c r="A16" s="106"/>
      <c r="B16" s="107"/>
      <c r="C16" s="108"/>
      <c r="D16" s="106"/>
      <c r="E16" s="107"/>
      <c r="F16" s="108"/>
      <c r="G16" s="106"/>
      <c r="H16" s="107"/>
      <c r="I16" s="108"/>
      <c r="J16" s="106"/>
      <c r="K16" s="107"/>
      <c r="L16" s="108"/>
      <c r="M16" s="106"/>
      <c r="N16" s="107"/>
      <c r="O16" s="108"/>
      <c r="P16" s="106"/>
      <c r="Q16" s="107"/>
      <c r="R16" s="108"/>
      <c r="S16" s="109"/>
      <c r="T16" s="110"/>
    </row>
    <row r="17" spans="1:20" ht="29.25" thickBot="1" x14ac:dyDescent="0.25">
      <c r="A17" s="111" t="str">
        <f>"Total "&amp;A4</f>
        <v>Total Achats divers</v>
      </c>
      <c r="B17" s="112">
        <f>SUM(B7:B16)</f>
        <v>0</v>
      </c>
      <c r="C17" s="113">
        <f t="array" ref="C17">SUMPRODUCT((IF(B7:B16=0,C7:C16,B7:B16))*1)</f>
        <v>0</v>
      </c>
      <c r="D17" s="111" t="str">
        <f t="shared" ref="D17" si="0">"Total "&amp;D4</f>
        <v>Total Habillement</v>
      </c>
      <c r="E17" s="112">
        <f>SUM(E7:E16)</f>
        <v>0</v>
      </c>
      <c r="F17" s="113">
        <f t="array" ref="F17">SUMPRODUCT((IF(E7:E16=0,F7:F16,E7:E16))*1)</f>
        <v>0</v>
      </c>
      <c r="G17" s="111" t="str">
        <f t="shared" ref="G17" si="1">"Total "&amp;G4</f>
        <v>Total Divers</v>
      </c>
      <c r="H17" s="112">
        <f>SUM(H7:H16)</f>
        <v>0</v>
      </c>
      <c r="I17" s="113">
        <f t="array" ref="I17">SUMPRODUCT((IF(H7:H16=0,I7:I16,H7:H16))*1)</f>
        <v>0</v>
      </c>
      <c r="J17" s="111" t="str">
        <f t="shared" ref="J17" si="2">"Total "&amp;J4</f>
        <v>Total Cantine</v>
      </c>
      <c r="K17" s="112">
        <f>SUM(K7:K16)</f>
        <v>0</v>
      </c>
      <c r="L17" s="113">
        <f t="array" ref="L17">SUMPRODUCT((IF(K7:K16=0,L7:L16,K7:K16))*1)</f>
        <v>0</v>
      </c>
      <c r="M17" s="111" t="str">
        <f t="shared" ref="M17" si="3">"Total "&amp;M4</f>
        <v>Total Extra</v>
      </c>
      <c r="N17" s="112">
        <f>SUM(N7:N16)</f>
        <v>0</v>
      </c>
      <c r="O17" s="113">
        <f t="array" ref="O17">SUMPRODUCT((IF(N7:N16=0,O7:O16,N7:N16))*1)</f>
        <v>0</v>
      </c>
      <c r="P17" s="111" t="str">
        <f t="shared" ref="P17" si="4">"Total "&amp;P4</f>
        <v>Total Autre</v>
      </c>
      <c r="Q17" s="112">
        <f>SUM(Q7:Q16)</f>
        <v>0</v>
      </c>
      <c r="R17" s="113">
        <f t="array" ref="R17">SUMPRODUCT((IF(Q7:Q16=0,R7:R16,Q7:Q16))*1)</f>
        <v>0</v>
      </c>
      <c r="S17" s="111" t="s">
        <v>185</v>
      </c>
      <c r="T17" s="114">
        <f>T4</f>
        <v>0</v>
      </c>
    </row>
    <row r="18" spans="1:20" ht="31.5" x14ac:dyDescent="0.2">
      <c r="A18" s="115" t="s">
        <v>186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3"/>
    </row>
    <row r="19" spans="1:20" ht="16.5" thickBot="1" x14ac:dyDescent="0.25">
      <c r="A19" s="116"/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5"/>
    </row>
  </sheetData>
  <mergeCells count="17"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  <mergeCell ref="B18:T19"/>
    <mergeCell ref="B5:C5"/>
    <mergeCell ref="E5:F5"/>
    <mergeCell ref="H5:I5"/>
    <mergeCell ref="K5:L5"/>
    <mergeCell ref="N5:O5"/>
    <mergeCell ref="Q5:R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3"/>
  <sheetViews>
    <sheetView workbookViewId="0">
      <selection activeCell="D4" sqref="D4"/>
    </sheetView>
  </sheetViews>
  <sheetFormatPr baseColWidth="10" defaultRowHeight="12.75" x14ac:dyDescent="0.2"/>
  <cols>
    <col min="1" max="1" width="11.42578125" style="123"/>
    <col min="3" max="3" width="11.42578125" style="46"/>
    <col min="4" max="4" width="21" bestFit="1" customWidth="1"/>
    <col min="5" max="5" width="7.42578125" bestFit="1" customWidth="1"/>
    <col min="6" max="6" width="14.42578125" style="126" bestFit="1" customWidth="1"/>
  </cols>
  <sheetData>
    <row r="1" spans="1:7" x14ac:dyDescent="0.2">
      <c r="A1" s="117" t="s">
        <v>0</v>
      </c>
      <c r="B1" s="117" t="s">
        <v>1</v>
      </c>
      <c r="C1" s="117" t="s">
        <v>12</v>
      </c>
      <c r="D1" s="117" t="s">
        <v>195</v>
      </c>
      <c r="E1" s="117" t="s">
        <v>193</v>
      </c>
      <c r="F1" s="117" t="s">
        <v>194</v>
      </c>
      <c r="G1" s="117" t="s">
        <v>198</v>
      </c>
    </row>
    <row r="2" spans="1:7" x14ac:dyDescent="0.2">
      <c r="A2" s="122">
        <v>42370</v>
      </c>
      <c r="B2" s="117" t="s">
        <v>196</v>
      </c>
      <c r="C2" s="124">
        <v>60</v>
      </c>
      <c r="D2" s="117" t="s">
        <v>199</v>
      </c>
      <c r="E2" s="117">
        <v>50</v>
      </c>
      <c r="F2" s="125">
        <v>1.32</v>
      </c>
      <c r="G2" s="130" t="e">
        <f>Tableau4[[#This Row],[Distance parcourue]]/100</f>
        <v>#VALUE!</v>
      </c>
    </row>
    <row r="3" spans="1:7" x14ac:dyDescent="0.2">
      <c r="A3" s="127">
        <v>42379</v>
      </c>
      <c r="B3" s="34" t="s">
        <v>197</v>
      </c>
      <c r="C3" s="128">
        <v>50</v>
      </c>
      <c r="D3" s="34" t="s">
        <v>200</v>
      </c>
      <c r="E3" s="34">
        <v>40</v>
      </c>
      <c r="F3" s="129">
        <v>1.35</v>
      </c>
      <c r="G3" s="131" t="e">
        <f>Tableau4[[#This Row],[Distance parcourue]]/100</f>
        <v>#VALUE!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Conso essence</vt:lpstr>
      <vt:lpstr>Choix2</vt:lpstr>
      <vt:lpstr>Compte_princ</vt:lpstr>
      <vt:lpstr>Date</vt:lpstr>
      <vt:lpstr>suivi_chèque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Ben</cp:lastModifiedBy>
  <dcterms:created xsi:type="dcterms:W3CDTF">2004-03-07T20:52:29Z</dcterms:created>
  <dcterms:modified xsi:type="dcterms:W3CDTF">2015-10-27T19:50:16Z</dcterms:modified>
</cp:coreProperties>
</file>