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05" yWindow="-105" windowWidth="23250" windowHeight="12570" activeTab="1"/>
  </bookViews>
  <sheets>
    <sheet name="Yamazumi Data" sheetId="1" r:id="rId1"/>
    <sheet name="Yamazumi Chart" sheetId="2" r:id="rId2"/>
    <sheet name="DV-IDENTITY-0" sheetId="4" state="veryHidden" r:id="rId3"/>
    <sheet name="Couleurs" sheetId="5" r:id="rId4"/>
  </sheets>
  <definedNames>
    <definedName name="_xlnm._FilterDatabase" localSheetId="0" hidden="1">'Yamazumi Data'!$B$6:$D$111</definedName>
    <definedName name="Test">'Yamazumi Data'!$D$35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F113" i="1" l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105" i="1"/>
  <c r="C10" i="1"/>
  <c r="F119" i="1"/>
  <c r="F114" i="1" l="1"/>
  <c r="F117" i="1"/>
  <c r="F115" i="1"/>
  <c r="F116" i="1"/>
  <c r="R59" i="2"/>
  <c r="R61" i="2"/>
  <c r="W59" i="2"/>
  <c r="W61" i="2" s="1"/>
  <c r="R65" i="2"/>
  <c r="R67" i="2"/>
  <c r="W65" i="2"/>
  <c r="W67" i="2" s="1"/>
  <c r="M65" i="2"/>
  <c r="M67" i="2"/>
  <c r="M59" i="2"/>
  <c r="M61" i="2" s="1"/>
  <c r="IK36" i="4"/>
  <c r="IJ36" i="4"/>
  <c r="II36" i="4"/>
  <c r="IH36" i="4"/>
  <c r="IG36" i="4"/>
  <c r="IF36" i="4"/>
  <c r="IE36" i="4"/>
  <c r="ID36" i="4"/>
  <c r="IC36" i="4"/>
  <c r="IB36" i="4"/>
  <c r="IA36" i="4"/>
  <c r="HZ36" i="4"/>
  <c r="HY36" i="4"/>
  <c r="HX36" i="4"/>
  <c r="HW36" i="4"/>
  <c r="HV36" i="4"/>
  <c r="HU36" i="4"/>
  <c r="HT36" i="4"/>
  <c r="HS36" i="4"/>
  <c r="HR36" i="4"/>
  <c r="HQ36" i="4"/>
  <c r="HP36" i="4"/>
  <c r="HO36" i="4"/>
  <c r="HN36" i="4"/>
  <c r="HM36" i="4"/>
  <c r="HL36" i="4"/>
  <c r="HK36" i="4"/>
  <c r="HJ36" i="4"/>
  <c r="HI36" i="4"/>
  <c r="HH36" i="4"/>
  <c r="HG36" i="4"/>
  <c r="HF36" i="4"/>
  <c r="HE36" i="4"/>
  <c r="HD36" i="4"/>
  <c r="HC36" i="4"/>
  <c r="HB36" i="4"/>
  <c r="HA36" i="4"/>
  <c r="GZ36" i="4"/>
  <c r="GY36" i="4"/>
  <c r="GX36" i="4"/>
  <c r="GW36" i="4"/>
  <c r="GV36" i="4"/>
  <c r="GU36" i="4"/>
  <c r="GT36" i="4"/>
  <c r="GS36" i="4"/>
  <c r="GR36" i="4"/>
  <c r="GQ36" i="4"/>
  <c r="GP36" i="4"/>
  <c r="GO36" i="4"/>
  <c r="GN36" i="4"/>
  <c r="GM36" i="4"/>
  <c r="GL36" i="4"/>
  <c r="GK36" i="4"/>
  <c r="GJ36" i="4"/>
  <c r="GI36" i="4"/>
  <c r="GH36" i="4"/>
  <c r="GG36" i="4"/>
  <c r="GF36" i="4"/>
  <c r="GE36" i="4"/>
  <c r="GD36" i="4"/>
  <c r="GC36" i="4"/>
  <c r="GB36" i="4"/>
  <c r="GA36" i="4"/>
  <c r="FZ36" i="4"/>
  <c r="FY36" i="4"/>
  <c r="FX36" i="4"/>
  <c r="FW36" i="4"/>
  <c r="FV36" i="4"/>
  <c r="FU36" i="4"/>
  <c r="FT36" i="4"/>
  <c r="FS36" i="4"/>
  <c r="FR36" i="4"/>
  <c r="FQ36" i="4"/>
  <c r="FP36" i="4"/>
  <c r="FO36" i="4"/>
  <c r="FN36" i="4"/>
  <c r="FM36" i="4"/>
  <c r="FL36" i="4"/>
  <c r="FK36" i="4"/>
  <c r="FJ36" i="4"/>
  <c r="FI36" i="4"/>
  <c r="FH36" i="4"/>
  <c r="FG36" i="4"/>
  <c r="FF36" i="4"/>
  <c r="FE36" i="4"/>
  <c r="FD36" i="4"/>
  <c r="FC36" i="4"/>
  <c r="FB36" i="4"/>
  <c r="FA36" i="4"/>
  <c r="EZ36" i="4"/>
  <c r="EY36" i="4"/>
  <c r="EX36" i="4"/>
  <c r="EW36" i="4"/>
  <c r="EV36" i="4"/>
  <c r="EU36" i="4"/>
  <c r="ET36" i="4"/>
  <c r="ES36" i="4"/>
  <c r="ER36" i="4"/>
  <c r="EQ36" i="4"/>
  <c r="EP36" i="4"/>
  <c r="EO36" i="4"/>
  <c r="EN36" i="4"/>
  <c r="EM36" i="4"/>
  <c r="EL36" i="4"/>
  <c r="EK36" i="4"/>
  <c r="EJ36" i="4"/>
  <c r="EI36" i="4"/>
  <c r="EH36" i="4"/>
  <c r="EG36" i="4"/>
  <c r="EF36" i="4"/>
  <c r="EE36" i="4"/>
  <c r="ED36" i="4"/>
  <c r="EC36" i="4"/>
  <c r="EB36" i="4"/>
  <c r="EA36" i="4"/>
  <c r="DZ36" i="4"/>
  <c r="DY36" i="4"/>
  <c r="DX36" i="4"/>
  <c r="DW36" i="4"/>
  <c r="DV36" i="4"/>
  <c r="DU36" i="4"/>
  <c r="DT36" i="4"/>
  <c r="DS36" i="4"/>
  <c r="DR36" i="4"/>
  <c r="DQ36" i="4"/>
  <c r="DP36" i="4"/>
  <c r="DO36" i="4"/>
  <c r="DN36" i="4"/>
  <c r="DM36" i="4"/>
  <c r="DL36" i="4"/>
  <c r="DK36" i="4"/>
  <c r="DJ36" i="4"/>
  <c r="DI36" i="4"/>
  <c r="DH36" i="4"/>
  <c r="DG36" i="4"/>
  <c r="DF36" i="4"/>
  <c r="DE36" i="4"/>
  <c r="DD36" i="4"/>
  <c r="DC36" i="4"/>
  <c r="DB36" i="4"/>
  <c r="DA36" i="4"/>
  <c r="CZ36" i="4"/>
  <c r="CY36" i="4"/>
  <c r="CX36" i="4"/>
  <c r="CW36" i="4"/>
  <c r="CV36" i="4"/>
  <c r="CU36" i="4"/>
  <c r="CT36" i="4"/>
  <c r="CS36" i="4"/>
  <c r="CR36" i="4"/>
  <c r="CQ36" i="4"/>
  <c r="CP36" i="4"/>
  <c r="CO36" i="4"/>
  <c r="CN36" i="4"/>
  <c r="CM36" i="4"/>
  <c r="CL36" i="4"/>
  <c r="CK36" i="4"/>
  <c r="CJ36" i="4"/>
  <c r="CI36" i="4"/>
  <c r="CH36" i="4"/>
  <c r="CG36" i="4"/>
  <c r="CF36" i="4"/>
  <c r="CE36" i="4"/>
  <c r="CD36" i="4"/>
  <c r="CC36" i="4"/>
  <c r="CB36" i="4"/>
  <c r="CA36" i="4"/>
  <c r="BZ36" i="4"/>
  <c r="BY36" i="4"/>
  <c r="BX36" i="4"/>
  <c r="BW36" i="4"/>
  <c r="BV36" i="4"/>
  <c r="BU36" i="4"/>
  <c r="BT36" i="4"/>
  <c r="BS36" i="4"/>
  <c r="BR36" i="4"/>
  <c r="BQ36" i="4"/>
  <c r="BP36" i="4"/>
  <c r="BO36" i="4"/>
  <c r="BN36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G36" i="4"/>
  <c r="AF36" i="4"/>
  <c r="AE36" i="4"/>
  <c r="AD36" i="4"/>
  <c r="AC36" i="4"/>
  <c r="AB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A36" i="4"/>
  <c r="IV35" i="4"/>
  <c r="IU35" i="4"/>
  <c r="IT35" i="4"/>
  <c r="IS35" i="4"/>
  <c r="IR35" i="4"/>
  <c r="IQ35" i="4"/>
  <c r="IP35" i="4"/>
  <c r="IO35" i="4"/>
  <c r="IN35" i="4"/>
  <c r="IM35" i="4"/>
  <c r="IL35" i="4"/>
  <c r="IK35" i="4"/>
  <c r="IJ35" i="4"/>
  <c r="II35" i="4"/>
  <c r="IH35" i="4"/>
  <c r="IG35" i="4"/>
  <c r="IF35" i="4"/>
  <c r="IE35" i="4"/>
  <c r="ID35" i="4"/>
  <c r="IC35" i="4"/>
  <c r="IB35" i="4"/>
  <c r="IA35" i="4"/>
  <c r="HZ35" i="4"/>
  <c r="HY35" i="4"/>
  <c r="HX35" i="4"/>
  <c r="HW35" i="4"/>
  <c r="HV35" i="4"/>
  <c r="HU35" i="4"/>
  <c r="HT35" i="4"/>
  <c r="HS35" i="4"/>
  <c r="HR35" i="4"/>
  <c r="HQ35" i="4"/>
  <c r="HP35" i="4"/>
  <c r="HO35" i="4"/>
  <c r="HN35" i="4"/>
  <c r="HM35" i="4"/>
  <c r="HL35" i="4"/>
  <c r="HK35" i="4"/>
  <c r="HJ35" i="4"/>
  <c r="HI35" i="4"/>
  <c r="HH35" i="4"/>
  <c r="HG35" i="4"/>
  <c r="HF35" i="4"/>
  <c r="HE35" i="4"/>
  <c r="HD35" i="4"/>
  <c r="HC35" i="4"/>
  <c r="HB35" i="4"/>
  <c r="HA35" i="4"/>
  <c r="GZ35" i="4"/>
  <c r="GY35" i="4"/>
  <c r="GX35" i="4"/>
  <c r="GW35" i="4"/>
  <c r="GV35" i="4"/>
  <c r="GU35" i="4"/>
  <c r="GT35" i="4"/>
  <c r="GS35" i="4"/>
  <c r="GR35" i="4"/>
  <c r="GQ35" i="4"/>
  <c r="GP35" i="4"/>
  <c r="GO35" i="4"/>
  <c r="GN35" i="4"/>
  <c r="GM35" i="4"/>
  <c r="GL35" i="4"/>
  <c r="GK35" i="4"/>
  <c r="GJ35" i="4"/>
  <c r="GI35" i="4"/>
  <c r="GH35" i="4"/>
  <c r="GG35" i="4"/>
  <c r="GF35" i="4"/>
  <c r="GE35" i="4"/>
  <c r="GD35" i="4"/>
  <c r="GC35" i="4"/>
  <c r="GB35" i="4"/>
  <c r="GA35" i="4"/>
  <c r="FZ35" i="4"/>
  <c r="FY35" i="4"/>
  <c r="FX35" i="4"/>
  <c r="FW35" i="4"/>
  <c r="FV35" i="4"/>
  <c r="FU35" i="4"/>
  <c r="FT35" i="4"/>
  <c r="FS35" i="4"/>
  <c r="FR35" i="4"/>
  <c r="FQ35" i="4"/>
  <c r="FP35" i="4"/>
  <c r="FO35" i="4"/>
  <c r="FN35" i="4"/>
  <c r="FM35" i="4"/>
  <c r="FL35" i="4"/>
  <c r="FK35" i="4"/>
  <c r="FJ35" i="4"/>
  <c r="FI35" i="4"/>
  <c r="FH35" i="4"/>
  <c r="FG35" i="4"/>
  <c r="FF35" i="4"/>
  <c r="FE35" i="4"/>
  <c r="FD35" i="4"/>
  <c r="FC35" i="4"/>
  <c r="FB35" i="4"/>
  <c r="FA35" i="4"/>
  <c r="EZ35" i="4"/>
  <c r="EY35" i="4"/>
  <c r="EX35" i="4"/>
  <c r="EW35" i="4"/>
  <c r="EV35" i="4"/>
  <c r="EU35" i="4"/>
  <c r="ET35" i="4"/>
  <c r="ES35" i="4"/>
  <c r="ER35" i="4"/>
  <c r="EQ35" i="4"/>
  <c r="EP35" i="4"/>
  <c r="EO35" i="4"/>
  <c r="EN35" i="4"/>
  <c r="EM35" i="4"/>
  <c r="EL35" i="4"/>
  <c r="EK35" i="4"/>
  <c r="EJ35" i="4"/>
  <c r="EI35" i="4"/>
  <c r="EH35" i="4"/>
  <c r="EG35" i="4"/>
  <c r="EF35" i="4"/>
  <c r="EE35" i="4"/>
  <c r="ED35" i="4"/>
  <c r="EC35" i="4"/>
  <c r="EB35" i="4"/>
  <c r="EA35" i="4"/>
  <c r="DZ35" i="4"/>
  <c r="DY35" i="4"/>
  <c r="DX35" i="4"/>
  <c r="DW35" i="4"/>
  <c r="DV35" i="4"/>
  <c r="DU35" i="4"/>
  <c r="DT35" i="4"/>
  <c r="DS35" i="4"/>
  <c r="DR35" i="4"/>
  <c r="DQ35" i="4"/>
  <c r="DP35" i="4"/>
  <c r="DO35" i="4"/>
  <c r="DN35" i="4"/>
  <c r="DM35" i="4"/>
  <c r="DL35" i="4"/>
  <c r="DK35" i="4"/>
  <c r="DJ35" i="4"/>
  <c r="DI35" i="4"/>
  <c r="DH35" i="4"/>
  <c r="DG35" i="4"/>
  <c r="DF35" i="4"/>
  <c r="DE35" i="4"/>
  <c r="DD35" i="4"/>
  <c r="DC35" i="4"/>
  <c r="DB35" i="4"/>
  <c r="DA35" i="4"/>
  <c r="CZ35" i="4"/>
  <c r="CY35" i="4"/>
  <c r="CX35" i="4"/>
  <c r="CW35" i="4"/>
  <c r="CV35" i="4"/>
  <c r="CU35" i="4"/>
  <c r="CT35" i="4"/>
  <c r="CS35" i="4"/>
  <c r="CR35" i="4"/>
  <c r="CQ35" i="4"/>
  <c r="CP35" i="4"/>
  <c r="CO35" i="4"/>
  <c r="CN35" i="4"/>
  <c r="CM35" i="4"/>
  <c r="CL35" i="4"/>
  <c r="CK35" i="4"/>
  <c r="CJ35" i="4"/>
  <c r="CI35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A35" i="4"/>
  <c r="IV34" i="4"/>
  <c r="IU34" i="4"/>
  <c r="IT34" i="4"/>
  <c r="IS34" i="4"/>
  <c r="IR34" i="4"/>
  <c r="IQ34" i="4"/>
  <c r="IP34" i="4"/>
  <c r="IO34" i="4"/>
  <c r="IN34" i="4"/>
  <c r="IM34" i="4"/>
  <c r="IL34" i="4"/>
  <c r="IK34" i="4"/>
  <c r="IJ34" i="4"/>
  <c r="II34" i="4"/>
  <c r="IH34" i="4"/>
  <c r="IG34" i="4"/>
  <c r="IF34" i="4"/>
  <c r="IE34" i="4"/>
  <c r="ID34" i="4"/>
  <c r="IC34" i="4"/>
  <c r="IB34" i="4"/>
  <c r="IA34" i="4"/>
  <c r="HZ34" i="4"/>
  <c r="HY34" i="4"/>
  <c r="HX34" i="4"/>
  <c r="HW34" i="4"/>
  <c r="HV34" i="4"/>
  <c r="HU34" i="4"/>
  <c r="HT34" i="4"/>
  <c r="HS34" i="4"/>
  <c r="HR34" i="4"/>
  <c r="HQ34" i="4"/>
  <c r="HP34" i="4"/>
  <c r="HO34" i="4"/>
  <c r="HN34" i="4"/>
  <c r="HM34" i="4"/>
  <c r="HL34" i="4"/>
  <c r="HK34" i="4"/>
  <c r="HJ34" i="4"/>
  <c r="HI34" i="4"/>
  <c r="HH34" i="4"/>
  <c r="HG34" i="4"/>
  <c r="HF34" i="4"/>
  <c r="HE34" i="4"/>
  <c r="HD34" i="4"/>
  <c r="HC34" i="4"/>
  <c r="HB34" i="4"/>
  <c r="HA34" i="4"/>
  <c r="GZ34" i="4"/>
  <c r="GY34" i="4"/>
  <c r="GX34" i="4"/>
  <c r="GW34" i="4"/>
  <c r="GV34" i="4"/>
  <c r="GU34" i="4"/>
  <c r="GT34" i="4"/>
  <c r="GS34" i="4"/>
  <c r="GR34" i="4"/>
  <c r="GQ34" i="4"/>
  <c r="GP34" i="4"/>
  <c r="GO34" i="4"/>
  <c r="GN34" i="4"/>
  <c r="GM34" i="4"/>
  <c r="GL34" i="4"/>
  <c r="GK34" i="4"/>
  <c r="GJ34" i="4"/>
  <c r="GI34" i="4"/>
  <c r="GH34" i="4"/>
  <c r="GG34" i="4"/>
  <c r="GF34" i="4"/>
  <c r="GE34" i="4"/>
  <c r="GD34" i="4"/>
  <c r="GC34" i="4"/>
  <c r="GB34" i="4"/>
  <c r="GA34" i="4"/>
  <c r="FZ34" i="4"/>
  <c r="FY34" i="4"/>
  <c r="FX34" i="4"/>
  <c r="FW34" i="4"/>
  <c r="FV34" i="4"/>
  <c r="FU34" i="4"/>
  <c r="FT34" i="4"/>
  <c r="FS34" i="4"/>
  <c r="FR34" i="4"/>
  <c r="FQ34" i="4"/>
  <c r="FP34" i="4"/>
  <c r="FO34" i="4"/>
  <c r="FN34" i="4"/>
  <c r="FM34" i="4"/>
  <c r="FL34" i="4"/>
  <c r="FK34" i="4"/>
  <c r="FJ34" i="4"/>
  <c r="FI34" i="4"/>
  <c r="FH34" i="4"/>
  <c r="FG34" i="4"/>
  <c r="FF34" i="4"/>
  <c r="FE34" i="4"/>
  <c r="FD34" i="4"/>
  <c r="FC34" i="4"/>
  <c r="FB34" i="4"/>
  <c r="FA34" i="4"/>
  <c r="EZ34" i="4"/>
  <c r="EY34" i="4"/>
  <c r="EX34" i="4"/>
  <c r="EW34" i="4"/>
  <c r="EV34" i="4"/>
  <c r="EU34" i="4"/>
  <c r="ET34" i="4"/>
  <c r="ES34" i="4"/>
  <c r="ER34" i="4"/>
  <c r="EQ34" i="4"/>
  <c r="EP34" i="4"/>
  <c r="EO34" i="4"/>
  <c r="EN34" i="4"/>
  <c r="EM34" i="4"/>
  <c r="EL34" i="4"/>
  <c r="EK34" i="4"/>
  <c r="EJ34" i="4"/>
  <c r="EI34" i="4"/>
  <c r="EH34" i="4"/>
  <c r="EG34" i="4"/>
  <c r="EF34" i="4"/>
  <c r="EE34" i="4"/>
  <c r="ED34" i="4"/>
  <c r="EC34" i="4"/>
  <c r="EB34" i="4"/>
  <c r="EA34" i="4"/>
  <c r="DZ34" i="4"/>
  <c r="DY34" i="4"/>
  <c r="DX34" i="4"/>
  <c r="DW34" i="4"/>
  <c r="DV34" i="4"/>
  <c r="DU34" i="4"/>
  <c r="DT34" i="4"/>
  <c r="DS34" i="4"/>
  <c r="DR34" i="4"/>
  <c r="DQ34" i="4"/>
  <c r="DP34" i="4"/>
  <c r="DO34" i="4"/>
  <c r="DN34" i="4"/>
  <c r="DM34" i="4"/>
  <c r="DL34" i="4"/>
  <c r="DK34" i="4"/>
  <c r="DJ34" i="4"/>
  <c r="DI34" i="4"/>
  <c r="DH34" i="4"/>
  <c r="DG34" i="4"/>
  <c r="DF34" i="4"/>
  <c r="DE34" i="4"/>
  <c r="DD34" i="4"/>
  <c r="DC34" i="4"/>
  <c r="DB34" i="4"/>
  <c r="DA34" i="4"/>
  <c r="CZ34" i="4"/>
  <c r="CY34" i="4"/>
  <c r="CX34" i="4"/>
  <c r="CW34" i="4"/>
  <c r="CV34" i="4"/>
  <c r="CU34" i="4"/>
  <c r="CT34" i="4"/>
  <c r="CS34" i="4"/>
  <c r="CR34" i="4"/>
  <c r="CQ34" i="4"/>
  <c r="CP34" i="4"/>
  <c r="CO34" i="4"/>
  <c r="CN34" i="4"/>
  <c r="CM34" i="4"/>
  <c r="CL34" i="4"/>
  <c r="CK34" i="4"/>
  <c r="CJ34" i="4"/>
  <c r="CI34" i="4"/>
  <c r="CH34" i="4"/>
  <c r="CG34" i="4"/>
  <c r="CF34" i="4"/>
  <c r="CE34" i="4"/>
  <c r="CD34" i="4"/>
  <c r="CC34" i="4"/>
  <c r="CB34" i="4"/>
  <c r="CA34" i="4"/>
  <c r="BZ34" i="4"/>
  <c r="BY34" i="4"/>
  <c r="BX34" i="4"/>
  <c r="BW34" i="4"/>
  <c r="BV34" i="4"/>
  <c r="BU34" i="4"/>
  <c r="BT34" i="4"/>
  <c r="BS34" i="4"/>
  <c r="BR34" i="4"/>
  <c r="BQ34" i="4"/>
  <c r="BP34" i="4"/>
  <c r="BO34" i="4"/>
  <c r="BN34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A34" i="4"/>
  <c r="IV33" i="4"/>
  <c r="IU33" i="4"/>
  <c r="IT33" i="4"/>
  <c r="IS33" i="4"/>
  <c r="IR33" i="4"/>
  <c r="IQ33" i="4"/>
  <c r="IP33" i="4"/>
  <c r="IO33" i="4"/>
  <c r="IN33" i="4"/>
  <c r="IM33" i="4"/>
  <c r="IL33" i="4"/>
  <c r="IK33" i="4"/>
  <c r="IJ33" i="4"/>
  <c r="II33" i="4"/>
  <c r="IH33" i="4"/>
  <c r="IG33" i="4"/>
  <c r="IF33" i="4"/>
  <c r="IE33" i="4"/>
  <c r="ID33" i="4"/>
  <c r="IC33" i="4"/>
  <c r="IB33" i="4"/>
  <c r="IA33" i="4"/>
  <c r="HZ33" i="4"/>
  <c r="HY33" i="4"/>
  <c r="HX33" i="4"/>
  <c r="HW33" i="4"/>
  <c r="HV33" i="4"/>
  <c r="HU33" i="4"/>
  <c r="HT33" i="4"/>
  <c r="HS33" i="4"/>
  <c r="HR33" i="4"/>
  <c r="HQ33" i="4"/>
  <c r="HP33" i="4"/>
  <c r="HO33" i="4"/>
  <c r="HN33" i="4"/>
  <c r="HM33" i="4"/>
  <c r="HL33" i="4"/>
  <c r="HK33" i="4"/>
  <c r="HJ33" i="4"/>
  <c r="HI33" i="4"/>
  <c r="HH33" i="4"/>
  <c r="HG33" i="4"/>
  <c r="HF33" i="4"/>
  <c r="HE33" i="4"/>
  <c r="HD33" i="4"/>
  <c r="HC33" i="4"/>
  <c r="HB33" i="4"/>
  <c r="HA33" i="4"/>
  <c r="GZ33" i="4"/>
  <c r="GY33" i="4"/>
  <c r="GX33" i="4"/>
  <c r="GW33" i="4"/>
  <c r="GV33" i="4"/>
  <c r="GU33" i="4"/>
  <c r="GT33" i="4"/>
  <c r="GS33" i="4"/>
  <c r="GR33" i="4"/>
  <c r="GQ33" i="4"/>
  <c r="GP33" i="4"/>
  <c r="GO33" i="4"/>
  <c r="GN33" i="4"/>
  <c r="GM33" i="4"/>
  <c r="GL33" i="4"/>
  <c r="GK33" i="4"/>
  <c r="GJ33" i="4"/>
  <c r="GI33" i="4"/>
  <c r="GH33" i="4"/>
  <c r="GG33" i="4"/>
  <c r="GF33" i="4"/>
  <c r="GE33" i="4"/>
  <c r="GD33" i="4"/>
  <c r="GC33" i="4"/>
  <c r="GB33" i="4"/>
  <c r="GA33" i="4"/>
  <c r="FZ33" i="4"/>
  <c r="FY33" i="4"/>
  <c r="FX33" i="4"/>
  <c r="FW33" i="4"/>
  <c r="FV33" i="4"/>
  <c r="FU33" i="4"/>
  <c r="FT33" i="4"/>
  <c r="FS33" i="4"/>
  <c r="FR33" i="4"/>
  <c r="FQ33" i="4"/>
  <c r="FP33" i="4"/>
  <c r="FO33" i="4"/>
  <c r="FN33" i="4"/>
  <c r="FM33" i="4"/>
  <c r="FL33" i="4"/>
  <c r="FK33" i="4"/>
  <c r="FJ33" i="4"/>
  <c r="FI33" i="4"/>
  <c r="FH33" i="4"/>
  <c r="FG33" i="4"/>
  <c r="FF33" i="4"/>
  <c r="FE33" i="4"/>
  <c r="FD33" i="4"/>
  <c r="FC33" i="4"/>
  <c r="FB33" i="4"/>
  <c r="FA33" i="4"/>
  <c r="EZ33" i="4"/>
  <c r="EY33" i="4"/>
  <c r="EX33" i="4"/>
  <c r="EW33" i="4"/>
  <c r="EV33" i="4"/>
  <c r="EU33" i="4"/>
  <c r="ET33" i="4"/>
  <c r="ES33" i="4"/>
  <c r="ER33" i="4"/>
  <c r="EQ33" i="4"/>
  <c r="EP33" i="4"/>
  <c r="EO33" i="4"/>
  <c r="EN33" i="4"/>
  <c r="EM33" i="4"/>
  <c r="EL33" i="4"/>
  <c r="EK33" i="4"/>
  <c r="EJ33" i="4"/>
  <c r="EI33" i="4"/>
  <c r="EH33" i="4"/>
  <c r="EG33" i="4"/>
  <c r="EF33" i="4"/>
  <c r="EE33" i="4"/>
  <c r="ED33" i="4"/>
  <c r="EC33" i="4"/>
  <c r="EB33" i="4"/>
  <c r="EA33" i="4"/>
  <c r="DZ33" i="4"/>
  <c r="DY33" i="4"/>
  <c r="DX33" i="4"/>
  <c r="DW33" i="4"/>
  <c r="DV33" i="4"/>
  <c r="DU33" i="4"/>
  <c r="DT33" i="4"/>
  <c r="DS33" i="4"/>
  <c r="DR33" i="4"/>
  <c r="DQ33" i="4"/>
  <c r="DP33" i="4"/>
  <c r="DO33" i="4"/>
  <c r="DN33" i="4"/>
  <c r="DM33" i="4"/>
  <c r="DL33" i="4"/>
  <c r="DK33" i="4"/>
  <c r="DJ33" i="4"/>
  <c r="DI33" i="4"/>
  <c r="DH33" i="4"/>
  <c r="DG33" i="4"/>
  <c r="DF33" i="4"/>
  <c r="DE33" i="4"/>
  <c r="DD33" i="4"/>
  <c r="DC33" i="4"/>
  <c r="DB33" i="4"/>
  <c r="DA33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A33" i="4"/>
  <c r="IV32" i="4"/>
  <c r="IU32" i="4"/>
  <c r="IT32" i="4"/>
  <c r="IS32" i="4"/>
  <c r="IR32" i="4"/>
  <c r="IQ32" i="4"/>
  <c r="IP32" i="4"/>
  <c r="IO32" i="4"/>
  <c r="IN32" i="4"/>
  <c r="IM32" i="4"/>
  <c r="IL32" i="4"/>
  <c r="IK32" i="4"/>
  <c r="IJ32" i="4"/>
  <c r="II32" i="4"/>
  <c r="IH32" i="4"/>
  <c r="IG32" i="4"/>
  <c r="IF32" i="4"/>
  <c r="IE32" i="4"/>
  <c r="ID32" i="4"/>
  <c r="IC32" i="4"/>
  <c r="IB32" i="4"/>
  <c r="IA32" i="4"/>
  <c r="HZ32" i="4"/>
  <c r="HY32" i="4"/>
  <c r="HX32" i="4"/>
  <c r="HW32" i="4"/>
  <c r="HV32" i="4"/>
  <c r="HU32" i="4"/>
  <c r="HT32" i="4"/>
  <c r="HS32" i="4"/>
  <c r="HR32" i="4"/>
  <c r="HQ32" i="4"/>
  <c r="HP32" i="4"/>
  <c r="HO32" i="4"/>
  <c r="HN32" i="4"/>
  <c r="HM32" i="4"/>
  <c r="HL32" i="4"/>
  <c r="HK32" i="4"/>
  <c r="HJ32" i="4"/>
  <c r="HI32" i="4"/>
  <c r="HH32" i="4"/>
  <c r="HG32" i="4"/>
  <c r="HF32" i="4"/>
  <c r="HE32" i="4"/>
  <c r="HD32" i="4"/>
  <c r="HC32" i="4"/>
  <c r="HB32" i="4"/>
  <c r="HA32" i="4"/>
  <c r="GZ32" i="4"/>
  <c r="GY32" i="4"/>
  <c r="GX32" i="4"/>
  <c r="GW32" i="4"/>
  <c r="GV32" i="4"/>
  <c r="GU32" i="4"/>
  <c r="GT32" i="4"/>
  <c r="GS32" i="4"/>
  <c r="GR32" i="4"/>
  <c r="GQ32" i="4"/>
  <c r="GP32" i="4"/>
  <c r="GO32" i="4"/>
  <c r="GN32" i="4"/>
  <c r="GM32" i="4"/>
  <c r="GL32" i="4"/>
  <c r="GK32" i="4"/>
  <c r="GJ32" i="4"/>
  <c r="GI32" i="4"/>
  <c r="GH32" i="4"/>
  <c r="GG32" i="4"/>
  <c r="GF32" i="4"/>
  <c r="GE32" i="4"/>
  <c r="GD32" i="4"/>
  <c r="GC32" i="4"/>
  <c r="GB32" i="4"/>
  <c r="GA32" i="4"/>
  <c r="FZ32" i="4"/>
  <c r="FY32" i="4"/>
  <c r="FX32" i="4"/>
  <c r="FW32" i="4"/>
  <c r="FV32" i="4"/>
  <c r="FU32" i="4"/>
  <c r="FT32" i="4"/>
  <c r="FS32" i="4"/>
  <c r="FR32" i="4"/>
  <c r="FQ32" i="4"/>
  <c r="FP32" i="4"/>
  <c r="FO32" i="4"/>
  <c r="FN32" i="4"/>
  <c r="FM32" i="4"/>
  <c r="FL32" i="4"/>
  <c r="FK32" i="4"/>
  <c r="FJ32" i="4"/>
  <c r="FI32" i="4"/>
  <c r="FH32" i="4"/>
  <c r="FG32" i="4"/>
  <c r="FF32" i="4"/>
  <c r="FE32" i="4"/>
  <c r="FD32" i="4"/>
  <c r="FC32" i="4"/>
  <c r="FB32" i="4"/>
  <c r="FA32" i="4"/>
  <c r="EZ32" i="4"/>
  <c r="EY32" i="4"/>
  <c r="EX32" i="4"/>
  <c r="EW32" i="4"/>
  <c r="EV32" i="4"/>
  <c r="EU32" i="4"/>
  <c r="ET32" i="4"/>
  <c r="ES32" i="4"/>
  <c r="ER32" i="4"/>
  <c r="EQ32" i="4"/>
  <c r="EP32" i="4"/>
  <c r="EO32" i="4"/>
  <c r="EN32" i="4"/>
  <c r="EM32" i="4"/>
  <c r="EL32" i="4"/>
  <c r="EK32" i="4"/>
  <c r="EJ32" i="4"/>
  <c r="EI32" i="4"/>
  <c r="EH32" i="4"/>
  <c r="EG32" i="4"/>
  <c r="EF32" i="4"/>
  <c r="EE32" i="4"/>
  <c r="ED32" i="4"/>
  <c r="EC32" i="4"/>
  <c r="EB32" i="4"/>
  <c r="EA32" i="4"/>
  <c r="DZ32" i="4"/>
  <c r="DY32" i="4"/>
  <c r="DX32" i="4"/>
  <c r="DW32" i="4"/>
  <c r="DV32" i="4"/>
  <c r="DU32" i="4"/>
  <c r="DT32" i="4"/>
  <c r="DS32" i="4"/>
  <c r="DR32" i="4"/>
  <c r="DQ32" i="4"/>
  <c r="DP32" i="4"/>
  <c r="DO32" i="4"/>
  <c r="DN32" i="4"/>
  <c r="DM32" i="4"/>
  <c r="DL32" i="4"/>
  <c r="DK32" i="4"/>
  <c r="DJ32" i="4"/>
  <c r="DI32" i="4"/>
  <c r="DH32" i="4"/>
  <c r="DG32" i="4"/>
  <c r="DF32" i="4"/>
  <c r="DE32" i="4"/>
  <c r="DD32" i="4"/>
  <c r="DC32" i="4"/>
  <c r="DB32" i="4"/>
  <c r="DA32" i="4"/>
  <c r="CZ32" i="4"/>
  <c r="CY32" i="4"/>
  <c r="CX32" i="4"/>
  <c r="CW32" i="4"/>
  <c r="CV32" i="4"/>
  <c r="CU32" i="4"/>
  <c r="CT32" i="4"/>
  <c r="CS32" i="4"/>
  <c r="CR32" i="4"/>
  <c r="CQ32" i="4"/>
  <c r="CP32" i="4"/>
  <c r="CO32" i="4"/>
  <c r="CN32" i="4"/>
  <c r="CM32" i="4"/>
  <c r="CL32" i="4"/>
  <c r="CK32" i="4"/>
  <c r="CJ32" i="4"/>
  <c r="CI32" i="4"/>
  <c r="CH32" i="4"/>
  <c r="CG32" i="4"/>
  <c r="CF32" i="4"/>
  <c r="CE32" i="4"/>
  <c r="CD32" i="4"/>
  <c r="CC32" i="4"/>
  <c r="CB32" i="4"/>
  <c r="CA32" i="4"/>
  <c r="BZ32" i="4"/>
  <c r="BY32" i="4"/>
  <c r="BX32" i="4"/>
  <c r="BW32" i="4"/>
  <c r="BV32" i="4"/>
  <c r="BU32" i="4"/>
  <c r="BT32" i="4"/>
  <c r="BS32" i="4"/>
  <c r="BR32" i="4"/>
  <c r="BQ32" i="4"/>
  <c r="BP32" i="4"/>
  <c r="BO32" i="4"/>
  <c r="BN32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A32" i="4"/>
  <c r="IV31" i="4"/>
  <c r="IU31" i="4"/>
  <c r="IT31" i="4"/>
  <c r="IS31" i="4"/>
  <c r="IR31" i="4"/>
  <c r="IQ31" i="4"/>
  <c r="IP31" i="4"/>
  <c r="IO31" i="4"/>
  <c r="IN31" i="4"/>
  <c r="IM31" i="4"/>
  <c r="IL31" i="4"/>
  <c r="IK31" i="4"/>
  <c r="IJ31" i="4"/>
  <c r="II31" i="4"/>
  <c r="IH31" i="4"/>
  <c r="IG31" i="4"/>
  <c r="IF31" i="4"/>
  <c r="IE31" i="4"/>
  <c r="ID31" i="4"/>
  <c r="IC31" i="4"/>
  <c r="IB31" i="4"/>
  <c r="IA31" i="4"/>
  <c r="HZ31" i="4"/>
  <c r="HY31" i="4"/>
  <c r="HX31" i="4"/>
  <c r="HW31" i="4"/>
  <c r="HV31" i="4"/>
  <c r="HU31" i="4"/>
  <c r="HT31" i="4"/>
  <c r="HS31" i="4"/>
  <c r="HR31" i="4"/>
  <c r="HQ31" i="4"/>
  <c r="HP31" i="4"/>
  <c r="HO31" i="4"/>
  <c r="HN31" i="4"/>
  <c r="HM31" i="4"/>
  <c r="HL31" i="4"/>
  <c r="HK31" i="4"/>
  <c r="HJ31" i="4"/>
  <c r="HI31" i="4"/>
  <c r="HH31" i="4"/>
  <c r="HG31" i="4"/>
  <c r="HF31" i="4"/>
  <c r="HE31" i="4"/>
  <c r="HD31" i="4"/>
  <c r="HC31" i="4"/>
  <c r="HB31" i="4"/>
  <c r="HA31" i="4"/>
  <c r="GZ31" i="4"/>
  <c r="GY31" i="4"/>
  <c r="GX31" i="4"/>
  <c r="GW31" i="4"/>
  <c r="GV31" i="4"/>
  <c r="GU31" i="4"/>
  <c r="GT31" i="4"/>
  <c r="GS31" i="4"/>
  <c r="GR31" i="4"/>
  <c r="GQ31" i="4"/>
  <c r="GP31" i="4"/>
  <c r="GO31" i="4"/>
  <c r="GN31" i="4"/>
  <c r="GM31" i="4"/>
  <c r="GL31" i="4"/>
  <c r="GK31" i="4"/>
  <c r="GJ31" i="4"/>
  <c r="GI31" i="4"/>
  <c r="GH31" i="4"/>
  <c r="GG31" i="4"/>
  <c r="GF31" i="4"/>
  <c r="GE31" i="4"/>
  <c r="GD31" i="4"/>
  <c r="GC31" i="4"/>
  <c r="GB31" i="4"/>
  <c r="GA31" i="4"/>
  <c r="FZ31" i="4"/>
  <c r="FY31" i="4"/>
  <c r="FX31" i="4"/>
  <c r="FW31" i="4"/>
  <c r="FV31" i="4"/>
  <c r="FU31" i="4"/>
  <c r="FT31" i="4"/>
  <c r="FS31" i="4"/>
  <c r="FR31" i="4"/>
  <c r="FQ31" i="4"/>
  <c r="FP31" i="4"/>
  <c r="FO31" i="4"/>
  <c r="FN31" i="4"/>
  <c r="FM31" i="4"/>
  <c r="FL31" i="4"/>
  <c r="FK31" i="4"/>
  <c r="FJ31" i="4"/>
  <c r="FI31" i="4"/>
  <c r="FH31" i="4"/>
  <c r="FG31" i="4"/>
  <c r="FF31" i="4"/>
  <c r="FE31" i="4"/>
  <c r="FD31" i="4"/>
  <c r="FC31" i="4"/>
  <c r="FB31" i="4"/>
  <c r="FA31" i="4"/>
  <c r="EZ31" i="4"/>
  <c r="EY31" i="4"/>
  <c r="EX31" i="4"/>
  <c r="EW31" i="4"/>
  <c r="EV31" i="4"/>
  <c r="EU31" i="4"/>
  <c r="ET31" i="4"/>
  <c r="ES31" i="4"/>
  <c r="ER31" i="4"/>
  <c r="EQ31" i="4"/>
  <c r="EP31" i="4"/>
  <c r="EO31" i="4"/>
  <c r="EN31" i="4"/>
  <c r="EM31" i="4"/>
  <c r="EL31" i="4"/>
  <c r="EK31" i="4"/>
  <c r="EJ31" i="4"/>
  <c r="EI31" i="4"/>
  <c r="EH31" i="4"/>
  <c r="EG31" i="4"/>
  <c r="EF31" i="4"/>
  <c r="EE31" i="4"/>
  <c r="ED31" i="4"/>
  <c r="EC31" i="4"/>
  <c r="EB31" i="4"/>
  <c r="EA31" i="4"/>
  <c r="DZ31" i="4"/>
  <c r="DY31" i="4"/>
  <c r="DX31" i="4"/>
  <c r="DW31" i="4"/>
  <c r="DV31" i="4"/>
  <c r="DU31" i="4"/>
  <c r="DT31" i="4"/>
  <c r="DS31" i="4"/>
  <c r="DR31" i="4"/>
  <c r="DQ31" i="4"/>
  <c r="DP31" i="4"/>
  <c r="DO31" i="4"/>
  <c r="DN31" i="4"/>
  <c r="DM31" i="4"/>
  <c r="DL31" i="4"/>
  <c r="DK31" i="4"/>
  <c r="DJ31" i="4"/>
  <c r="DI31" i="4"/>
  <c r="DH31" i="4"/>
  <c r="DG31" i="4"/>
  <c r="DF31" i="4"/>
  <c r="DE31" i="4"/>
  <c r="DD31" i="4"/>
  <c r="DC31" i="4"/>
  <c r="DB31" i="4"/>
  <c r="DA31" i="4"/>
  <c r="CZ31" i="4"/>
  <c r="CY31" i="4"/>
  <c r="CX31" i="4"/>
  <c r="CW31" i="4"/>
  <c r="CV31" i="4"/>
  <c r="CU31" i="4"/>
  <c r="CT31" i="4"/>
  <c r="CS31" i="4"/>
  <c r="CR31" i="4"/>
  <c r="CQ31" i="4"/>
  <c r="CP31" i="4"/>
  <c r="CO31" i="4"/>
  <c r="CN31" i="4"/>
  <c r="CM31" i="4"/>
  <c r="CL31" i="4"/>
  <c r="CK31" i="4"/>
  <c r="CJ31" i="4"/>
  <c r="CI31" i="4"/>
  <c r="CH31" i="4"/>
  <c r="CG31" i="4"/>
  <c r="CF31" i="4"/>
  <c r="CE31" i="4"/>
  <c r="CD31" i="4"/>
  <c r="CC31" i="4"/>
  <c r="CB31" i="4"/>
  <c r="CA31" i="4"/>
  <c r="BZ31" i="4"/>
  <c r="BY31" i="4"/>
  <c r="BX31" i="4"/>
  <c r="BW31" i="4"/>
  <c r="BV31" i="4"/>
  <c r="BU31" i="4"/>
  <c r="BT31" i="4"/>
  <c r="BS31" i="4"/>
  <c r="BR31" i="4"/>
  <c r="BQ31" i="4"/>
  <c r="BP31" i="4"/>
  <c r="BO31" i="4"/>
  <c r="BN31" i="4"/>
  <c r="BM31" i="4"/>
  <c r="BL31" i="4"/>
  <c r="BK31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AT31" i="4"/>
  <c r="AS31" i="4"/>
  <c r="AR31" i="4"/>
  <c r="AQ31" i="4"/>
  <c r="AP31" i="4"/>
  <c r="AO31" i="4"/>
  <c r="AN31" i="4"/>
  <c r="AM31" i="4"/>
  <c r="AL31" i="4"/>
  <c r="AK31" i="4"/>
  <c r="AJ31" i="4"/>
  <c r="AI31" i="4"/>
  <c r="AH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A31" i="4"/>
  <c r="IV30" i="4"/>
  <c r="IU30" i="4"/>
  <c r="IT30" i="4"/>
  <c r="IS30" i="4"/>
  <c r="IR30" i="4"/>
  <c r="IQ30" i="4"/>
  <c r="IP30" i="4"/>
  <c r="IO30" i="4"/>
  <c r="IN30" i="4"/>
  <c r="IM30" i="4"/>
  <c r="IL30" i="4"/>
  <c r="IK30" i="4"/>
  <c r="IJ30" i="4"/>
  <c r="II30" i="4"/>
  <c r="IH30" i="4"/>
  <c r="IG30" i="4"/>
  <c r="IF30" i="4"/>
  <c r="IE30" i="4"/>
  <c r="ID30" i="4"/>
  <c r="IC30" i="4"/>
  <c r="IB30" i="4"/>
  <c r="IA30" i="4"/>
  <c r="HZ30" i="4"/>
  <c r="HY30" i="4"/>
  <c r="HX30" i="4"/>
  <c r="HW30" i="4"/>
  <c r="HV30" i="4"/>
  <c r="HU30" i="4"/>
  <c r="HT30" i="4"/>
  <c r="HS30" i="4"/>
  <c r="HR30" i="4"/>
  <c r="HQ30" i="4"/>
  <c r="HP30" i="4"/>
  <c r="HO30" i="4"/>
  <c r="HN30" i="4"/>
  <c r="HM30" i="4"/>
  <c r="HL30" i="4"/>
  <c r="HK30" i="4"/>
  <c r="HJ30" i="4"/>
  <c r="HI30" i="4"/>
  <c r="HH30" i="4"/>
  <c r="HG30" i="4"/>
  <c r="HF30" i="4"/>
  <c r="HE30" i="4"/>
  <c r="HD30" i="4"/>
  <c r="HC30" i="4"/>
  <c r="HB30" i="4"/>
  <c r="HA30" i="4"/>
  <c r="GZ30" i="4"/>
  <c r="GY30" i="4"/>
  <c r="GX30" i="4"/>
  <c r="GW30" i="4"/>
  <c r="GV30" i="4"/>
  <c r="GU30" i="4"/>
  <c r="GT30" i="4"/>
  <c r="GS30" i="4"/>
  <c r="GR30" i="4"/>
  <c r="GQ30" i="4"/>
  <c r="GP30" i="4"/>
  <c r="GO30" i="4"/>
  <c r="GN30" i="4"/>
  <c r="GM30" i="4"/>
  <c r="GL30" i="4"/>
  <c r="GK30" i="4"/>
  <c r="GJ30" i="4"/>
  <c r="GI30" i="4"/>
  <c r="GH30" i="4"/>
  <c r="GG30" i="4"/>
  <c r="GF30" i="4"/>
  <c r="GE30" i="4"/>
  <c r="GD30" i="4"/>
  <c r="GC30" i="4"/>
  <c r="GB30" i="4"/>
  <c r="GA30" i="4"/>
  <c r="FZ30" i="4"/>
  <c r="FY30" i="4"/>
  <c r="FX30" i="4"/>
  <c r="FW30" i="4"/>
  <c r="FV30" i="4"/>
  <c r="FU30" i="4"/>
  <c r="FT30" i="4"/>
  <c r="FS30" i="4"/>
  <c r="FR30" i="4"/>
  <c r="FQ30" i="4"/>
  <c r="FP30" i="4"/>
  <c r="FO30" i="4"/>
  <c r="FN30" i="4"/>
  <c r="FM30" i="4"/>
  <c r="FL30" i="4"/>
  <c r="FK30" i="4"/>
  <c r="FJ30" i="4"/>
  <c r="FI30" i="4"/>
  <c r="FH30" i="4"/>
  <c r="FG30" i="4"/>
  <c r="FF30" i="4"/>
  <c r="FE30" i="4"/>
  <c r="FD30" i="4"/>
  <c r="FC30" i="4"/>
  <c r="FB30" i="4"/>
  <c r="FA30" i="4"/>
  <c r="EZ30" i="4"/>
  <c r="EY30" i="4"/>
  <c r="EX30" i="4"/>
  <c r="EW30" i="4"/>
  <c r="EV30" i="4"/>
  <c r="EU30" i="4"/>
  <c r="ET30" i="4"/>
  <c r="ES30" i="4"/>
  <c r="ER30" i="4"/>
  <c r="EQ30" i="4"/>
  <c r="EP30" i="4"/>
  <c r="EO30" i="4"/>
  <c r="EN30" i="4"/>
  <c r="EM30" i="4"/>
  <c r="EL30" i="4"/>
  <c r="EK30" i="4"/>
  <c r="EJ30" i="4"/>
  <c r="EI30" i="4"/>
  <c r="EH30" i="4"/>
  <c r="EG30" i="4"/>
  <c r="EF30" i="4"/>
  <c r="EE30" i="4"/>
  <c r="ED30" i="4"/>
  <c r="EC30" i="4"/>
  <c r="EB30" i="4"/>
  <c r="EA30" i="4"/>
  <c r="DZ30" i="4"/>
  <c r="DY30" i="4"/>
  <c r="DX30" i="4"/>
  <c r="DW30" i="4"/>
  <c r="DV30" i="4"/>
  <c r="DU30" i="4"/>
  <c r="DT30" i="4"/>
  <c r="DS30" i="4"/>
  <c r="DR30" i="4"/>
  <c r="DQ30" i="4"/>
  <c r="DP30" i="4"/>
  <c r="DO30" i="4"/>
  <c r="DN30" i="4"/>
  <c r="DM30" i="4"/>
  <c r="DL30" i="4"/>
  <c r="DK30" i="4"/>
  <c r="DJ30" i="4"/>
  <c r="DI30" i="4"/>
  <c r="DH30" i="4"/>
  <c r="DG30" i="4"/>
  <c r="DF30" i="4"/>
  <c r="DE30" i="4"/>
  <c r="DD30" i="4"/>
  <c r="DC30" i="4"/>
  <c r="DB30" i="4"/>
  <c r="DA30" i="4"/>
  <c r="CZ30" i="4"/>
  <c r="CY30" i="4"/>
  <c r="CX30" i="4"/>
  <c r="CW30" i="4"/>
  <c r="CV30" i="4"/>
  <c r="CU30" i="4"/>
  <c r="CT30" i="4"/>
  <c r="CS30" i="4"/>
  <c r="CR30" i="4"/>
  <c r="CQ30" i="4"/>
  <c r="CP30" i="4"/>
  <c r="CO30" i="4"/>
  <c r="CN30" i="4"/>
  <c r="CM30" i="4"/>
  <c r="CL30" i="4"/>
  <c r="CK30" i="4"/>
  <c r="CJ30" i="4"/>
  <c r="CI30" i="4"/>
  <c r="CH30" i="4"/>
  <c r="CG30" i="4"/>
  <c r="CF30" i="4"/>
  <c r="CE30" i="4"/>
  <c r="CD30" i="4"/>
  <c r="CC30" i="4"/>
  <c r="CB30" i="4"/>
  <c r="CA30" i="4"/>
  <c r="BZ30" i="4"/>
  <c r="BY30" i="4"/>
  <c r="BX30" i="4"/>
  <c r="BW30" i="4"/>
  <c r="BV30" i="4"/>
  <c r="BU30" i="4"/>
  <c r="BT30" i="4"/>
  <c r="BS30" i="4"/>
  <c r="BR30" i="4"/>
  <c r="BQ30" i="4"/>
  <c r="BP30" i="4"/>
  <c r="BO30" i="4"/>
  <c r="BN30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A30" i="4"/>
  <c r="IV29" i="4"/>
  <c r="IU29" i="4"/>
  <c r="IT29" i="4"/>
  <c r="IS29" i="4"/>
  <c r="IR29" i="4"/>
  <c r="IQ29" i="4"/>
  <c r="IP29" i="4"/>
  <c r="IO29" i="4"/>
  <c r="IN29" i="4"/>
  <c r="IM29" i="4"/>
  <c r="IL29" i="4"/>
  <c r="IK29" i="4"/>
  <c r="IJ29" i="4"/>
  <c r="II29" i="4"/>
  <c r="IH29" i="4"/>
  <c r="IG29" i="4"/>
  <c r="IF29" i="4"/>
  <c r="IE29" i="4"/>
  <c r="ID29" i="4"/>
  <c r="IC29" i="4"/>
  <c r="IB29" i="4"/>
  <c r="IA29" i="4"/>
  <c r="HZ29" i="4"/>
  <c r="HY29" i="4"/>
  <c r="HX29" i="4"/>
  <c r="HW29" i="4"/>
  <c r="HV29" i="4"/>
  <c r="HU29" i="4"/>
  <c r="HT29" i="4"/>
  <c r="HS29" i="4"/>
  <c r="HR29" i="4"/>
  <c r="HQ29" i="4"/>
  <c r="HP29" i="4"/>
  <c r="HO29" i="4"/>
  <c r="HN29" i="4"/>
  <c r="HM29" i="4"/>
  <c r="HL29" i="4"/>
  <c r="HK29" i="4"/>
  <c r="HJ29" i="4"/>
  <c r="HI29" i="4"/>
  <c r="HH29" i="4"/>
  <c r="HG29" i="4"/>
  <c r="HF29" i="4"/>
  <c r="HE29" i="4"/>
  <c r="HD29" i="4"/>
  <c r="HC29" i="4"/>
  <c r="HB29" i="4"/>
  <c r="HA29" i="4"/>
  <c r="GZ29" i="4"/>
  <c r="GY29" i="4"/>
  <c r="GX29" i="4"/>
  <c r="GW29" i="4"/>
  <c r="GV29" i="4"/>
  <c r="GU29" i="4"/>
  <c r="GT29" i="4"/>
  <c r="GS29" i="4"/>
  <c r="GR29" i="4"/>
  <c r="GQ29" i="4"/>
  <c r="GP29" i="4"/>
  <c r="GO29" i="4"/>
  <c r="GN29" i="4"/>
  <c r="GM29" i="4"/>
  <c r="GL29" i="4"/>
  <c r="GK29" i="4"/>
  <c r="GJ29" i="4"/>
  <c r="GI29" i="4"/>
  <c r="GH29" i="4"/>
  <c r="GG29" i="4"/>
  <c r="GF29" i="4"/>
  <c r="GE29" i="4"/>
  <c r="GD29" i="4"/>
  <c r="GC29" i="4"/>
  <c r="GB29" i="4"/>
  <c r="GA29" i="4"/>
  <c r="FZ29" i="4"/>
  <c r="FY29" i="4"/>
  <c r="FX29" i="4"/>
  <c r="FW29" i="4"/>
  <c r="FV29" i="4"/>
  <c r="FU29" i="4"/>
  <c r="FT29" i="4"/>
  <c r="FS29" i="4"/>
  <c r="FR29" i="4"/>
  <c r="FQ29" i="4"/>
  <c r="FP29" i="4"/>
  <c r="FO29" i="4"/>
  <c r="FN29" i="4"/>
  <c r="FM29" i="4"/>
  <c r="FL29" i="4"/>
  <c r="FK29" i="4"/>
  <c r="FJ29" i="4"/>
  <c r="FI29" i="4"/>
  <c r="FH29" i="4"/>
  <c r="FG29" i="4"/>
  <c r="FF29" i="4"/>
  <c r="FE29" i="4"/>
  <c r="FD29" i="4"/>
  <c r="FC29" i="4"/>
  <c r="FB29" i="4"/>
  <c r="FA29" i="4"/>
  <c r="EZ29" i="4"/>
  <c r="EY29" i="4"/>
  <c r="EX29" i="4"/>
  <c r="EW29" i="4"/>
  <c r="EV29" i="4"/>
  <c r="EU29" i="4"/>
  <c r="ET29" i="4"/>
  <c r="ES29" i="4"/>
  <c r="ER29" i="4"/>
  <c r="EQ29" i="4"/>
  <c r="EP29" i="4"/>
  <c r="EO29" i="4"/>
  <c r="EN29" i="4"/>
  <c r="EM29" i="4"/>
  <c r="EL29" i="4"/>
  <c r="EK29" i="4"/>
  <c r="EJ29" i="4"/>
  <c r="EI29" i="4"/>
  <c r="EH29" i="4"/>
  <c r="EG29" i="4"/>
  <c r="EF29" i="4"/>
  <c r="EE29" i="4"/>
  <c r="ED29" i="4"/>
  <c r="EC29" i="4"/>
  <c r="EB29" i="4"/>
  <c r="EA29" i="4"/>
  <c r="DZ29" i="4"/>
  <c r="DY29" i="4"/>
  <c r="DX29" i="4"/>
  <c r="DW29" i="4"/>
  <c r="DV29" i="4"/>
  <c r="DU29" i="4"/>
  <c r="DT29" i="4"/>
  <c r="DS29" i="4"/>
  <c r="DR29" i="4"/>
  <c r="DQ29" i="4"/>
  <c r="DP29" i="4"/>
  <c r="DO29" i="4"/>
  <c r="DN29" i="4"/>
  <c r="DM29" i="4"/>
  <c r="DL29" i="4"/>
  <c r="DK29" i="4"/>
  <c r="DJ29" i="4"/>
  <c r="DI29" i="4"/>
  <c r="DH29" i="4"/>
  <c r="DG29" i="4"/>
  <c r="DF29" i="4"/>
  <c r="DE29" i="4"/>
  <c r="DD29" i="4"/>
  <c r="DC29" i="4"/>
  <c r="DB29" i="4"/>
  <c r="DA29" i="4"/>
  <c r="CZ29" i="4"/>
  <c r="CY29" i="4"/>
  <c r="CX29" i="4"/>
  <c r="CW29" i="4"/>
  <c r="CV29" i="4"/>
  <c r="CU29" i="4"/>
  <c r="CT29" i="4"/>
  <c r="CS29" i="4"/>
  <c r="CR29" i="4"/>
  <c r="CQ29" i="4"/>
  <c r="CP29" i="4"/>
  <c r="CO29" i="4"/>
  <c r="CN29" i="4"/>
  <c r="CM29" i="4"/>
  <c r="CL29" i="4"/>
  <c r="CK29" i="4"/>
  <c r="CJ29" i="4"/>
  <c r="CI29" i="4"/>
  <c r="CH29" i="4"/>
  <c r="CG29" i="4"/>
  <c r="CF29" i="4"/>
  <c r="CE29" i="4"/>
  <c r="CD29" i="4"/>
  <c r="CC29" i="4"/>
  <c r="CB29" i="4"/>
  <c r="CA29" i="4"/>
  <c r="BZ29" i="4"/>
  <c r="BY29" i="4"/>
  <c r="BX29" i="4"/>
  <c r="BW29" i="4"/>
  <c r="BV29" i="4"/>
  <c r="BU29" i="4"/>
  <c r="BT29" i="4"/>
  <c r="BS29" i="4"/>
  <c r="BR29" i="4"/>
  <c r="BQ29" i="4"/>
  <c r="BP29" i="4"/>
  <c r="BO29" i="4"/>
  <c r="BN29" i="4"/>
  <c r="BM29" i="4"/>
  <c r="BL29" i="4"/>
  <c r="BK29" i="4"/>
  <c r="BJ29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A29" i="4"/>
  <c r="IV28" i="4"/>
  <c r="IU28" i="4"/>
  <c r="IT28" i="4"/>
  <c r="IS28" i="4"/>
  <c r="IR28" i="4"/>
  <c r="IQ28" i="4"/>
  <c r="IP28" i="4"/>
  <c r="IO28" i="4"/>
  <c r="IN28" i="4"/>
  <c r="IM28" i="4"/>
  <c r="IL28" i="4"/>
  <c r="IK28" i="4"/>
  <c r="IJ28" i="4"/>
  <c r="II28" i="4"/>
  <c r="IH28" i="4"/>
  <c r="IG28" i="4"/>
  <c r="IF28" i="4"/>
  <c r="IE28" i="4"/>
  <c r="ID28" i="4"/>
  <c r="IC28" i="4"/>
  <c r="IB28" i="4"/>
  <c r="IA28" i="4"/>
  <c r="HZ28" i="4"/>
  <c r="HY28" i="4"/>
  <c r="HX28" i="4"/>
  <c r="HW28" i="4"/>
  <c r="HV28" i="4"/>
  <c r="HU28" i="4"/>
  <c r="HT28" i="4"/>
  <c r="HS28" i="4"/>
  <c r="HR28" i="4"/>
  <c r="HQ28" i="4"/>
  <c r="HP28" i="4"/>
  <c r="HO28" i="4"/>
  <c r="HN28" i="4"/>
  <c r="HM28" i="4"/>
  <c r="HL28" i="4"/>
  <c r="HK28" i="4"/>
  <c r="HJ28" i="4"/>
  <c r="HI28" i="4"/>
  <c r="HH28" i="4"/>
  <c r="HG28" i="4"/>
  <c r="HF28" i="4"/>
  <c r="HE28" i="4"/>
  <c r="HD28" i="4"/>
  <c r="HC28" i="4"/>
  <c r="HB28" i="4"/>
  <c r="HA28" i="4"/>
  <c r="GZ28" i="4"/>
  <c r="GY28" i="4"/>
  <c r="GX28" i="4"/>
  <c r="GW28" i="4"/>
  <c r="GV28" i="4"/>
  <c r="GU28" i="4"/>
  <c r="GT28" i="4"/>
  <c r="GS28" i="4"/>
  <c r="GR28" i="4"/>
  <c r="GQ28" i="4"/>
  <c r="GP28" i="4"/>
  <c r="GO28" i="4"/>
  <c r="GN28" i="4"/>
  <c r="GM28" i="4"/>
  <c r="GL28" i="4"/>
  <c r="GK28" i="4"/>
  <c r="GJ28" i="4"/>
  <c r="GI28" i="4"/>
  <c r="GH28" i="4"/>
  <c r="GG28" i="4"/>
  <c r="GF28" i="4"/>
  <c r="GE28" i="4"/>
  <c r="GD28" i="4"/>
  <c r="GC28" i="4"/>
  <c r="GB28" i="4"/>
  <c r="GA28" i="4"/>
  <c r="FZ28" i="4"/>
  <c r="FY28" i="4"/>
  <c r="FX28" i="4"/>
  <c r="FW28" i="4"/>
  <c r="FV28" i="4"/>
  <c r="FU28" i="4"/>
  <c r="FT28" i="4"/>
  <c r="FS28" i="4"/>
  <c r="FR28" i="4"/>
  <c r="FQ28" i="4"/>
  <c r="FP28" i="4"/>
  <c r="FO28" i="4"/>
  <c r="FN28" i="4"/>
  <c r="FM28" i="4"/>
  <c r="FL28" i="4"/>
  <c r="FK28" i="4"/>
  <c r="FJ28" i="4"/>
  <c r="FI28" i="4"/>
  <c r="FH28" i="4"/>
  <c r="FG28" i="4"/>
  <c r="FF28" i="4"/>
  <c r="FE28" i="4"/>
  <c r="FD28" i="4"/>
  <c r="FC28" i="4"/>
  <c r="FB28" i="4"/>
  <c r="FA28" i="4"/>
  <c r="EZ28" i="4"/>
  <c r="EY28" i="4"/>
  <c r="EX28" i="4"/>
  <c r="EW28" i="4"/>
  <c r="EV28" i="4"/>
  <c r="EU28" i="4"/>
  <c r="ET28" i="4"/>
  <c r="ES28" i="4"/>
  <c r="ER28" i="4"/>
  <c r="EQ28" i="4"/>
  <c r="EP28" i="4"/>
  <c r="EO28" i="4"/>
  <c r="EN28" i="4"/>
  <c r="EM28" i="4"/>
  <c r="EL28" i="4"/>
  <c r="EK28" i="4"/>
  <c r="EJ28" i="4"/>
  <c r="EI28" i="4"/>
  <c r="EH28" i="4"/>
  <c r="EG28" i="4"/>
  <c r="EF28" i="4"/>
  <c r="EE28" i="4"/>
  <c r="ED28" i="4"/>
  <c r="EC28" i="4"/>
  <c r="EB28" i="4"/>
  <c r="EA28" i="4"/>
  <c r="DZ28" i="4"/>
  <c r="DY28" i="4"/>
  <c r="DX28" i="4"/>
  <c r="DW28" i="4"/>
  <c r="DV28" i="4"/>
  <c r="DU28" i="4"/>
  <c r="DT28" i="4"/>
  <c r="DS28" i="4"/>
  <c r="DR28" i="4"/>
  <c r="DQ28" i="4"/>
  <c r="DP28" i="4"/>
  <c r="DO28" i="4"/>
  <c r="DN28" i="4"/>
  <c r="DM28" i="4"/>
  <c r="DL28" i="4"/>
  <c r="DK28" i="4"/>
  <c r="DJ28" i="4"/>
  <c r="DI28" i="4"/>
  <c r="DH28" i="4"/>
  <c r="DG28" i="4"/>
  <c r="DF28" i="4"/>
  <c r="DE28" i="4"/>
  <c r="DD28" i="4"/>
  <c r="DC28" i="4"/>
  <c r="DB28" i="4"/>
  <c r="DA28" i="4"/>
  <c r="CZ28" i="4"/>
  <c r="CY28" i="4"/>
  <c r="CX28" i="4"/>
  <c r="CW28" i="4"/>
  <c r="CV28" i="4"/>
  <c r="CU28" i="4"/>
  <c r="CT28" i="4"/>
  <c r="CS28" i="4"/>
  <c r="CR28" i="4"/>
  <c r="CQ28" i="4"/>
  <c r="CP28" i="4"/>
  <c r="CO28" i="4"/>
  <c r="CN28" i="4"/>
  <c r="CM28" i="4"/>
  <c r="CL28" i="4"/>
  <c r="CK28" i="4"/>
  <c r="CJ28" i="4"/>
  <c r="CI28" i="4"/>
  <c r="CH28" i="4"/>
  <c r="CG28" i="4"/>
  <c r="CF28" i="4"/>
  <c r="CE28" i="4"/>
  <c r="CD28" i="4"/>
  <c r="CC28" i="4"/>
  <c r="CB28" i="4"/>
  <c r="CA28" i="4"/>
  <c r="BZ28" i="4"/>
  <c r="BY28" i="4"/>
  <c r="BX28" i="4"/>
  <c r="BW28" i="4"/>
  <c r="BV28" i="4"/>
  <c r="BU28" i="4"/>
  <c r="BT28" i="4"/>
  <c r="BS28" i="4"/>
  <c r="BR28" i="4"/>
  <c r="BQ28" i="4"/>
  <c r="BP28" i="4"/>
  <c r="BO28" i="4"/>
  <c r="BN28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A28" i="4"/>
  <c r="IV27" i="4"/>
  <c r="IU27" i="4"/>
  <c r="IT27" i="4"/>
  <c r="IS27" i="4"/>
  <c r="IR27" i="4"/>
  <c r="IQ27" i="4"/>
  <c r="IP27" i="4"/>
  <c r="IO27" i="4"/>
  <c r="IN27" i="4"/>
  <c r="IM27" i="4"/>
  <c r="IL27" i="4"/>
  <c r="IK27" i="4"/>
  <c r="IJ27" i="4"/>
  <c r="II27" i="4"/>
  <c r="IH27" i="4"/>
  <c r="IG27" i="4"/>
  <c r="IF27" i="4"/>
  <c r="IE27" i="4"/>
  <c r="ID27" i="4"/>
  <c r="IC27" i="4"/>
  <c r="IB27" i="4"/>
  <c r="IA27" i="4"/>
  <c r="HZ27" i="4"/>
  <c r="HY27" i="4"/>
  <c r="HX27" i="4"/>
  <c r="HW27" i="4"/>
  <c r="HV27" i="4"/>
  <c r="HU27" i="4"/>
  <c r="HT27" i="4"/>
  <c r="HS27" i="4"/>
  <c r="HR27" i="4"/>
  <c r="HQ27" i="4"/>
  <c r="HP27" i="4"/>
  <c r="HO27" i="4"/>
  <c r="HN27" i="4"/>
  <c r="HM27" i="4"/>
  <c r="HL27" i="4"/>
  <c r="HK27" i="4"/>
  <c r="HJ27" i="4"/>
  <c r="HI27" i="4"/>
  <c r="HH27" i="4"/>
  <c r="HG27" i="4"/>
  <c r="HF27" i="4"/>
  <c r="HE27" i="4"/>
  <c r="HD27" i="4"/>
  <c r="HC27" i="4"/>
  <c r="HB27" i="4"/>
  <c r="HA27" i="4"/>
  <c r="GZ27" i="4"/>
  <c r="GY27" i="4"/>
  <c r="GX27" i="4"/>
  <c r="GW27" i="4"/>
  <c r="GV27" i="4"/>
  <c r="GU27" i="4"/>
  <c r="GT27" i="4"/>
  <c r="GS27" i="4"/>
  <c r="GR27" i="4"/>
  <c r="GQ27" i="4"/>
  <c r="GP27" i="4"/>
  <c r="GO27" i="4"/>
  <c r="GN27" i="4"/>
  <c r="GM27" i="4"/>
  <c r="GL27" i="4"/>
  <c r="GK27" i="4"/>
  <c r="GJ27" i="4"/>
  <c r="GI27" i="4"/>
  <c r="GH27" i="4"/>
  <c r="GG27" i="4"/>
  <c r="GF27" i="4"/>
  <c r="GE27" i="4"/>
  <c r="GD27" i="4"/>
  <c r="GC27" i="4"/>
  <c r="GB27" i="4"/>
  <c r="GA27" i="4"/>
  <c r="FZ27" i="4"/>
  <c r="FY27" i="4"/>
  <c r="FX27" i="4"/>
  <c r="FW27" i="4"/>
  <c r="FV27" i="4"/>
  <c r="FU27" i="4"/>
  <c r="FT27" i="4"/>
  <c r="FS27" i="4"/>
  <c r="FR27" i="4"/>
  <c r="FQ27" i="4"/>
  <c r="FP27" i="4"/>
  <c r="FO27" i="4"/>
  <c r="FN27" i="4"/>
  <c r="FM27" i="4"/>
  <c r="FL27" i="4"/>
  <c r="FK27" i="4"/>
  <c r="FJ27" i="4"/>
  <c r="FI27" i="4"/>
  <c r="FH27" i="4"/>
  <c r="FG27" i="4"/>
  <c r="FF27" i="4"/>
  <c r="FE27" i="4"/>
  <c r="FD27" i="4"/>
  <c r="FC27" i="4"/>
  <c r="FB27" i="4"/>
  <c r="FA27" i="4"/>
  <c r="EZ27" i="4"/>
  <c r="EY27" i="4"/>
  <c r="EX27" i="4"/>
  <c r="EW27" i="4"/>
  <c r="EV27" i="4"/>
  <c r="EU27" i="4"/>
  <c r="ET27" i="4"/>
  <c r="ES27" i="4"/>
  <c r="ER27" i="4"/>
  <c r="EQ27" i="4"/>
  <c r="EP27" i="4"/>
  <c r="EO27" i="4"/>
  <c r="EN27" i="4"/>
  <c r="EM27" i="4"/>
  <c r="EL27" i="4"/>
  <c r="EK27" i="4"/>
  <c r="EJ27" i="4"/>
  <c r="EI27" i="4"/>
  <c r="EH27" i="4"/>
  <c r="EG27" i="4"/>
  <c r="EF27" i="4"/>
  <c r="EE27" i="4"/>
  <c r="ED27" i="4"/>
  <c r="EC27" i="4"/>
  <c r="EB27" i="4"/>
  <c r="EA27" i="4"/>
  <c r="DZ27" i="4"/>
  <c r="DY27" i="4"/>
  <c r="DX27" i="4"/>
  <c r="DW27" i="4"/>
  <c r="DV27" i="4"/>
  <c r="DU27" i="4"/>
  <c r="DT27" i="4"/>
  <c r="DS27" i="4"/>
  <c r="DR27" i="4"/>
  <c r="DQ27" i="4"/>
  <c r="DP27" i="4"/>
  <c r="DO27" i="4"/>
  <c r="DN27" i="4"/>
  <c r="DM27" i="4"/>
  <c r="DL27" i="4"/>
  <c r="DK27" i="4"/>
  <c r="DJ27" i="4"/>
  <c r="DI27" i="4"/>
  <c r="DH27" i="4"/>
  <c r="DG27" i="4"/>
  <c r="DF27" i="4"/>
  <c r="DE27" i="4"/>
  <c r="DD27" i="4"/>
  <c r="DC27" i="4"/>
  <c r="DB27" i="4"/>
  <c r="DA27" i="4"/>
  <c r="CZ27" i="4"/>
  <c r="CY27" i="4"/>
  <c r="CX27" i="4"/>
  <c r="CW27" i="4"/>
  <c r="CV27" i="4"/>
  <c r="CU27" i="4"/>
  <c r="CT27" i="4"/>
  <c r="CS27" i="4"/>
  <c r="CR27" i="4"/>
  <c r="CQ27" i="4"/>
  <c r="CP27" i="4"/>
  <c r="CO27" i="4"/>
  <c r="CN27" i="4"/>
  <c r="CM27" i="4"/>
  <c r="CL27" i="4"/>
  <c r="CK27" i="4"/>
  <c r="CJ27" i="4"/>
  <c r="CI27" i="4"/>
  <c r="CH27" i="4"/>
  <c r="CG27" i="4"/>
  <c r="CF27" i="4"/>
  <c r="CE27" i="4"/>
  <c r="CD27" i="4"/>
  <c r="CC27" i="4"/>
  <c r="CB27" i="4"/>
  <c r="CA27" i="4"/>
  <c r="BZ27" i="4"/>
  <c r="BY27" i="4"/>
  <c r="BX27" i="4"/>
  <c r="BW27" i="4"/>
  <c r="BV27" i="4"/>
  <c r="BU27" i="4"/>
  <c r="BT27" i="4"/>
  <c r="BS27" i="4"/>
  <c r="BR27" i="4"/>
  <c r="BQ27" i="4"/>
  <c r="BP27" i="4"/>
  <c r="BO27" i="4"/>
  <c r="BN27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A27" i="4"/>
  <c r="IV26" i="4"/>
  <c r="IU26" i="4"/>
  <c r="IT26" i="4"/>
  <c r="IS26" i="4"/>
  <c r="IR26" i="4"/>
  <c r="IQ26" i="4"/>
  <c r="IP26" i="4"/>
  <c r="IO26" i="4"/>
  <c r="IN26" i="4"/>
  <c r="IM26" i="4"/>
  <c r="IL26" i="4"/>
  <c r="IK26" i="4"/>
  <c r="IJ26" i="4"/>
  <c r="II26" i="4"/>
  <c r="IH26" i="4"/>
  <c r="IG26" i="4"/>
  <c r="IF26" i="4"/>
  <c r="IE26" i="4"/>
  <c r="ID26" i="4"/>
  <c r="IC26" i="4"/>
  <c r="IB26" i="4"/>
  <c r="IA26" i="4"/>
  <c r="HZ26" i="4"/>
  <c r="HY26" i="4"/>
  <c r="HX26" i="4"/>
  <c r="HW26" i="4"/>
  <c r="HV26" i="4"/>
  <c r="HU26" i="4"/>
  <c r="HT26" i="4"/>
  <c r="HS26" i="4"/>
  <c r="HR26" i="4"/>
  <c r="HQ26" i="4"/>
  <c r="HP26" i="4"/>
  <c r="HO26" i="4"/>
  <c r="HN26" i="4"/>
  <c r="HM26" i="4"/>
  <c r="HL26" i="4"/>
  <c r="HK26" i="4"/>
  <c r="HJ26" i="4"/>
  <c r="HI26" i="4"/>
  <c r="HH26" i="4"/>
  <c r="HG26" i="4"/>
  <c r="HF26" i="4"/>
  <c r="HE26" i="4"/>
  <c r="HD26" i="4"/>
  <c r="HC26" i="4"/>
  <c r="HB26" i="4"/>
  <c r="HA26" i="4"/>
  <c r="GZ26" i="4"/>
  <c r="GY26" i="4"/>
  <c r="GX26" i="4"/>
  <c r="GW26" i="4"/>
  <c r="GV26" i="4"/>
  <c r="GU26" i="4"/>
  <c r="GT26" i="4"/>
  <c r="GS26" i="4"/>
  <c r="GR26" i="4"/>
  <c r="GQ26" i="4"/>
  <c r="GP26" i="4"/>
  <c r="GO26" i="4"/>
  <c r="GN26" i="4"/>
  <c r="GM26" i="4"/>
  <c r="GL26" i="4"/>
  <c r="GK26" i="4"/>
  <c r="GJ26" i="4"/>
  <c r="GI26" i="4"/>
  <c r="GH26" i="4"/>
  <c r="GG26" i="4"/>
  <c r="GF26" i="4"/>
  <c r="GE26" i="4"/>
  <c r="GD26" i="4"/>
  <c r="GC26" i="4"/>
  <c r="GB26" i="4"/>
  <c r="GA26" i="4"/>
  <c r="FZ26" i="4"/>
  <c r="FY26" i="4"/>
  <c r="FX26" i="4"/>
  <c r="FW26" i="4"/>
  <c r="FV26" i="4"/>
  <c r="FU26" i="4"/>
  <c r="FT26" i="4"/>
  <c r="FS26" i="4"/>
  <c r="FR26" i="4"/>
  <c r="FQ26" i="4"/>
  <c r="FP26" i="4"/>
  <c r="FO26" i="4"/>
  <c r="FN26" i="4"/>
  <c r="FM26" i="4"/>
  <c r="FL26" i="4"/>
  <c r="FK26" i="4"/>
  <c r="FJ26" i="4"/>
  <c r="FI26" i="4"/>
  <c r="FH26" i="4"/>
  <c r="FG26" i="4"/>
  <c r="FF26" i="4"/>
  <c r="FE26" i="4"/>
  <c r="FD26" i="4"/>
  <c r="FC26" i="4"/>
  <c r="FB26" i="4"/>
  <c r="FA26" i="4"/>
  <c r="EZ26" i="4"/>
  <c r="EY26" i="4"/>
  <c r="EX26" i="4"/>
  <c r="EW26" i="4"/>
  <c r="EV26" i="4"/>
  <c r="EU26" i="4"/>
  <c r="ET26" i="4"/>
  <c r="ES26" i="4"/>
  <c r="ER26" i="4"/>
  <c r="EQ26" i="4"/>
  <c r="EP26" i="4"/>
  <c r="EO26" i="4"/>
  <c r="EN26" i="4"/>
  <c r="EM26" i="4"/>
  <c r="EL26" i="4"/>
  <c r="EK26" i="4"/>
  <c r="EJ26" i="4"/>
  <c r="EI26" i="4"/>
  <c r="EH26" i="4"/>
  <c r="EG26" i="4"/>
  <c r="EF26" i="4"/>
  <c r="EE26" i="4"/>
  <c r="ED26" i="4"/>
  <c r="EC26" i="4"/>
  <c r="EB26" i="4"/>
  <c r="EA26" i="4"/>
  <c r="DZ26" i="4"/>
  <c r="DY26" i="4"/>
  <c r="DX26" i="4"/>
  <c r="DW26" i="4"/>
  <c r="DV26" i="4"/>
  <c r="DU26" i="4"/>
  <c r="DT26" i="4"/>
  <c r="DS26" i="4"/>
  <c r="DR26" i="4"/>
  <c r="DQ26" i="4"/>
  <c r="DP26" i="4"/>
  <c r="DO26" i="4"/>
  <c r="DN26" i="4"/>
  <c r="DM26" i="4"/>
  <c r="DL26" i="4"/>
  <c r="DK26" i="4"/>
  <c r="DJ26" i="4"/>
  <c r="DI26" i="4"/>
  <c r="DH26" i="4"/>
  <c r="DG26" i="4"/>
  <c r="DF26" i="4"/>
  <c r="DE26" i="4"/>
  <c r="DD26" i="4"/>
  <c r="DC26" i="4"/>
  <c r="DB26" i="4"/>
  <c r="DA26" i="4"/>
  <c r="CZ26" i="4"/>
  <c r="CY26" i="4"/>
  <c r="CX26" i="4"/>
  <c r="CW26" i="4"/>
  <c r="CV26" i="4"/>
  <c r="CU26" i="4"/>
  <c r="CT26" i="4"/>
  <c r="CS26" i="4"/>
  <c r="CR26" i="4"/>
  <c r="CQ26" i="4"/>
  <c r="CP26" i="4"/>
  <c r="CO26" i="4"/>
  <c r="CN26" i="4"/>
  <c r="CM26" i="4"/>
  <c r="CL26" i="4"/>
  <c r="CK26" i="4"/>
  <c r="CJ26" i="4"/>
  <c r="CI26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BV26" i="4"/>
  <c r="BU26" i="4"/>
  <c r="BT26" i="4"/>
  <c r="BS26" i="4"/>
  <c r="BR26" i="4"/>
  <c r="BQ26" i="4"/>
  <c r="BP26" i="4"/>
  <c r="BO26" i="4"/>
  <c r="BN26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AJ26" i="4"/>
  <c r="AI26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A26" i="4"/>
  <c r="IV25" i="4"/>
  <c r="IU25" i="4"/>
  <c r="IT25" i="4"/>
  <c r="IS25" i="4"/>
  <c r="IR25" i="4"/>
  <c r="IQ25" i="4"/>
  <c r="IP25" i="4"/>
  <c r="IO25" i="4"/>
  <c r="IN25" i="4"/>
  <c r="IM25" i="4"/>
  <c r="IL25" i="4"/>
  <c r="IK25" i="4"/>
  <c r="IJ25" i="4"/>
  <c r="II25" i="4"/>
  <c r="IH25" i="4"/>
  <c r="IG25" i="4"/>
  <c r="IF25" i="4"/>
  <c r="IE25" i="4"/>
  <c r="ID25" i="4"/>
  <c r="IC25" i="4"/>
  <c r="IB25" i="4"/>
  <c r="IA25" i="4"/>
  <c r="HZ25" i="4"/>
  <c r="HY25" i="4"/>
  <c r="HX25" i="4"/>
  <c r="HW25" i="4"/>
  <c r="HV25" i="4"/>
  <c r="HU25" i="4"/>
  <c r="HT25" i="4"/>
  <c r="HS25" i="4"/>
  <c r="HR25" i="4"/>
  <c r="HQ25" i="4"/>
  <c r="HP25" i="4"/>
  <c r="HO25" i="4"/>
  <c r="HN25" i="4"/>
  <c r="HM25" i="4"/>
  <c r="HL25" i="4"/>
  <c r="HK25" i="4"/>
  <c r="HJ25" i="4"/>
  <c r="HI25" i="4"/>
  <c r="HH25" i="4"/>
  <c r="HG25" i="4"/>
  <c r="HF25" i="4"/>
  <c r="HE25" i="4"/>
  <c r="HD25" i="4"/>
  <c r="HC25" i="4"/>
  <c r="HB25" i="4"/>
  <c r="HA25" i="4"/>
  <c r="GZ25" i="4"/>
  <c r="GY25" i="4"/>
  <c r="GX25" i="4"/>
  <c r="GW25" i="4"/>
  <c r="GV25" i="4"/>
  <c r="GU25" i="4"/>
  <c r="GT25" i="4"/>
  <c r="GS25" i="4"/>
  <c r="GR25" i="4"/>
  <c r="GQ25" i="4"/>
  <c r="GP25" i="4"/>
  <c r="GO25" i="4"/>
  <c r="GN25" i="4"/>
  <c r="GM25" i="4"/>
  <c r="GL25" i="4"/>
  <c r="GK25" i="4"/>
  <c r="GJ25" i="4"/>
  <c r="GI25" i="4"/>
  <c r="GH25" i="4"/>
  <c r="GG25" i="4"/>
  <c r="GF25" i="4"/>
  <c r="GE25" i="4"/>
  <c r="GD25" i="4"/>
  <c r="GC25" i="4"/>
  <c r="GB25" i="4"/>
  <c r="GA25" i="4"/>
  <c r="FZ25" i="4"/>
  <c r="FY25" i="4"/>
  <c r="FX25" i="4"/>
  <c r="FW25" i="4"/>
  <c r="FV25" i="4"/>
  <c r="FU25" i="4"/>
  <c r="FT25" i="4"/>
  <c r="FS25" i="4"/>
  <c r="FR25" i="4"/>
  <c r="FQ25" i="4"/>
  <c r="FP25" i="4"/>
  <c r="FO25" i="4"/>
  <c r="FN25" i="4"/>
  <c r="FM25" i="4"/>
  <c r="FL25" i="4"/>
  <c r="FK25" i="4"/>
  <c r="FJ25" i="4"/>
  <c r="FI25" i="4"/>
  <c r="FH25" i="4"/>
  <c r="FG25" i="4"/>
  <c r="FF25" i="4"/>
  <c r="FE25" i="4"/>
  <c r="FD25" i="4"/>
  <c r="FC25" i="4"/>
  <c r="FB25" i="4"/>
  <c r="FA25" i="4"/>
  <c r="EZ25" i="4"/>
  <c r="EY25" i="4"/>
  <c r="EX25" i="4"/>
  <c r="EW25" i="4"/>
  <c r="EV25" i="4"/>
  <c r="EU25" i="4"/>
  <c r="ET25" i="4"/>
  <c r="ES25" i="4"/>
  <c r="ER25" i="4"/>
  <c r="EQ25" i="4"/>
  <c r="EP25" i="4"/>
  <c r="EO25" i="4"/>
  <c r="EN25" i="4"/>
  <c r="EM25" i="4"/>
  <c r="EL25" i="4"/>
  <c r="EK25" i="4"/>
  <c r="EJ25" i="4"/>
  <c r="EI25" i="4"/>
  <c r="EH25" i="4"/>
  <c r="EG25" i="4"/>
  <c r="EF25" i="4"/>
  <c r="EE25" i="4"/>
  <c r="ED25" i="4"/>
  <c r="EC25" i="4"/>
  <c r="EB25" i="4"/>
  <c r="EA25" i="4"/>
  <c r="DZ25" i="4"/>
  <c r="DY25" i="4"/>
  <c r="DX25" i="4"/>
  <c r="DW25" i="4"/>
  <c r="DV25" i="4"/>
  <c r="DU25" i="4"/>
  <c r="DT25" i="4"/>
  <c r="DS25" i="4"/>
  <c r="DR25" i="4"/>
  <c r="DQ25" i="4"/>
  <c r="DP25" i="4"/>
  <c r="DO25" i="4"/>
  <c r="DN25" i="4"/>
  <c r="DM25" i="4"/>
  <c r="DL25" i="4"/>
  <c r="DK25" i="4"/>
  <c r="DJ25" i="4"/>
  <c r="DI25" i="4"/>
  <c r="DH25" i="4"/>
  <c r="DG25" i="4"/>
  <c r="DF25" i="4"/>
  <c r="DE25" i="4"/>
  <c r="DD25" i="4"/>
  <c r="DC25" i="4"/>
  <c r="DB25" i="4"/>
  <c r="DA25" i="4"/>
  <c r="CZ25" i="4"/>
  <c r="CY25" i="4"/>
  <c r="CX25" i="4"/>
  <c r="CW25" i="4"/>
  <c r="CV25" i="4"/>
  <c r="CU25" i="4"/>
  <c r="CT25" i="4"/>
  <c r="CS25" i="4"/>
  <c r="CR25" i="4"/>
  <c r="CQ25" i="4"/>
  <c r="CP25" i="4"/>
  <c r="CO25" i="4"/>
  <c r="CN25" i="4"/>
  <c r="CM25" i="4"/>
  <c r="CL25" i="4"/>
  <c r="CK25" i="4"/>
  <c r="CJ25" i="4"/>
  <c r="CI25" i="4"/>
  <c r="CH25" i="4"/>
  <c r="CG25" i="4"/>
  <c r="CF25" i="4"/>
  <c r="CE25" i="4"/>
  <c r="CD25" i="4"/>
  <c r="CC25" i="4"/>
  <c r="CB25" i="4"/>
  <c r="CA25" i="4"/>
  <c r="BZ25" i="4"/>
  <c r="BY25" i="4"/>
  <c r="BX25" i="4"/>
  <c r="BW25" i="4"/>
  <c r="BV25" i="4"/>
  <c r="BU25" i="4"/>
  <c r="BT25" i="4"/>
  <c r="BS25" i="4"/>
  <c r="BR25" i="4"/>
  <c r="BQ25" i="4"/>
  <c r="BP25" i="4"/>
  <c r="BO25" i="4"/>
  <c r="BN25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A25" i="4"/>
  <c r="IV24" i="4"/>
  <c r="IU24" i="4"/>
  <c r="IT24" i="4"/>
  <c r="IS24" i="4"/>
  <c r="IR24" i="4"/>
  <c r="IQ24" i="4"/>
  <c r="IP24" i="4"/>
  <c r="IO24" i="4"/>
  <c r="IN24" i="4"/>
  <c r="IM24" i="4"/>
  <c r="IL24" i="4"/>
  <c r="IK24" i="4"/>
  <c r="IJ24" i="4"/>
  <c r="II24" i="4"/>
  <c r="IH24" i="4"/>
  <c r="IG24" i="4"/>
  <c r="IF24" i="4"/>
  <c r="IE24" i="4"/>
  <c r="ID24" i="4"/>
  <c r="IC24" i="4"/>
  <c r="IB24" i="4"/>
  <c r="IA24" i="4"/>
  <c r="HZ24" i="4"/>
  <c r="HY24" i="4"/>
  <c r="HX24" i="4"/>
  <c r="HW24" i="4"/>
  <c r="HV24" i="4"/>
  <c r="HU24" i="4"/>
  <c r="HT24" i="4"/>
  <c r="HS24" i="4"/>
  <c r="HR24" i="4"/>
  <c r="HQ24" i="4"/>
  <c r="HP24" i="4"/>
  <c r="HO24" i="4"/>
  <c r="HN24" i="4"/>
  <c r="HM24" i="4"/>
  <c r="HL24" i="4"/>
  <c r="HK24" i="4"/>
  <c r="HJ24" i="4"/>
  <c r="HI24" i="4"/>
  <c r="HH24" i="4"/>
  <c r="HG24" i="4"/>
  <c r="HF24" i="4"/>
  <c r="HE24" i="4"/>
  <c r="HD24" i="4"/>
  <c r="HC24" i="4"/>
  <c r="HB24" i="4"/>
  <c r="HA24" i="4"/>
  <c r="GZ24" i="4"/>
  <c r="GY24" i="4"/>
  <c r="GX24" i="4"/>
  <c r="GW24" i="4"/>
  <c r="GV24" i="4"/>
  <c r="GU24" i="4"/>
  <c r="GT24" i="4"/>
  <c r="GS24" i="4"/>
  <c r="GR24" i="4"/>
  <c r="GQ24" i="4"/>
  <c r="GP24" i="4"/>
  <c r="GO24" i="4"/>
  <c r="GN24" i="4"/>
  <c r="GM24" i="4"/>
  <c r="GL24" i="4"/>
  <c r="GK24" i="4"/>
  <c r="GJ24" i="4"/>
  <c r="GI24" i="4"/>
  <c r="GH24" i="4"/>
  <c r="GG24" i="4"/>
  <c r="GF24" i="4"/>
  <c r="GE24" i="4"/>
  <c r="GD24" i="4"/>
  <c r="GC24" i="4"/>
  <c r="GB24" i="4"/>
  <c r="GA24" i="4"/>
  <c r="FZ24" i="4"/>
  <c r="FY24" i="4"/>
  <c r="FX24" i="4"/>
  <c r="FW24" i="4"/>
  <c r="FV24" i="4"/>
  <c r="FU24" i="4"/>
  <c r="FT24" i="4"/>
  <c r="FS24" i="4"/>
  <c r="FR24" i="4"/>
  <c r="FQ24" i="4"/>
  <c r="FP24" i="4"/>
  <c r="FO24" i="4"/>
  <c r="FN24" i="4"/>
  <c r="FM24" i="4"/>
  <c r="FL24" i="4"/>
  <c r="FK24" i="4"/>
  <c r="FJ24" i="4"/>
  <c r="FI24" i="4"/>
  <c r="FH24" i="4"/>
  <c r="FG24" i="4"/>
  <c r="FF24" i="4"/>
  <c r="FE24" i="4"/>
  <c r="FD24" i="4"/>
  <c r="FC24" i="4"/>
  <c r="FB24" i="4"/>
  <c r="FA24" i="4"/>
  <c r="EZ24" i="4"/>
  <c r="EY24" i="4"/>
  <c r="EX24" i="4"/>
  <c r="EW24" i="4"/>
  <c r="EV24" i="4"/>
  <c r="EU24" i="4"/>
  <c r="ET24" i="4"/>
  <c r="ES24" i="4"/>
  <c r="ER24" i="4"/>
  <c r="EQ24" i="4"/>
  <c r="EP24" i="4"/>
  <c r="EO24" i="4"/>
  <c r="EN24" i="4"/>
  <c r="EM24" i="4"/>
  <c r="EL24" i="4"/>
  <c r="EK24" i="4"/>
  <c r="EJ24" i="4"/>
  <c r="EI24" i="4"/>
  <c r="EH24" i="4"/>
  <c r="EG24" i="4"/>
  <c r="EF24" i="4"/>
  <c r="EE24" i="4"/>
  <c r="ED24" i="4"/>
  <c r="EC24" i="4"/>
  <c r="EB24" i="4"/>
  <c r="EA24" i="4"/>
  <c r="DZ24" i="4"/>
  <c r="DY24" i="4"/>
  <c r="DX24" i="4"/>
  <c r="DW24" i="4"/>
  <c r="DV24" i="4"/>
  <c r="DU24" i="4"/>
  <c r="DT24" i="4"/>
  <c r="DS24" i="4"/>
  <c r="DR24" i="4"/>
  <c r="DQ24" i="4"/>
  <c r="DP24" i="4"/>
  <c r="DO24" i="4"/>
  <c r="DN24" i="4"/>
  <c r="DM24" i="4"/>
  <c r="DL24" i="4"/>
  <c r="DK24" i="4"/>
  <c r="DJ24" i="4"/>
  <c r="DI24" i="4"/>
  <c r="DH24" i="4"/>
  <c r="DG24" i="4"/>
  <c r="DF24" i="4"/>
  <c r="DE24" i="4"/>
  <c r="DD24" i="4"/>
  <c r="DC24" i="4"/>
  <c r="DB24" i="4"/>
  <c r="DA24" i="4"/>
  <c r="CZ24" i="4"/>
  <c r="CY24" i="4"/>
  <c r="CX24" i="4"/>
  <c r="CW24" i="4"/>
  <c r="CV24" i="4"/>
  <c r="CU24" i="4"/>
  <c r="CT24" i="4"/>
  <c r="CS24" i="4"/>
  <c r="CR24" i="4"/>
  <c r="CQ24" i="4"/>
  <c r="CP24" i="4"/>
  <c r="CO24" i="4"/>
  <c r="CN24" i="4"/>
  <c r="CM24" i="4"/>
  <c r="CL24" i="4"/>
  <c r="CK24" i="4"/>
  <c r="CJ24" i="4"/>
  <c r="CI24" i="4"/>
  <c r="CH24" i="4"/>
  <c r="CG24" i="4"/>
  <c r="CF24" i="4"/>
  <c r="CE24" i="4"/>
  <c r="CD24" i="4"/>
  <c r="CC24" i="4"/>
  <c r="CB24" i="4"/>
  <c r="CA24" i="4"/>
  <c r="BZ24" i="4"/>
  <c r="BY24" i="4"/>
  <c r="BX24" i="4"/>
  <c r="BW24" i="4"/>
  <c r="BV24" i="4"/>
  <c r="BU24" i="4"/>
  <c r="BT24" i="4"/>
  <c r="BS24" i="4"/>
  <c r="BR24" i="4"/>
  <c r="BQ24" i="4"/>
  <c r="BP24" i="4"/>
  <c r="BO24" i="4"/>
  <c r="BN24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A24" i="4"/>
  <c r="IV23" i="4"/>
  <c r="IU23" i="4"/>
  <c r="IT23" i="4"/>
  <c r="IS23" i="4"/>
  <c r="IR23" i="4"/>
  <c r="IQ23" i="4"/>
  <c r="IP23" i="4"/>
  <c r="IO23" i="4"/>
  <c r="IN23" i="4"/>
  <c r="IM23" i="4"/>
  <c r="IL23" i="4"/>
  <c r="IK23" i="4"/>
  <c r="IJ23" i="4"/>
  <c r="II23" i="4"/>
  <c r="IH23" i="4"/>
  <c r="IG23" i="4"/>
  <c r="IF23" i="4"/>
  <c r="IE23" i="4"/>
  <c r="ID23" i="4"/>
  <c r="IC23" i="4"/>
  <c r="IB23" i="4"/>
  <c r="IA23" i="4"/>
  <c r="HZ23" i="4"/>
  <c r="HY23" i="4"/>
  <c r="HX23" i="4"/>
  <c r="HW23" i="4"/>
  <c r="HV23" i="4"/>
  <c r="HU23" i="4"/>
  <c r="HT23" i="4"/>
  <c r="HS23" i="4"/>
  <c r="HR23" i="4"/>
  <c r="HQ23" i="4"/>
  <c r="HP23" i="4"/>
  <c r="HO23" i="4"/>
  <c r="HN23" i="4"/>
  <c r="HM23" i="4"/>
  <c r="HL23" i="4"/>
  <c r="HK23" i="4"/>
  <c r="HJ23" i="4"/>
  <c r="HI23" i="4"/>
  <c r="HH23" i="4"/>
  <c r="HG23" i="4"/>
  <c r="HF23" i="4"/>
  <c r="HE23" i="4"/>
  <c r="HD23" i="4"/>
  <c r="HC23" i="4"/>
  <c r="HB23" i="4"/>
  <c r="HA23" i="4"/>
  <c r="GZ23" i="4"/>
  <c r="GY23" i="4"/>
  <c r="GX23" i="4"/>
  <c r="GW23" i="4"/>
  <c r="GV23" i="4"/>
  <c r="GU23" i="4"/>
  <c r="GT23" i="4"/>
  <c r="GS23" i="4"/>
  <c r="GR23" i="4"/>
  <c r="GQ23" i="4"/>
  <c r="GP23" i="4"/>
  <c r="GO23" i="4"/>
  <c r="GN23" i="4"/>
  <c r="GM23" i="4"/>
  <c r="GL23" i="4"/>
  <c r="GK23" i="4"/>
  <c r="GJ23" i="4"/>
  <c r="GI23" i="4"/>
  <c r="GH23" i="4"/>
  <c r="GG23" i="4"/>
  <c r="GF23" i="4"/>
  <c r="GE23" i="4"/>
  <c r="GD23" i="4"/>
  <c r="GC23" i="4"/>
  <c r="GB23" i="4"/>
  <c r="GA23" i="4"/>
  <c r="FZ23" i="4"/>
  <c r="FY23" i="4"/>
  <c r="FX23" i="4"/>
  <c r="FW23" i="4"/>
  <c r="FV23" i="4"/>
  <c r="FU23" i="4"/>
  <c r="FT23" i="4"/>
  <c r="FS23" i="4"/>
  <c r="FR23" i="4"/>
  <c r="FQ23" i="4"/>
  <c r="FP23" i="4"/>
  <c r="FO23" i="4"/>
  <c r="FN23" i="4"/>
  <c r="FM23" i="4"/>
  <c r="FL23" i="4"/>
  <c r="FK23" i="4"/>
  <c r="FJ23" i="4"/>
  <c r="FI23" i="4"/>
  <c r="FH23" i="4"/>
  <c r="FG23" i="4"/>
  <c r="FF23" i="4"/>
  <c r="FE23" i="4"/>
  <c r="FD23" i="4"/>
  <c r="FC23" i="4"/>
  <c r="FB23" i="4"/>
  <c r="FA23" i="4"/>
  <c r="EZ23" i="4"/>
  <c r="EY23" i="4"/>
  <c r="EX23" i="4"/>
  <c r="EW23" i="4"/>
  <c r="EV23" i="4"/>
  <c r="EU23" i="4"/>
  <c r="ET23" i="4"/>
  <c r="ES23" i="4"/>
  <c r="ER23" i="4"/>
  <c r="EQ23" i="4"/>
  <c r="EP23" i="4"/>
  <c r="EO23" i="4"/>
  <c r="EN23" i="4"/>
  <c r="EM23" i="4"/>
  <c r="EL23" i="4"/>
  <c r="EK23" i="4"/>
  <c r="EJ23" i="4"/>
  <c r="EI23" i="4"/>
  <c r="EH23" i="4"/>
  <c r="EG23" i="4"/>
  <c r="EF23" i="4"/>
  <c r="EE23" i="4"/>
  <c r="ED23" i="4"/>
  <c r="EC23" i="4"/>
  <c r="EB23" i="4"/>
  <c r="EA23" i="4"/>
  <c r="DZ23" i="4"/>
  <c r="DY23" i="4"/>
  <c r="DX23" i="4"/>
  <c r="DW23" i="4"/>
  <c r="DV23" i="4"/>
  <c r="DU23" i="4"/>
  <c r="DT23" i="4"/>
  <c r="DS23" i="4"/>
  <c r="DR23" i="4"/>
  <c r="DQ23" i="4"/>
  <c r="DP23" i="4"/>
  <c r="DO23" i="4"/>
  <c r="DN23" i="4"/>
  <c r="DM23" i="4"/>
  <c r="DL23" i="4"/>
  <c r="DK23" i="4"/>
  <c r="DJ23" i="4"/>
  <c r="DI23" i="4"/>
  <c r="DH23" i="4"/>
  <c r="DG23" i="4"/>
  <c r="DF23" i="4"/>
  <c r="DE23" i="4"/>
  <c r="DD23" i="4"/>
  <c r="DC23" i="4"/>
  <c r="DB23" i="4"/>
  <c r="DA23" i="4"/>
  <c r="CZ23" i="4"/>
  <c r="CY23" i="4"/>
  <c r="CX23" i="4"/>
  <c r="CW23" i="4"/>
  <c r="CV23" i="4"/>
  <c r="CU23" i="4"/>
  <c r="CT23" i="4"/>
  <c r="CS23" i="4"/>
  <c r="CR23" i="4"/>
  <c r="CQ23" i="4"/>
  <c r="CP23" i="4"/>
  <c r="CO23" i="4"/>
  <c r="CN23" i="4"/>
  <c r="CM23" i="4"/>
  <c r="CL23" i="4"/>
  <c r="CK23" i="4"/>
  <c r="CJ23" i="4"/>
  <c r="CI23" i="4"/>
  <c r="CH23" i="4"/>
  <c r="CG23" i="4"/>
  <c r="CF23" i="4"/>
  <c r="CE23" i="4"/>
  <c r="CD23" i="4"/>
  <c r="CC23" i="4"/>
  <c r="CB23" i="4"/>
  <c r="CA23" i="4"/>
  <c r="BZ23" i="4"/>
  <c r="BY23" i="4"/>
  <c r="BX23" i="4"/>
  <c r="BW23" i="4"/>
  <c r="BV23" i="4"/>
  <c r="BU23" i="4"/>
  <c r="BT23" i="4"/>
  <c r="BS23" i="4"/>
  <c r="BR23" i="4"/>
  <c r="BQ23" i="4"/>
  <c r="BP23" i="4"/>
  <c r="BO23" i="4"/>
  <c r="BN23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A23" i="4"/>
  <c r="IV22" i="4"/>
  <c r="IU22" i="4"/>
  <c r="IT22" i="4"/>
  <c r="IS22" i="4"/>
  <c r="IR22" i="4"/>
  <c r="IQ22" i="4"/>
  <c r="IP22" i="4"/>
  <c r="IO22" i="4"/>
  <c r="IN22" i="4"/>
  <c r="IM22" i="4"/>
  <c r="IL22" i="4"/>
  <c r="IK22" i="4"/>
  <c r="IJ22" i="4"/>
  <c r="II22" i="4"/>
  <c r="IH22" i="4"/>
  <c r="IG22" i="4"/>
  <c r="IF22" i="4"/>
  <c r="IE22" i="4"/>
  <c r="ID22" i="4"/>
  <c r="IC22" i="4"/>
  <c r="IB22" i="4"/>
  <c r="IA22" i="4"/>
  <c r="HZ22" i="4"/>
  <c r="HY22" i="4"/>
  <c r="HX22" i="4"/>
  <c r="HW22" i="4"/>
  <c r="HV22" i="4"/>
  <c r="HU22" i="4"/>
  <c r="HT22" i="4"/>
  <c r="HS22" i="4"/>
  <c r="HR22" i="4"/>
  <c r="HQ22" i="4"/>
  <c r="HP22" i="4"/>
  <c r="HO22" i="4"/>
  <c r="HN22" i="4"/>
  <c r="HM22" i="4"/>
  <c r="HL22" i="4"/>
  <c r="HK22" i="4"/>
  <c r="HJ22" i="4"/>
  <c r="HI22" i="4"/>
  <c r="HH22" i="4"/>
  <c r="HG22" i="4"/>
  <c r="HF22" i="4"/>
  <c r="HE22" i="4"/>
  <c r="HD22" i="4"/>
  <c r="HC22" i="4"/>
  <c r="HB22" i="4"/>
  <c r="HA22" i="4"/>
  <c r="GZ22" i="4"/>
  <c r="GY22" i="4"/>
  <c r="GX22" i="4"/>
  <c r="GW22" i="4"/>
  <c r="GV22" i="4"/>
  <c r="GU22" i="4"/>
  <c r="GT22" i="4"/>
  <c r="GS22" i="4"/>
  <c r="GR22" i="4"/>
  <c r="GQ22" i="4"/>
  <c r="GP22" i="4"/>
  <c r="GO22" i="4"/>
  <c r="GN22" i="4"/>
  <c r="GM22" i="4"/>
  <c r="GL22" i="4"/>
  <c r="GK22" i="4"/>
  <c r="GJ22" i="4"/>
  <c r="GI22" i="4"/>
  <c r="GH22" i="4"/>
  <c r="GG22" i="4"/>
  <c r="GF22" i="4"/>
  <c r="GE22" i="4"/>
  <c r="GD22" i="4"/>
  <c r="GC22" i="4"/>
  <c r="GB22" i="4"/>
  <c r="GA22" i="4"/>
  <c r="FZ22" i="4"/>
  <c r="FY22" i="4"/>
  <c r="FX22" i="4"/>
  <c r="FW22" i="4"/>
  <c r="FV22" i="4"/>
  <c r="FU22" i="4"/>
  <c r="FT22" i="4"/>
  <c r="FS22" i="4"/>
  <c r="FR22" i="4"/>
  <c r="FQ22" i="4"/>
  <c r="FP22" i="4"/>
  <c r="FO22" i="4"/>
  <c r="FN22" i="4"/>
  <c r="FM22" i="4"/>
  <c r="FL22" i="4"/>
  <c r="FK22" i="4"/>
  <c r="FJ22" i="4"/>
  <c r="FI22" i="4"/>
  <c r="FH22" i="4"/>
  <c r="FG22" i="4"/>
  <c r="FF22" i="4"/>
  <c r="FE22" i="4"/>
  <c r="FD22" i="4"/>
  <c r="FC22" i="4"/>
  <c r="FB22" i="4"/>
  <c r="FA22" i="4"/>
  <c r="EZ22" i="4"/>
  <c r="EY22" i="4"/>
  <c r="EX22" i="4"/>
  <c r="EW22" i="4"/>
  <c r="EV22" i="4"/>
  <c r="EU22" i="4"/>
  <c r="ET22" i="4"/>
  <c r="ES22" i="4"/>
  <c r="ER22" i="4"/>
  <c r="EQ22" i="4"/>
  <c r="EP22" i="4"/>
  <c r="EO22" i="4"/>
  <c r="EN22" i="4"/>
  <c r="EM22" i="4"/>
  <c r="EL22" i="4"/>
  <c r="EK22" i="4"/>
  <c r="EJ22" i="4"/>
  <c r="EI22" i="4"/>
  <c r="EH22" i="4"/>
  <c r="EG22" i="4"/>
  <c r="EF22" i="4"/>
  <c r="EE22" i="4"/>
  <c r="ED22" i="4"/>
  <c r="EC22" i="4"/>
  <c r="EB22" i="4"/>
  <c r="EA22" i="4"/>
  <c r="DZ22" i="4"/>
  <c r="DY22" i="4"/>
  <c r="DX22" i="4"/>
  <c r="DW22" i="4"/>
  <c r="DV22" i="4"/>
  <c r="DU22" i="4"/>
  <c r="DT22" i="4"/>
  <c r="DS22" i="4"/>
  <c r="DR22" i="4"/>
  <c r="DQ22" i="4"/>
  <c r="DP22" i="4"/>
  <c r="DO22" i="4"/>
  <c r="DN22" i="4"/>
  <c r="DM22" i="4"/>
  <c r="DL22" i="4"/>
  <c r="DK22" i="4"/>
  <c r="DJ22" i="4"/>
  <c r="DI22" i="4"/>
  <c r="DH22" i="4"/>
  <c r="DG22" i="4"/>
  <c r="DF22" i="4"/>
  <c r="DE22" i="4"/>
  <c r="DD22" i="4"/>
  <c r="DC22" i="4"/>
  <c r="DB22" i="4"/>
  <c r="DA22" i="4"/>
  <c r="CZ22" i="4"/>
  <c r="CY22" i="4"/>
  <c r="CX22" i="4"/>
  <c r="CW22" i="4"/>
  <c r="CV22" i="4"/>
  <c r="CU22" i="4"/>
  <c r="CT22" i="4"/>
  <c r="CS22" i="4"/>
  <c r="CR22" i="4"/>
  <c r="CQ22" i="4"/>
  <c r="CP22" i="4"/>
  <c r="CO22" i="4"/>
  <c r="CN22" i="4"/>
  <c r="CM22" i="4"/>
  <c r="CL22" i="4"/>
  <c r="CK22" i="4"/>
  <c r="CJ22" i="4"/>
  <c r="CI22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BS22" i="4"/>
  <c r="BR22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A22" i="4"/>
  <c r="IV21" i="4"/>
  <c r="IU21" i="4"/>
  <c r="IT21" i="4"/>
  <c r="IS21" i="4"/>
  <c r="IR21" i="4"/>
  <c r="IQ21" i="4"/>
  <c r="IP21" i="4"/>
  <c r="IO21" i="4"/>
  <c r="IN21" i="4"/>
  <c r="IM21" i="4"/>
  <c r="IL21" i="4"/>
  <c r="IK21" i="4"/>
  <c r="IJ21" i="4"/>
  <c r="II21" i="4"/>
  <c r="IH21" i="4"/>
  <c r="IG21" i="4"/>
  <c r="IF21" i="4"/>
  <c r="IE21" i="4"/>
  <c r="ID21" i="4"/>
  <c r="IC21" i="4"/>
  <c r="IB21" i="4"/>
  <c r="IA21" i="4"/>
  <c r="HZ21" i="4"/>
  <c r="HY21" i="4"/>
  <c r="HX21" i="4"/>
  <c r="HW21" i="4"/>
  <c r="HV21" i="4"/>
  <c r="HU21" i="4"/>
  <c r="HT21" i="4"/>
  <c r="HS21" i="4"/>
  <c r="HR21" i="4"/>
  <c r="HQ21" i="4"/>
  <c r="HP21" i="4"/>
  <c r="HO21" i="4"/>
  <c r="HN21" i="4"/>
  <c r="HM21" i="4"/>
  <c r="HL21" i="4"/>
  <c r="HK21" i="4"/>
  <c r="HJ21" i="4"/>
  <c r="HI21" i="4"/>
  <c r="HH21" i="4"/>
  <c r="HG21" i="4"/>
  <c r="HF21" i="4"/>
  <c r="HE21" i="4"/>
  <c r="HD21" i="4"/>
  <c r="HC21" i="4"/>
  <c r="HB21" i="4"/>
  <c r="HA21" i="4"/>
  <c r="GZ21" i="4"/>
  <c r="GY21" i="4"/>
  <c r="GX21" i="4"/>
  <c r="GW21" i="4"/>
  <c r="GV21" i="4"/>
  <c r="GU21" i="4"/>
  <c r="GT21" i="4"/>
  <c r="GS21" i="4"/>
  <c r="GR21" i="4"/>
  <c r="GQ21" i="4"/>
  <c r="GP21" i="4"/>
  <c r="GO21" i="4"/>
  <c r="GN21" i="4"/>
  <c r="GM21" i="4"/>
  <c r="GL21" i="4"/>
  <c r="GK21" i="4"/>
  <c r="GJ21" i="4"/>
  <c r="GI21" i="4"/>
  <c r="GH21" i="4"/>
  <c r="GG21" i="4"/>
  <c r="GF21" i="4"/>
  <c r="GE21" i="4"/>
  <c r="GD21" i="4"/>
  <c r="GC21" i="4"/>
  <c r="GB21" i="4"/>
  <c r="GA21" i="4"/>
  <c r="FZ21" i="4"/>
  <c r="FY21" i="4"/>
  <c r="FX21" i="4"/>
  <c r="FW21" i="4"/>
  <c r="FV21" i="4"/>
  <c r="FU21" i="4"/>
  <c r="FT21" i="4"/>
  <c r="FS21" i="4"/>
  <c r="FR21" i="4"/>
  <c r="FQ21" i="4"/>
  <c r="FP21" i="4"/>
  <c r="FO21" i="4"/>
  <c r="FN21" i="4"/>
  <c r="FM21" i="4"/>
  <c r="FL21" i="4"/>
  <c r="FK21" i="4"/>
  <c r="FJ21" i="4"/>
  <c r="FI21" i="4"/>
  <c r="FH21" i="4"/>
  <c r="FG21" i="4"/>
  <c r="FF21" i="4"/>
  <c r="FE21" i="4"/>
  <c r="FD21" i="4"/>
  <c r="FC21" i="4"/>
  <c r="FB21" i="4"/>
  <c r="FA21" i="4"/>
  <c r="EZ21" i="4"/>
  <c r="EY21" i="4"/>
  <c r="EX21" i="4"/>
  <c r="EW21" i="4"/>
  <c r="EV21" i="4"/>
  <c r="EU21" i="4"/>
  <c r="ET21" i="4"/>
  <c r="ES21" i="4"/>
  <c r="ER21" i="4"/>
  <c r="EQ21" i="4"/>
  <c r="EP21" i="4"/>
  <c r="EO21" i="4"/>
  <c r="EN21" i="4"/>
  <c r="EM21" i="4"/>
  <c r="EL21" i="4"/>
  <c r="EK21" i="4"/>
  <c r="EJ21" i="4"/>
  <c r="EI21" i="4"/>
  <c r="EH21" i="4"/>
  <c r="EG21" i="4"/>
  <c r="EF21" i="4"/>
  <c r="EE21" i="4"/>
  <c r="ED21" i="4"/>
  <c r="EC21" i="4"/>
  <c r="EB21" i="4"/>
  <c r="EA21" i="4"/>
  <c r="DZ21" i="4"/>
  <c r="DY21" i="4"/>
  <c r="DX21" i="4"/>
  <c r="DW21" i="4"/>
  <c r="DV21" i="4"/>
  <c r="DU21" i="4"/>
  <c r="DT21" i="4"/>
  <c r="DS21" i="4"/>
  <c r="DR21" i="4"/>
  <c r="DQ21" i="4"/>
  <c r="DP21" i="4"/>
  <c r="DO21" i="4"/>
  <c r="DN21" i="4"/>
  <c r="DM21" i="4"/>
  <c r="DL21" i="4"/>
  <c r="DK21" i="4"/>
  <c r="DJ21" i="4"/>
  <c r="DI21" i="4"/>
  <c r="DH21" i="4"/>
  <c r="DG21" i="4"/>
  <c r="DF21" i="4"/>
  <c r="DE21" i="4"/>
  <c r="DD21" i="4"/>
  <c r="DC21" i="4"/>
  <c r="DB21" i="4"/>
  <c r="DA21" i="4"/>
  <c r="CZ21" i="4"/>
  <c r="CY21" i="4"/>
  <c r="CX21" i="4"/>
  <c r="CW21" i="4"/>
  <c r="CV21" i="4"/>
  <c r="CU21" i="4"/>
  <c r="CT21" i="4"/>
  <c r="CS21" i="4"/>
  <c r="CR21" i="4"/>
  <c r="CQ21" i="4"/>
  <c r="CP21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BS21" i="4"/>
  <c r="BR21" i="4"/>
  <c r="BQ21" i="4"/>
  <c r="BP21" i="4"/>
  <c r="BO21" i="4"/>
  <c r="BN21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A21" i="4"/>
  <c r="IV20" i="4"/>
  <c r="IU20" i="4"/>
  <c r="IT20" i="4"/>
  <c r="IS20" i="4"/>
  <c r="IR20" i="4"/>
  <c r="IQ20" i="4"/>
  <c r="IP20" i="4"/>
  <c r="IO20" i="4"/>
  <c r="IN20" i="4"/>
  <c r="IM20" i="4"/>
  <c r="IL20" i="4"/>
  <c r="IK20" i="4"/>
  <c r="IJ20" i="4"/>
  <c r="II20" i="4"/>
  <c r="IH20" i="4"/>
  <c r="IG20" i="4"/>
  <c r="IF20" i="4"/>
  <c r="IE20" i="4"/>
  <c r="ID20" i="4"/>
  <c r="IC20" i="4"/>
  <c r="IB20" i="4"/>
  <c r="IA20" i="4"/>
  <c r="HZ20" i="4"/>
  <c r="HY20" i="4"/>
  <c r="HX20" i="4"/>
  <c r="HW20" i="4"/>
  <c r="HV20" i="4"/>
  <c r="HU20" i="4"/>
  <c r="HT20" i="4"/>
  <c r="HS20" i="4"/>
  <c r="HR20" i="4"/>
  <c r="HQ20" i="4"/>
  <c r="HP20" i="4"/>
  <c r="HO20" i="4"/>
  <c r="HN20" i="4"/>
  <c r="HM20" i="4"/>
  <c r="HL20" i="4"/>
  <c r="HK20" i="4"/>
  <c r="HJ20" i="4"/>
  <c r="HI20" i="4"/>
  <c r="HH20" i="4"/>
  <c r="HG20" i="4"/>
  <c r="HF20" i="4"/>
  <c r="HE20" i="4"/>
  <c r="HD20" i="4"/>
  <c r="HC20" i="4"/>
  <c r="HB20" i="4"/>
  <c r="HA20" i="4"/>
  <c r="GZ20" i="4"/>
  <c r="GY20" i="4"/>
  <c r="GX20" i="4"/>
  <c r="GW20" i="4"/>
  <c r="GV20" i="4"/>
  <c r="GU20" i="4"/>
  <c r="GT20" i="4"/>
  <c r="GS20" i="4"/>
  <c r="GR20" i="4"/>
  <c r="GQ20" i="4"/>
  <c r="GP20" i="4"/>
  <c r="GO20" i="4"/>
  <c r="GN20" i="4"/>
  <c r="GM20" i="4"/>
  <c r="GL20" i="4"/>
  <c r="GK20" i="4"/>
  <c r="GJ20" i="4"/>
  <c r="GI20" i="4"/>
  <c r="GH20" i="4"/>
  <c r="GG20" i="4"/>
  <c r="GF20" i="4"/>
  <c r="GE20" i="4"/>
  <c r="GD20" i="4"/>
  <c r="GC20" i="4"/>
  <c r="GB20" i="4"/>
  <c r="GA20" i="4"/>
  <c r="FZ20" i="4"/>
  <c r="FY20" i="4"/>
  <c r="FX20" i="4"/>
  <c r="FW20" i="4"/>
  <c r="FV20" i="4"/>
  <c r="FU20" i="4"/>
  <c r="FT20" i="4"/>
  <c r="FS20" i="4"/>
  <c r="FR20" i="4"/>
  <c r="FQ20" i="4"/>
  <c r="FP20" i="4"/>
  <c r="FO20" i="4"/>
  <c r="FN20" i="4"/>
  <c r="FM20" i="4"/>
  <c r="FL20" i="4"/>
  <c r="FK20" i="4"/>
  <c r="FJ20" i="4"/>
  <c r="FI20" i="4"/>
  <c r="FH20" i="4"/>
  <c r="FG20" i="4"/>
  <c r="FF20" i="4"/>
  <c r="FE20" i="4"/>
  <c r="FD20" i="4"/>
  <c r="FC20" i="4"/>
  <c r="FB20" i="4"/>
  <c r="FA20" i="4"/>
  <c r="EZ20" i="4"/>
  <c r="EY20" i="4"/>
  <c r="EX20" i="4"/>
  <c r="EW20" i="4"/>
  <c r="EV20" i="4"/>
  <c r="EU20" i="4"/>
  <c r="ET20" i="4"/>
  <c r="ES20" i="4"/>
  <c r="ER20" i="4"/>
  <c r="EQ20" i="4"/>
  <c r="EP20" i="4"/>
  <c r="EO20" i="4"/>
  <c r="EN20" i="4"/>
  <c r="EM20" i="4"/>
  <c r="EL20" i="4"/>
  <c r="EK20" i="4"/>
  <c r="EJ20" i="4"/>
  <c r="EI20" i="4"/>
  <c r="EH20" i="4"/>
  <c r="EG20" i="4"/>
  <c r="EF20" i="4"/>
  <c r="EE20" i="4"/>
  <c r="ED20" i="4"/>
  <c r="EC20" i="4"/>
  <c r="EB20" i="4"/>
  <c r="EA20" i="4"/>
  <c r="DZ20" i="4"/>
  <c r="DY20" i="4"/>
  <c r="DX20" i="4"/>
  <c r="DW20" i="4"/>
  <c r="DV20" i="4"/>
  <c r="DU20" i="4"/>
  <c r="DT20" i="4"/>
  <c r="DS20" i="4"/>
  <c r="DR20" i="4"/>
  <c r="DQ20" i="4"/>
  <c r="DP20" i="4"/>
  <c r="DO20" i="4"/>
  <c r="DN20" i="4"/>
  <c r="DM20" i="4"/>
  <c r="DL20" i="4"/>
  <c r="DK20" i="4"/>
  <c r="DJ20" i="4"/>
  <c r="DI20" i="4"/>
  <c r="DH20" i="4"/>
  <c r="DG20" i="4"/>
  <c r="DF20" i="4"/>
  <c r="DE20" i="4"/>
  <c r="DD20" i="4"/>
  <c r="DC20" i="4"/>
  <c r="DB20" i="4"/>
  <c r="DA20" i="4"/>
  <c r="CZ20" i="4"/>
  <c r="CY20" i="4"/>
  <c r="CX20" i="4"/>
  <c r="CW20" i="4"/>
  <c r="CV20" i="4"/>
  <c r="CU20" i="4"/>
  <c r="CT20" i="4"/>
  <c r="CS20" i="4"/>
  <c r="CR20" i="4"/>
  <c r="CQ20" i="4"/>
  <c r="CP20" i="4"/>
  <c r="CO20" i="4"/>
  <c r="CN20" i="4"/>
  <c r="CM20" i="4"/>
  <c r="CL20" i="4"/>
  <c r="CK20" i="4"/>
  <c r="CJ20" i="4"/>
  <c r="CI20" i="4"/>
  <c r="CH20" i="4"/>
  <c r="CG20" i="4"/>
  <c r="CF20" i="4"/>
  <c r="CE20" i="4"/>
  <c r="CD20" i="4"/>
  <c r="CC20" i="4"/>
  <c r="CB20" i="4"/>
  <c r="CA20" i="4"/>
  <c r="BZ20" i="4"/>
  <c r="BY20" i="4"/>
  <c r="BX20" i="4"/>
  <c r="BW20" i="4"/>
  <c r="BV20" i="4"/>
  <c r="BU20" i="4"/>
  <c r="BT20" i="4"/>
  <c r="BS20" i="4"/>
  <c r="BR20" i="4"/>
  <c r="BQ20" i="4"/>
  <c r="BP20" i="4"/>
  <c r="BO20" i="4"/>
  <c r="BN20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A20" i="4"/>
  <c r="IV19" i="4"/>
  <c r="IU19" i="4"/>
  <c r="IT19" i="4"/>
  <c r="IS19" i="4"/>
  <c r="IR19" i="4"/>
  <c r="IQ19" i="4"/>
  <c r="IP19" i="4"/>
  <c r="IO19" i="4"/>
  <c r="IN19" i="4"/>
  <c r="IM19" i="4"/>
  <c r="IL19" i="4"/>
  <c r="IK19" i="4"/>
  <c r="IJ19" i="4"/>
  <c r="II19" i="4"/>
  <c r="IH19" i="4"/>
  <c r="IG19" i="4"/>
  <c r="IF19" i="4"/>
  <c r="IE19" i="4"/>
  <c r="ID19" i="4"/>
  <c r="IC19" i="4"/>
  <c r="IB19" i="4"/>
  <c r="IA19" i="4"/>
  <c r="HZ19" i="4"/>
  <c r="HY19" i="4"/>
  <c r="HX19" i="4"/>
  <c r="HW19" i="4"/>
  <c r="HV19" i="4"/>
  <c r="HU19" i="4"/>
  <c r="HT19" i="4"/>
  <c r="HS19" i="4"/>
  <c r="HR19" i="4"/>
  <c r="HQ19" i="4"/>
  <c r="HP19" i="4"/>
  <c r="HO19" i="4"/>
  <c r="HN19" i="4"/>
  <c r="HM19" i="4"/>
  <c r="HL19" i="4"/>
  <c r="HK19" i="4"/>
  <c r="HJ19" i="4"/>
  <c r="HI19" i="4"/>
  <c r="HH19" i="4"/>
  <c r="HG19" i="4"/>
  <c r="HF19" i="4"/>
  <c r="HE19" i="4"/>
  <c r="HD19" i="4"/>
  <c r="HC19" i="4"/>
  <c r="HB19" i="4"/>
  <c r="HA19" i="4"/>
  <c r="GZ19" i="4"/>
  <c r="GY19" i="4"/>
  <c r="GX19" i="4"/>
  <c r="GW19" i="4"/>
  <c r="GV19" i="4"/>
  <c r="GU19" i="4"/>
  <c r="GT19" i="4"/>
  <c r="GS19" i="4"/>
  <c r="GR19" i="4"/>
  <c r="GQ19" i="4"/>
  <c r="GP19" i="4"/>
  <c r="GO19" i="4"/>
  <c r="GN19" i="4"/>
  <c r="GM19" i="4"/>
  <c r="GL19" i="4"/>
  <c r="GK19" i="4"/>
  <c r="GJ19" i="4"/>
  <c r="GI19" i="4"/>
  <c r="GH19" i="4"/>
  <c r="GG19" i="4"/>
  <c r="GF19" i="4"/>
  <c r="GE19" i="4"/>
  <c r="GD19" i="4"/>
  <c r="GC19" i="4"/>
  <c r="GB19" i="4"/>
  <c r="GA19" i="4"/>
  <c r="FZ19" i="4"/>
  <c r="FY19" i="4"/>
  <c r="FX19" i="4"/>
  <c r="FW19" i="4"/>
  <c r="FV19" i="4"/>
  <c r="FU19" i="4"/>
  <c r="FT19" i="4"/>
  <c r="FS19" i="4"/>
  <c r="FR19" i="4"/>
  <c r="FQ19" i="4"/>
  <c r="FP19" i="4"/>
  <c r="FO19" i="4"/>
  <c r="FN19" i="4"/>
  <c r="FM19" i="4"/>
  <c r="FL19" i="4"/>
  <c r="FK19" i="4"/>
  <c r="FJ19" i="4"/>
  <c r="FI19" i="4"/>
  <c r="FH19" i="4"/>
  <c r="FG19" i="4"/>
  <c r="FF19" i="4"/>
  <c r="FE19" i="4"/>
  <c r="FD19" i="4"/>
  <c r="FC19" i="4"/>
  <c r="FB19" i="4"/>
  <c r="FA19" i="4"/>
  <c r="EZ19" i="4"/>
  <c r="EY19" i="4"/>
  <c r="EX19" i="4"/>
  <c r="EW19" i="4"/>
  <c r="EV19" i="4"/>
  <c r="EU19" i="4"/>
  <c r="ET19" i="4"/>
  <c r="ES19" i="4"/>
  <c r="ER19" i="4"/>
  <c r="EQ19" i="4"/>
  <c r="EP19" i="4"/>
  <c r="EO19" i="4"/>
  <c r="EN19" i="4"/>
  <c r="EM19" i="4"/>
  <c r="EL19" i="4"/>
  <c r="EK19" i="4"/>
  <c r="EJ19" i="4"/>
  <c r="EI19" i="4"/>
  <c r="EH19" i="4"/>
  <c r="EG19" i="4"/>
  <c r="EF19" i="4"/>
  <c r="EE19" i="4"/>
  <c r="ED19" i="4"/>
  <c r="EC19" i="4"/>
  <c r="EB19" i="4"/>
  <c r="EA19" i="4"/>
  <c r="DZ19" i="4"/>
  <c r="DY19" i="4"/>
  <c r="DX19" i="4"/>
  <c r="DW19" i="4"/>
  <c r="DV19" i="4"/>
  <c r="DU19" i="4"/>
  <c r="DT19" i="4"/>
  <c r="DS19" i="4"/>
  <c r="DR19" i="4"/>
  <c r="DQ19" i="4"/>
  <c r="DP19" i="4"/>
  <c r="DO19" i="4"/>
  <c r="DN19" i="4"/>
  <c r="DM19" i="4"/>
  <c r="DL19" i="4"/>
  <c r="DK19" i="4"/>
  <c r="DJ19" i="4"/>
  <c r="DI19" i="4"/>
  <c r="DH19" i="4"/>
  <c r="DG19" i="4"/>
  <c r="DF19" i="4"/>
  <c r="DE19" i="4"/>
  <c r="DD19" i="4"/>
  <c r="DC19" i="4"/>
  <c r="DB19" i="4"/>
  <c r="DA19" i="4"/>
  <c r="CZ19" i="4"/>
  <c r="CY19" i="4"/>
  <c r="CX19" i="4"/>
  <c r="CW19" i="4"/>
  <c r="CV19" i="4"/>
  <c r="CU19" i="4"/>
  <c r="CT19" i="4"/>
  <c r="CS19" i="4"/>
  <c r="CR19" i="4"/>
  <c r="CQ19" i="4"/>
  <c r="CP19" i="4"/>
  <c r="CO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B19" i="4"/>
  <c r="CA19" i="4"/>
  <c r="BZ19" i="4"/>
  <c r="BY19" i="4"/>
  <c r="BX19" i="4"/>
  <c r="BW19" i="4"/>
  <c r="BV19" i="4"/>
  <c r="BU19" i="4"/>
  <c r="BT19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A19" i="4"/>
  <c r="IV18" i="4"/>
  <c r="IU18" i="4"/>
  <c r="IT18" i="4"/>
  <c r="IS18" i="4"/>
  <c r="IR18" i="4"/>
  <c r="IQ18" i="4"/>
  <c r="IP18" i="4"/>
  <c r="IO18" i="4"/>
  <c r="IN18" i="4"/>
  <c r="IM18" i="4"/>
  <c r="IL18" i="4"/>
  <c r="IK18" i="4"/>
  <c r="IJ18" i="4"/>
  <c r="II18" i="4"/>
  <c r="IH18" i="4"/>
  <c r="IG18" i="4"/>
  <c r="IF18" i="4"/>
  <c r="IE18" i="4"/>
  <c r="ID18" i="4"/>
  <c r="IC18" i="4"/>
  <c r="IB18" i="4"/>
  <c r="IA18" i="4"/>
  <c r="HZ18" i="4"/>
  <c r="HY18" i="4"/>
  <c r="HX18" i="4"/>
  <c r="HW18" i="4"/>
  <c r="HV18" i="4"/>
  <c r="HU18" i="4"/>
  <c r="HT18" i="4"/>
  <c r="HS18" i="4"/>
  <c r="HR18" i="4"/>
  <c r="HQ18" i="4"/>
  <c r="HP18" i="4"/>
  <c r="HO18" i="4"/>
  <c r="HN18" i="4"/>
  <c r="HM18" i="4"/>
  <c r="HL18" i="4"/>
  <c r="HK18" i="4"/>
  <c r="HJ18" i="4"/>
  <c r="HI18" i="4"/>
  <c r="HH18" i="4"/>
  <c r="HG18" i="4"/>
  <c r="HF18" i="4"/>
  <c r="HE18" i="4"/>
  <c r="HD18" i="4"/>
  <c r="HC18" i="4"/>
  <c r="HB18" i="4"/>
  <c r="HA18" i="4"/>
  <c r="GZ18" i="4"/>
  <c r="GY18" i="4"/>
  <c r="GX18" i="4"/>
  <c r="GW18" i="4"/>
  <c r="GV18" i="4"/>
  <c r="GU18" i="4"/>
  <c r="GT18" i="4"/>
  <c r="GS18" i="4"/>
  <c r="GR18" i="4"/>
  <c r="GQ18" i="4"/>
  <c r="GP18" i="4"/>
  <c r="GO18" i="4"/>
  <c r="GN18" i="4"/>
  <c r="GM18" i="4"/>
  <c r="GL18" i="4"/>
  <c r="GK18" i="4"/>
  <c r="GJ18" i="4"/>
  <c r="GI18" i="4"/>
  <c r="GH18" i="4"/>
  <c r="GG18" i="4"/>
  <c r="GF18" i="4"/>
  <c r="GE18" i="4"/>
  <c r="GD18" i="4"/>
  <c r="GC18" i="4"/>
  <c r="GB18" i="4"/>
  <c r="GA18" i="4"/>
  <c r="FZ18" i="4"/>
  <c r="FY18" i="4"/>
  <c r="FX18" i="4"/>
  <c r="FW18" i="4"/>
  <c r="FV18" i="4"/>
  <c r="FU18" i="4"/>
  <c r="FT18" i="4"/>
  <c r="FS18" i="4"/>
  <c r="FR18" i="4"/>
  <c r="FQ18" i="4"/>
  <c r="FP18" i="4"/>
  <c r="FO18" i="4"/>
  <c r="FN18" i="4"/>
  <c r="FM18" i="4"/>
  <c r="FL18" i="4"/>
  <c r="FK18" i="4"/>
  <c r="FJ18" i="4"/>
  <c r="FI18" i="4"/>
  <c r="FH18" i="4"/>
  <c r="FG18" i="4"/>
  <c r="FF18" i="4"/>
  <c r="FE18" i="4"/>
  <c r="FD18" i="4"/>
  <c r="FC18" i="4"/>
  <c r="FB18" i="4"/>
  <c r="FA18" i="4"/>
  <c r="EZ18" i="4"/>
  <c r="EY18" i="4"/>
  <c r="EX18" i="4"/>
  <c r="EW18" i="4"/>
  <c r="EV18" i="4"/>
  <c r="EU18" i="4"/>
  <c r="ET18" i="4"/>
  <c r="ES18" i="4"/>
  <c r="ER18" i="4"/>
  <c r="EQ18" i="4"/>
  <c r="EP18" i="4"/>
  <c r="EO18" i="4"/>
  <c r="EN18" i="4"/>
  <c r="EM18" i="4"/>
  <c r="EL18" i="4"/>
  <c r="EK18" i="4"/>
  <c r="EJ18" i="4"/>
  <c r="EI18" i="4"/>
  <c r="EH18" i="4"/>
  <c r="EG18" i="4"/>
  <c r="EF18" i="4"/>
  <c r="EE18" i="4"/>
  <c r="ED18" i="4"/>
  <c r="EC18" i="4"/>
  <c r="EB18" i="4"/>
  <c r="EA18" i="4"/>
  <c r="DZ18" i="4"/>
  <c r="DY18" i="4"/>
  <c r="DX18" i="4"/>
  <c r="DW18" i="4"/>
  <c r="DV18" i="4"/>
  <c r="DU18" i="4"/>
  <c r="DT18" i="4"/>
  <c r="DS18" i="4"/>
  <c r="DR18" i="4"/>
  <c r="DQ18" i="4"/>
  <c r="DP18" i="4"/>
  <c r="DO18" i="4"/>
  <c r="DN18" i="4"/>
  <c r="DM18" i="4"/>
  <c r="DL18" i="4"/>
  <c r="DK18" i="4"/>
  <c r="DJ18" i="4"/>
  <c r="DI18" i="4"/>
  <c r="DH18" i="4"/>
  <c r="DG18" i="4"/>
  <c r="DF18" i="4"/>
  <c r="DE18" i="4"/>
  <c r="DD18" i="4"/>
  <c r="DC18" i="4"/>
  <c r="DB18" i="4"/>
  <c r="DA18" i="4"/>
  <c r="CZ18" i="4"/>
  <c r="CY18" i="4"/>
  <c r="CX18" i="4"/>
  <c r="CW18" i="4"/>
  <c r="CV18" i="4"/>
  <c r="CU18" i="4"/>
  <c r="CT18" i="4"/>
  <c r="CS18" i="4"/>
  <c r="CR18" i="4"/>
  <c r="CQ18" i="4"/>
  <c r="CP18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A18" i="4"/>
  <c r="IV17" i="4"/>
  <c r="IU17" i="4"/>
  <c r="IT17" i="4"/>
  <c r="IS17" i="4"/>
  <c r="IR17" i="4"/>
  <c r="IQ17" i="4"/>
  <c r="IP17" i="4"/>
  <c r="IO17" i="4"/>
  <c r="IN17" i="4"/>
  <c r="IM17" i="4"/>
  <c r="IL17" i="4"/>
  <c r="IK17" i="4"/>
  <c r="IJ17" i="4"/>
  <c r="II17" i="4"/>
  <c r="IH17" i="4"/>
  <c r="IG17" i="4"/>
  <c r="IF17" i="4"/>
  <c r="IE17" i="4"/>
  <c r="ID17" i="4"/>
  <c r="IC17" i="4"/>
  <c r="IB17" i="4"/>
  <c r="IA17" i="4"/>
  <c r="HZ17" i="4"/>
  <c r="HY17" i="4"/>
  <c r="HX17" i="4"/>
  <c r="HW17" i="4"/>
  <c r="HV17" i="4"/>
  <c r="HU17" i="4"/>
  <c r="HT17" i="4"/>
  <c r="HS17" i="4"/>
  <c r="HR17" i="4"/>
  <c r="HQ17" i="4"/>
  <c r="HP17" i="4"/>
  <c r="HO17" i="4"/>
  <c r="HN17" i="4"/>
  <c r="HM17" i="4"/>
  <c r="HL17" i="4"/>
  <c r="HK17" i="4"/>
  <c r="HJ17" i="4"/>
  <c r="HI17" i="4"/>
  <c r="HH17" i="4"/>
  <c r="HG17" i="4"/>
  <c r="HF17" i="4"/>
  <c r="HE17" i="4"/>
  <c r="HD17" i="4"/>
  <c r="HC17" i="4"/>
  <c r="HB17" i="4"/>
  <c r="HA17" i="4"/>
  <c r="GZ17" i="4"/>
  <c r="GY17" i="4"/>
  <c r="GX17" i="4"/>
  <c r="GW17" i="4"/>
  <c r="GV17" i="4"/>
  <c r="GU17" i="4"/>
  <c r="GT17" i="4"/>
  <c r="GS17" i="4"/>
  <c r="GR17" i="4"/>
  <c r="GQ17" i="4"/>
  <c r="GP17" i="4"/>
  <c r="GO17" i="4"/>
  <c r="GN17" i="4"/>
  <c r="GM17" i="4"/>
  <c r="GL17" i="4"/>
  <c r="GK17" i="4"/>
  <c r="GJ17" i="4"/>
  <c r="GI17" i="4"/>
  <c r="GH17" i="4"/>
  <c r="GG17" i="4"/>
  <c r="GF17" i="4"/>
  <c r="GE17" i="4"/>
  <c r="GD17" i="4"/>
  <c r="GC17" i="4"/>
  <c r="GB17" i="4"/>
  <c r="GA17" i="4"/>
  <c r="FZ17" i="4"/>
  <c r="FY17" i="4"/>
  <c r="FX17" i="4"/>
  <c r="FW17" i="4"/>
  <c r="FV17" i="4"/>
  <c r="FU17" i="4"/>
  <c r="FT17" i="4"/>
  <c r="FS17" i="4"/>
  <c r="FR17" i="4"/>
  <c r="FQ17" i="4"/>
  <c r="FP17" i="4"/>
  <c r="FO17" i="4"/>
  <c r="FN17" i="4"/>
  <c r="FM17" i="4"/>
  <c r="FL17" i="4"/>
  <c r="FK17" i="4"/>
  <c r="FJ17" i="4"/>
  <c r="FI17" i="4"/>
  <c r="FH17" i="4"/>
  <c r="FG17" i="4"/>
  <c r="FF17" i="4"/>
  <c r="FE17" i="4"/>
  <c r="FD17" i="4"/>
  <c r="FC17" i="4"/>
  <c r="FB17" i="4"/>
  <c r="FA17" i="4"/>
  <c r="EZ17" i="4"/>
  <c r="EY17" i="4"/>
  <c r="EX17" i="4"/>
  <c r="EW17" i="4"/>
  <c r="EV17" i="4"/>
  <c r="EU17" i="4"/>
  <c r="ET17" i="4"/>
  <c r="ES17" i="4"/>
  <c r="ER17" i="4"/>
  <c r="EQ17" i="4"/>
  <c r="EP17" i="4"/>
  <c r="EO17" i="4"/>
  <c r="EN17" i="4"/>
  <c r="EM17" i="4"/>
  <c r="EL17" i="4"/>
  <c r="EK17" i="4"/>
  <c r="EJ17" i="4"/>
  <c r="EI17" i="4"/>
  <c r="EH17" i="4"/>
  <c r="EG17" i="4"/>
  <c r="EF17" i="4"/>
  <c r="EE17" i="4"/>
  <c r="ED17" i="4"/>
  <c r="EC17" i="4"/>
  <c r="EB17" i="4"/>
  <c r="EA17" i="4"/>
  <c r="DZ17" i="4"/>
  <c r="DY17" i="4"/>
  <c r="DX17" i="4"/>
  <c r="DW17" i="4"/>
  <c r="DV17" i="4"/>
  <c r="DU17" i="4"/>
  <c r="DT17" i="4"/>
  <c r="DS17" i="4"/>
  <c r="DR17" i="4"/>
  <c r="DQ17" i="4"/>
  <c r="DP17" i="4"/>
  <c r="DO17" i="4"/>
  <c r="DN17" i="4"/>
  <c r="DM17" i="4"/>
  <c r="DL17" i="4"/>
  <c r="DK17" i="4"/>
  <c r="DJ17" i="4"/>
  <c r="DI17" i="4"/>
  <c r="DH17" i="4"/>
  <c r="DG17" i="4"/>
  <c r="DF17" i="4"/>
  <c r="DE17" i="4"/>
  <c r="DD17" i="4"/>
  <c r="DC17" i="4"/>
  <c r="DB17" i="4"/>
  <c r="DA17" i="4"/>
  <c r="CZ17" i="4"/>
  <c r="CY17" i="4"/>
  <c r="CX17" i="4"/>
  <c r="CW17" i="4"/>
  <c r="CV17" i="4"/>
  <c r="CU17" i="4"/>
  <c r="CT17" i="4"/>
  <c r="CS17" i="4"/>
  <c r="CR17" i="4"/>
  <c r="CQ17" i="4"/>
  <c r="CP17" i="4"/>
  <c r="CO17" i="4"/>
  <c r="CN17" i="4"/>
  <c r="CM17" i="4"/>
  <c r="CL17" i="4"/>
  <c r="CK17" i="4"/>
  <c r="CJ17" i="4"/>
  <c r="CI17" i="4"/>
  <c r="CH17" i="4"/>
  <c r="CG17" i="4"/>
  <c r="CF17" i="4"/>
  <c r="CE17" i="4"/>
  <c r="CD17" i="4"/>
  <c r="CC17" i="4"/>
  <c r="CB17" i="4"/>
  <c r="CA17" i="4"/>
  <c r="BZ17" i="4"/>
  <c r="BY17" i="4"/>
  <c r="BX17" i="4"/>
  <c r="BW17" i="4"/>
  <c r="BV17" i="4"/>
  <c r="BU17" i="4"/>
  <c r="BT17" i="4"/>
  <c r="BS17" i="4"/>
  <c r="BR17" i="4"/>
  <c r="BQ17" i="4"/>
  <c r="BP17" i="4"/>
  <c r="BO17" i="4"/>
  <c r="BN17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A17" i="4"/>
  <c r="BY16" i="4"/>
  <c r="BX16" i="4"/>
  <c r="BW16" i="4"/>
  <c r="BV16" i="4"/>
  <c r="BU16" i="4"/>
  <c r="BT16" i="4"/>
  <c r="BS16" i="4"/>
  <c r="BR16" i="4"/>
  <c r="BQ16" i="4"/>
  <c r="BP16" i="4"/>
  <c r="BO16" i="4"/>
  <c r="BN16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A16" i="4"/>
  <c r="B15" i="4"/>
  <c r="A15" i="4"/>
  <c r="BZ14" i="4"/>
  <c r="BY14" i="4"/>
  <c r="BX14" i="4"/>
  <c r="BW14" i="4"/>
  <c r="BV14" i="4"/>
  <c r="BU14" i="4"/>
  <c r="BT14" i="4"/>
  <c r="BS14" i="4"/>
  <c r="BR14" i="4"/>
  <c r="BQ14" i="4"/>
  <c r="BP14" i="4"/>
  <c r="BO14" i="4"/>
  <c r="BN14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A14" i="4"/>
  <c r="A13" i="4"/>
  <c r="A12" i="4"/>
  <c r="A11" i="4"/>
  <c r="A10" i="4"/>
  <c r="A9" i="4"/>
  <c r="A8" i="4"/>
  <c r="A7" i="4"/>
  <c r="A6" i="4"/>
  <c r="A5" i="4"/>
  <c r="A4" i="4"/>
  <c r="A3" i="4"/>
  <c r="A2" i="4"/>
  <c r="A1" i="4"/>
  <c r="B12" i="4"/>
  <c r="B11" i="4"/>
  <c r="B10" i="4"/>
  <c r="B9" i="4"/>
  <c r="B8" i="4"/>
  <c r="B7" i="4"/>
  <c r="B6" i="4"/>
  <c r="B5" i="4"/>
  <c r="B4" i="4"/>
  <c r="B3" i="4"/>
  <c r="B2" i="4"/>
  <c r="B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CK10" i="4"/>
  <c r="CJ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U10" i="4"/>
  <c r="BT10" i="4"/>
  <c r="BS10" i="4"/>
  <c r="BR10" i="4"/>
  <c r="BQ10" i="4"/>
  <c r="BP10" i="4"/>
  <c r="BO10" i="4"/>
  <c r="BN10" i="4"/>
  <c r="BM10" i="4"/>
  <c r="BL10" i="4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S9" i="4"/>
  <c r="BR9" i="4"/>
  <c r="BQ9" i="4"/>
  <c r="BP9" i="4"/>
  <c r="BO9" i="4"/>
  <c r="BN9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FN8" i="4"/>
  <c r="FM8" i="4"/>
  <c r="FL8" i="4"/>
  <c r="FK8" i="4"/>
  <c r="FJ8" i="4"/>
  <c r="FI8" i="4"/>
  <c r="FH8" i="4"/>
  <c r="FG8" i="4"/>
  <c r="FF8" i="4"/>
  <c r="FE8" i="4"/>
  <c r="FD8" i="4"/>
  <c r="FC8" i="4"/>
  <c r="FB8" i="4"/>
  <c r="FA8" i="4"/>
  <c r="EZ8" i="4"/>
  <c r="EY8" i="4"/>
  <c r="EX8" i="4"/>
  <c r="EW8" i="4"/>
  <c r="EV8" i="4"/>
  <c r="EU8" i="4"/>
  <c r="ET8" i="4"/>
  <c r="ES8" i="4"/>
  <c r="ER8" i="4"/>
  <c r="EQ8" i="4"/>
  <c r="EP8" i="4"/>
  <c r="EO8" i="4"/>
  <c r="EN8" i="4"/>
  <c r="EM8" i="4"/>
  <c r="EL8" i="4"/>
  <c r="EK8" i="4"/>
  <c r="EJ8" i="4"/>
  <c r="EI8" i="4"/>
  <c r="EH8" i="4"/>
  <c r="EG8" i="4"/>
  <c r="EF8" i="4"/>
  <c r="EE8" i="4"/>
  <c r="ED8" i="4"/>
  <c r="EC8" i="4"/>
  <c r="EB8" i="4"/>
  <c r="EA8" i="4"/>
  <c r="DZ8" i="4"/>
  <c r="DY8" i="4"/>
  <c r="DX8" i="4"/>
  <c r="DW8" i="4"/>
  <c r="DV8" i="4"/>
  <c r="DU8" i="4"/>
  <c r="DT8" i="4"/>
  <c r="DS8" i="4"/>
  <c r="DR8" i="4"/>
  <c r="DQ8" i="4"/>
  <c r="DP8" i="4"/>
  <c r="DO8" i="4"/>
  <c r="DN8" i="4"/>
  <c r="DM8" i="4"/>
  <c r="DL8" i="4"/>
  <c r="DK8" i="4"/>
  <c r="DJ8" i="4"/>
  <c r="DI8" i="4"/>
  <c r="DH8" i="4"/>
  <c r="DG8" i="4"/>
  <c r="DF8" i="4"/>
  <c r="DE8" i="4"/>
  <c r="DD8" i="4"/>
  <c r="DC8" i="4"/>
  <c r="DB8" i="4"/>
  <c r="DA8" i="4"/>
  <c r="CZ8" i="4"/>
  <c r="CY8" i="4"/>
  <c r="CX8" i="4"/>
  <c r="CW8" i="4"/>
  <c r="CV8" i="4"/>
  <c r="CU8" i="4"/>
  <c r="CT8" i="4"/>
  <c r="CS8" i="4"/>
  <c r="CR8" i="4"/>
  <c r="CQ8" i="4"/>
  <c r="CP8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R8" i="4"/>
  <c r="BQ8" i="4"/>
  <c r="BP8" i="4"/>
  <c r="BO8" i="4"/>
  <c r="BN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IV7" i="4"/>
  <c r="IU7" i="4"/>
  <c r="IT7" i="4"/>
  <c r="IS7" i="4"/>
  <c r="IR7" i="4"/>
  <c r="IQ7" i="4"/>
  <c r="IP7" i="4"/>
  <c r="IO7" i="4"/>
  <c r="IN7" i="4"/>
  <c r="IM7" i="4"/>
  <c r="IL7" i="4"/>
  <c r="IK7" i="4"/>
  <c r="IJ7" i="4"/>
  <c r="II7" i="4"/>
  <c r="IH7" i="4"/>
  <c r="IG7" i="4"/>
  <c r="IF7" i="4"/>
  <c r="IE7" i="4"/>
  <c r="ID7" i="4"/>
  <c r="IC7" i="4"/>
  <c r="IB7" i="4"/>
  <c r="IA7" i="4"/>
  <c r="HZ7" i="4"/>
  <c r="HY7" i="4"/>
  <c r="HX7" i="4"/>
  <c r="HW7" i="4"/>
  <c r="HV7" i="4"/>
  <c r="HU7" i="4"/>
  <c r="HT7" i="4"/>
  <c r="HS7" i="4"/>
  <c r="HR7" i="4"/>
  <c r="HQ7" i="4"/>
  <c r="HP7" i="4"/>
  <c r="HO7" i="4"/>
  <c r="HN7" i="4"/>
  <c r="HM7" i="4"/>
  <c r="HL7" i="4"/>
  <c r="HK7" i="4"/>
  <c r="HJ7" i="4"/>
  <c r="HI7" i="4"/>
  <c r="HH7" i="4"/>
  <c r="HG7" i="4"/>
  <c r="HF7" i="4"/>
  <c r="HE7" i="4"/>
  <c r="HD7" i="4"/>
  <c r="HC7" i="4"/>
  <c r="HB7" i="4"/>
  <c r="HA7" i="4"/>
  <c r="GZ7" i="4"/>
  <c r="GY7" i="4"/>
  <c r="GX7" i="4"/>
  <c r="GW7" i="4"/>
  <c r="GV7" i="4"/>
  <c r="GU7" i="4"/>
  <c r="GT7" i="4"/>
  <c r="GS7" i="4"/>
  <c r="GR7" i="4"/>
  <c r="GQ7" i="4"/>
  <c r="GP7" i="4"/>
  <c r="GO7" i="4"/>
  <c r="GN7" i="4"/>
  <c r="GM7" i="4"/>
  <c r="GL7" i="4"/>
  <c r="GK7" i="4"/>
  <c r="GJ7" i="4"/>
  <c r="GI7" i="4"/>
  <c r="GH7" i="4"/>
  <c r="GG7" i="4"/>
  <c r="GF7" i="4"/>
  <c r="GE7" i="4"/>
  <c r="GD7" i="4"/>
  <c r="GC7" i="4"/>
  <c r="GB7" i="4"/>
  <c r="GA7" i="4"/>
  <c r="FZ7" i="4"/>
  <c r="FY7" i="4"/>
  <c r="FX7" i="4"/>
  <c r="FW7" i="4"/>
  <c r="FV7" i="4"/>
  <c r="FU7" i="4"/>
  <c r="FT7" i="4"/>
  <c r="FS7" i="4"/>
  <c r="FR7" i="4"/>
  <c r="FQ7" i="4"/>
  <c r="FP7" i="4"/>
  <c r="FO7" i="4"/>
  <c r="FN7" i="4"/>
  <c r="FM7" i="4"/>
  <c r="FL7" i="4"/>
  <c r="FK7" i="4"/>
  <c r="FJ7" i="4"/>
  <c r="FI7" i="4"/>
  <c r="FH7" i="4"/>
  <c r="FG7" i="4"/>
  <c r="FF7" i="4"/>
  <c r="FE7" i="4"/>
  <c r="FD7" i="4"/>
  <c r="FC7" i="4"/>
  <c r="FB7" i="4"/>
  <c r="FA7" i="4"/>
  <c r="EZ7" i="4"/>
  <c r="EY7" i="4"/>
  <c r="EX7" i="4"/>
  <c r="EW7" i="4"/>
  <c r="EV7" i="4"/>
  <c r="EU7" i="4"/>
  <c r="ET7" i="4"/>
  <c r="ES7" i="4"/>
  <c r="ER7" i="4"/>
  <c r="EQ7" i="4"/>
  <c r="EP7" i="4"/>
  <c r="EO7" i="4"/>
  <c r="EN7" i="4"/>
  <c r="EM7" i="4"/>
  <c r="EL7" i="4"/>
  <c r="EK7" i="4"/>
  <c r="EJ7" i="4"/>
  <c r="EI7" i="4"/>
  <c r="EH7" i="4"/>
  <c r="EG7" i="4"/>
  <c r="EF7" i="4"/>
  <c r="EE7" i="4"/>
  <c r="ED7" i="4"/>
  <c r="EC7" i="4"/>
  <c r="EB7" i="4"/>
  <c r="EA7" i="4"/>
  <c r="DZ7" i="4"/>
  <c r="DY7" i="4"/>
  <c r="DX7" i="4"/>
  <c r="DW7" i="4"/>
  <c r="DV7" i="4"/>
  <c r="DU7" i="4"/>
  <c r="DT7" i="4"/>
  <c r="DS7" i="4"/>
  <c r="DR7" i="4"/>
  <c r="DQ7" i="4"/>
  <c r="DP7" i="4"/>
  <c r="DO7" i="4"/>
  <c r="DN7" i="4"/>
  <c r="DM7" i="4"/>
  <c r="DL7" i="4"/>
  <c r="DK7" i="4"/>
  <c r="DJ7" i="4"/>
  <c r="DI7" i="4"/>
  <c r="DH7" i="4"/>
  <c r="DG7" i="4"/>
  <c r="DF7" i="4"/>
  <c r="DE7" i="4"/>
  <c r="DD7" i="4"/>
  <c r="DC7" i="4"/>
  <c r="DB7" i="4"/>
  <c r="DA7" i="4"/>
  <c r="CZ7" i="4"/>
  <c r="CY7" i="4"/>
  <c r="CX7" i="4"/>
  <c r="CW7" i="4"/>
  <c r="CV7" i="4"/>
  <c r="CU7" i="4"/>
  <c r="CT7" i="4"/>
  <c r="CS7" i="4"/>
  <c r="CR7" i="4"/>
  <c r="CQ7" i="4"/>
  <c r="CP7" i="4"/>
  <c r="CO7" i="4"/>
  <c r="CN7" i="4"/>
  <c r="CM7" i="4"/>
  <c r="CL7" i="4"/>
  <c r="CK7" i="4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BT7" i="4"/>
  <c r="BS7" i="4"/>
  <c r="BR7" i="4"/>
  <c r="BQ7" i="4"/>
  <c r="BP7" i="4"/>
  <c r="BO7" i="4"/>
  <c r="BN7" i="4"/>
  <c r="BM7" i="4"/>
  <c r="BL7" i="4"/>
  <c r="BK7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IV6" i="4"/>
  <c r="IU6" i="4"/>
  <c r="IT6" i="4"/>
  <c r="IS6" i="4"/>
  <c r="IR6" i="4"/>
  <c r="IQ6" i="4"/>
  <c r="IP6" i="4"/>
  <c r="IO6" i="4"/>
  <c r="IN6" i="4"/>
  <c r="IM6" i="4"/>
  <c r="IL6" i="4"/>
  <c r="IK6" i="4"/>
  <c r="IJ6" i="4"/>
  <c r="II6" i="4"/>
  <c r="IH6" i="4"/>
  <c r="IG6" i="4"/>
  <c r="IF6" i="4"/>
  <c r="IE6" i="4"/>
  <c r="ID6" i="4"/>
  <c r="IC6" i="4"/>
  <c r="IB6" i="4"/>
  <c r="IA6" i="4"/>
  <c r="HZ6" i="4"/>
  <c r="HY6" i="4"/>
  <c r="HX6" i="4"/>
  <c r="HW6" i="4"/>
  <c r="HV6" i="4"/>
  <c r="HU6" i="4"/>
  <c r="HT6" i="4"/>
  <c r="HS6" i="4"/>
  <c r="HR6" i="4"/>
  <c r="HQ6" i="4"/>
  <c r="HP6" i="4"/>
  <c r="HO6" i="4"/>
  <c r="HN6" i="4"/>
  <c r="HM6" i="4"/>
  <c r="HL6" i="4"/>
  <c r="HK6" i="4"/>
  <c r="HJ6" i="4"/>
  <c r="HI6" i="4"/>
  <c r="HH6" i="4"/>
  <c r="HG6" i="4"/>
  <c r="HF6" i="4"/>
  <c r="HE6" i="4"/>
  <c r="HD6" i="4"/>
  <c r="HC6" i="4"/>
  <c r="HB6" i="4"/>
  <c r="HA6" i="4"/>
  <c r="GZ6" i="4"/>
  <c r="GY6" i="4"/>
  <c r="GX6" i="4"/>
  <c r="GW6" i="4"/>
  <c r="GV6" i="4"/>
  <c r="GU6" i="4"/>
  <c r="GT6" i="4"/>
  <c r="GS6" i="4"/>
  <c r="GR6" i="4"/>
  <c r="GQ6" i="4"/>
  <c r="GP6" i="4"/>
  <c r="GO6" i="4"/>
  <c r="GN6" i="4"/>
  <c r="GM6" i="4"/>
  <c r="GL6" i="4"/>
  <c r="GK6" i="4"/>
  <c r="GJ6" i="4"/>
  <c r="GI6" i="4"/>
  <c r="GH6" i="4"/>
  <c r="GG6" i="4"/>
  <c r="GF6" i="4"/>
  <c r="GE6" i="4"/>
  <c r="GD6" i="4"/>
  <c r="GC6" i="4"/>
  <c r="GB6" i="4"/>
  <c r="GA6" i="4"/>
  <c r="FZ6" i="4"/>
  <c r="FY6" i="4"/>
  <c r="FX6" i="4"/>
  <c r="FW6" i="4"/>
  <c r="FV6" i="4"/>
  <c r="FU6" i="4"/>
  <c r="FT6" i="4"/>
  <c r="FS6" i="4"/>
  <c r="FR6" i="4"/>
  <c r="FQ6" i="4"/>
  <c r="FP6" i="4"/>
  <c r="FO6" i="4"/>
  <c r="FN6" i="4"/>
  <c r="FM6" i="4"/>
  <c r="FL6" i="4"/>
  <c r="FK6" i="4"/>
  <c r="FJ6" i="4"/>
  <c r="FI6" i="4"/>
  <c r="FH6" i="4"/>
  <c r="FG6" i="4"/>
  <c r="FF6" i="4"/>
  <c r="FE6" i="4"/>
  <c r="FD6" i="4"/>
  <c r="FC6" i="4"/>
  <c r="FB6" i="4"/>
  <c r="FA6" i="4"/>
  <c r="EZ6" i="4"/>
  <c r="EY6" i="4"/>
  <c r="EX6" i="4"/>
  <c r="EW6" i="4"/>
  <c r="EV6" i="4"/>
  <c r="EU6" i="4"/>
  <c r="ET6" i="4"/>
  <c r="ES6" i="4"/>
  <c r="ER6" i="4"/>
  <c r="EQ6" i="4"/>
  <c r="EP6" i="4"/>
  <c r="EO6" i="4"/>
  <c r="EN6" i="4"/>
  <c r="EM6" i="4"/>
  <c r="EL6" i="4"/>
  <c r="EK6" i="4"/>
  <c r="EJ6" i="4"/>
  <c r="EI6" i="4"/>
  <c r="EH6" i="4"/>
  <c r="EG6" i="4"/>
  <c r="EF6" i="4"/>
  <c r="EE6" i="4"/>
  <c r="ED6" i="4"/>
  <c r="EC6" i="4"/>
  <c r="EB6" i="4"/>
  <c r="EA6" i="4"/>
  <c r="DZ6" i="4"/>
  <c r="DY6" i="4"/>
  <c r="DX6" i="4"/>
  <c r="DW6" i="4"/>
  <c r="DV6" i="4"/>
  <c r="DU6" i="4"/>
  <c r="DT6" i="4"/>
  <c r="DS6" i="4"/>
  <c r="DR6" i="4"/>
  <c r="DQ6" i="4"/>
  <c r="DP6" i="4"/>
  <c r="DO6" i="4"/>
  <c r="DN6" i="4"/>
  <c r="DM6" i="4"/>
  <c r="DL6" i="4"/>
  <c r="DK6" i="4"/>
  <c r="DJ6" i="4"/>
  <c r="DI6" i="4"/>
  <c r="DH6" i="4"/>
  <c r="DG6" i="4"/>
  <c r="DF6" i="4"/>
  <c r="DE6" i="4"/>
  <c r="DD6" i="4"/>
  <c r="DC6" i="4"/>
  <c r="DB6" i="4"/>
  <c r="DA6" i="4"/>
  <c r="CZ6" i="4"/>
  <c r="CY6" i="4"/>
  <c r="CX6" i="4"/>
  <c r="CW6" i="4"/>
  <c r="CV6" i="4"/>
  <c r="CU6" i="4"/>
  <c r="CT6" i="4"/>
  <c r="CS6" i="4"/>
  <c r="CR6" i="4"/>
  <c r="CQ6" i="4"/>
  <c r="CP6" i="4"/>
  <c r="CO6" i="4"/>
  <c r="CN6" i="4"/>
  <c r="CM6" i="4"/>
  <c r="CL6" i="4"/>
  <c r="CK6" i="4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BT6" i="4"/>
  <c r="BS6" i="4"/>
  <c r="BR6" i="4"/>
  <c r="BQ6" i="4"/>
  <c r="BP6" i="4"/>
  <c r="BO6" i="4"/>
  <c r="BN6" i="4"/>
  <c r="BM6" i="4"/>
  <c r="BL6" i="4"/>
  <c r="BK6" i="4"/>
  <c r="BJ6" i="4"/>
  <c r="BI6" i="4"/>
  <c r="BH6" i="4"/>
  <c r="BG6" i="4"/>
  <c r="BF6" i="4"/>
  <c r="BE6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C6" i="4"/>
  <c r="IV5" i="4"/>
  <c r="IU5" i="4"/>
  <c r="IT5" i="4"/>
  <c r="IS5" i="4"/>
  <c r="IR5" i="4"/>
  <c r="IQ5" i="4"/>
  <c r="IP5" i="4"/>
  <c r="IO5" i="4"/>
  <c r="IN5" i="4"/>
  <c r="IM5" i="4"/>
  <c r="IL5" i="4"/>
  <c r="IK5" i="4"/>
  <c r="IJ5" i="4"/>
  <c r="II5" i="4"/>
  <c r="IH5" i="4"/>
  <c r="IG5" i="4"/>
  <c r="IF5" i="4"/>
  <c r="IE5" i="4"/>
  <c r="ID5" i="4"/>
  <c r="IC5" i="4"/>
  <c r="IB5" i="4"/>
  <c r="IA5" i="4"/>
  <c r="HZ5" i="4"/>
  <c r="HY5" i="4"/>
  <c r="HX5" i="4"/>
  <c r="HW5" i="4"/>
  <c r="HV5" i="4"/>
  <c r="HU5" i="4"/>
  <c r="HT5" i="4"/>
  <c r="HS5" i="4"/>
  <c r="HR5" i="4"/>
  <c r="HQ5" i="4"/>
  <c r="HP5" i="4"/>
  <c r="HO5" i="4"/>
  <c r="HN5" i="4"/>
  <c r="HM5" i="4"/>
  <c r="HL5" i="4"/>
  <c r="HK5" i="4"/>
  <c r="HJ5" i="4"/>
  <c r="HI5" i="4"/>
  <c r="HH5" i="4"/>
  <c r="HG5" i="4"/>
  <c r="HF5" i="4"/>
  <c r="HE5" i="4"/>
  <c r="HD5" i="4"/>
  <c r="HC5" i="4"/>
  <c r="HB5" i="4"/>
  <c r="HA5" i="4"/>
  <c r="GZ5" i="4"/>
  <c r="GY5" i="4"/>
  <c r="GX5" i="4"/>
  <c r="GW5" i="4"/>
  <c r="GV5" i="4"/>
  <c r="GU5" i="4"/>
  <c r="GT5" i="4"/>
  <c r="GS5" i="4"/>
  <c r="GR5" i="4"/>
  <c r="GQ5" i="4"/>
  <c r="GP5" i="4"/>
  <c r="GO5" i="4"/>
  <c r="GN5" i="4"/>
  <c r="GM5" i="4"/>
  <c r="GL5" i="4"/>
  <c r="GK5" i="4"/>
  <c r="GJ5" i="4"/>
  <c r="GI5" i="4"/>
  <c r="GH5" i="4"/>
  <c r="GG5" i="4"/>
  <c r="GF5" i="4"/>
  <c r="GE5" i="4"/>
  <c r="GD5" i="4"/>
  <c r="GC5" i="4"/>
  <c r="GB5" i="4"/>
  <c r="GA5" i="4"/>
  <c r="FZ5" i="4"/>
  <c r="FY5" i="4"/>
  <c r="FX5" i="4"/>
  <c r="FW5" i="4"/>
  <c r="FV5" i="4"/>
  <c r="FU5" i="4"/>
  <c r="FT5" i="4"/>
  <c r="FS5" i="4"/>
  <c r="FR5" i="4"/>
  <c r="FQ5" i="4"/>
  <c r="FP5" i="4"/>
  <c r="FO5" i="4"/>
  <c r="FN5" i="4"/>
  <c r="FM5" i="4"/>
  <c r="FL5" i="4"/>
  <c r="FK5" i="4"/>
  <c r="FJ5" i="4"/>
  <c r="FI5" i="4"/>
  <c r="FH5" i="4"/>
  <c r="FG5" i="4"/>
  <c r="FF5" i="4"/>
  <c r="FE5" i="4"/>
  <c r="FD5" i="4"/>
  <c r="FC5" i="4"/>
  <c r="FB5" i="4"/>
  <c r="FA5" i="4"/>
  <c r="EZ5" i="4"/>
  <c r="EY5" i="4"/>
  <c r="EX5" i="4"/>
  <c r="EW5" i="4"/>
  <c r="EV5" i="4"/>
  <c r="EU5" i="4"/>
  <c r="ET5" i="4"/>
  <c r="ES5" i="4"/>
  <c r="ER5" i="4"/>
  <c r="EQ5" i="4"/>
  <c r="EP5" i="4"/>
  <c r="EO5" i="4"/>
  <c r="EN5" i="4"/>
  <c r="EM5" i="4"/>
  <c r="EL5" i="4"/>
  <c r="EK5" i="4"/>
  <c r="EJ5" i="4"/>
  <c r="EI5" i="4"/>
  <c r="EH5" i="4"/>
  <c r="EG5" i="4"/>
  <c r="EF5" i="4"/>
  <c r="EE5" i="4"/>
  <c r="ED5" i="4"/>
  <c r="EC5" i="4"/>
  <c r="EB5" i="4"/>
  <c r="EA5" i="4"/>
  <c r="DZ5" i="4"/>
  <c r="DY5" i="4"/>
  <c r="DX5" i="4"/>
  <c r="DW5" i="4"/>
  <c r="DV5" i="4"/>
  <c r="DU5" i="4"/>
  <c r="DT5" i="4"/>
  <c r="DS5" i="4"/>
  <c r="DR5" i="4"/>
  <c r="DQ5" i="4"/>
  <c r="DP5" i="4"/>
  <c r="DO5" i="4"/>
  <c r="DN5" i="4"/>
  <c r="DM5" i="4"/>
  <c r="DL5" i="4"/>
  <c r="DK5" i="4"/>
  <c r="DJ5" i="4"/>
  <c r="DI5" i="4"/>
  <c r="DH5" i="4"/>
  <c r="DG5" i="4"/>
  <c r="DF5" i="4"/>
  <c r="DE5" i="4"/>
  <c r="DD5" i="4"/>
  <c r="DC5" i="4"/>
  <c r="DB5" i="4"/>
  <c r="DA5" i="4"/>
  <c r="CZ5" i="4"/>
  <c r="CY5" i="4"/>
  <c r="CX5" i="4"/>
  <c r="CW5" i="4"/>
  <c r="CV5" i="4"/>
  <c r="CU5" i="4"/>
  <c r="CT5" i="4"/>
  <c r="CS5" i="4"/>
  <c r="CR5" i="4"/>
  <c r="CQ5" i="4"/>
  <c r="CP5" i="4"/>
  <c r="CO5" i="4"/>
  <c r="CN5" i="4"/>
  <c r="CM5" i="4"/>
  <c r="CL5" i="4"/>
  <c r="CK5" i="4"/>
  <c r="CJ5" i="4"/>
  <c r="CI5" i="4"/>
  <c r="CH5" i="4"/>
  <c r="CG5" i="4"/>
  <c r="CF5" i="4"/>
  <c r="CE5" i="4"/>
  <c r="CD5" i="4"/>
  <c r="CC5" i="4"/>
  <c r="CB5" i="4"/>
  <c r="CA5" i="4"/>
  <c r="BZ5" i="4"/>
  <c r="BY5" i="4"/>
  <c r="BX5" i="4"/>
  <c r="BW5" i="4"/>
  <c r="BV5" i="4"/>
  <c r="BU5" i="4"/>
  <c r="BT5" i="4"/>
  <c r="BS5" i="4"/>
  <c r="BR5" i="4"/>
  <c r="BQ5" i="4"/>
  <c r="BP5" i="4"/>
  <c r="BO5" i="4"/>
  <c r="BN5" i="4"/>
  <c r="BM5" i="4"/>
  <c r="BL5" i="4"/>
  <c r="BK5" i="4"/>
  <c r="BJ5" i="4"/>
  <c r="BI5" i="4"/>
  <c r="BH5" i="4"/>
  <c r="BG5" i="4"/>
  <c r="BF5" i="4"/>
  <c r="BE5" i="4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IV4" i="4"/>
  <c r="IU4" i="4"/>
  <c r="IT4" i="4"/>
  <c r="IS4" i="4"/>
  <c r="IR4" i="4"/>
  <c r="IQ4" i="4"/>
  <c r="IP4" i="4"/>
  <c r="IO4" i="4"/>
  <c r="IN4" i="4"/>
  <c r="IM4" i="4"/>
  <c r="IL4" i="4"/>
  <c r="IK4" i="4"/>
  <c r="IJ4" i="4"/>
  <c r="II4" i="4"/>
  <c r="IH4" i="4"/>
  <c r="IG4" i="4"/>
  <c r="IF4" i="4"/>
  <c r="IE4" i="4"/>
  <c r="ID4" i="4"/>
  <c r="IC4" i="4"/>
  <c r="IB4" i="4"/>
  <c r="IA4" i="4"/>
  <c r="HZ4" i="4"/>
  <c r="HY4" i="4"/>
  <c r="HX4" i="4"/>
  <c r="HW4" i="4"/>
  <c r="HV4" i="4"/>
  <c r="HU4" i="4"/>
  <c r="HT4" i="4"/>
  <c r="HS4" i="4"/>
  <c r="HR4" i="4"/>
  <c r="HQ4" i="4"/>
  <c r="HP4" i="4"/>
  <c r="HO4" i="4"/>
  <c r="HN4" i="4"/>
  <c r="HM4" i="4"/>
  <c r="HL4" i="4"/>
  <c r="HK4" i="4"/>
  <c r="HJ4" i="4"/>
  <c r="HI4" i="4"/>
  <c r="HH4" i="4"/>
  <c r="HG4" i="4"/>
  <c r="HF4" i="4"/>
  <c r="HE4" i="4"/>
  <c r="HD4" i="4"/>
  <c r="HC4" i="4"/>
  <c r="HB4" i="4"/>
  <c r="HA4" i="4"/>
  <c r="GZ4" i="4"/>
  <c r="GY4" i="4"/>
  <c r="GX4" i="4"/>
  <c r="GW4" i="4"/>
  <c r="GV4" i="4"/>
  <c r="GU4" i="4"/>
  <c r="GT4" i="4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IV3" i="4"/>
  <c r="IU3" i="4"/>
  <c r="IT3" i="4"/>
  <c r="IS3" i="4"/>
  <c r="IR3" i="4"/>
  <c r="IQ3" i="4"/>
  <c r="IP3" i="4"/>
  <c r="IO3" i="4"/>
  <c r="IN3" i="4"/>
  <c r="IM3" i="4"/>
  <c r="IL3" i="4"/>
  <c r="IK3" i="4"/>
  <c r="IJ3" i="4"/>
  <c r="II3" i="4"/>
  <c r="IH3" i="4"/>
  <c r="IG3" i="4"/>
  <c r="IF3" i="4"/>
  <c r="IE3" i="4"/>
  <c r="ID3" i="4"/>
  <c r="IC3" i="4"/>
  <c r="IB3" i="4"/>
  <c r="IA3" i="4"/>
  <c r="HZ3" i="4"/>
  <c r="HY3" i="4"/>
  <c r="HX3" i="4"/>
  <c r="HW3" i="4"/>
  <c r="HV3" i="4"/>
  <c r="HU3" i="4"/>
  <c r="HT3" i="4"/>
  <c r="HS3" i="4"/>
  <c r="HR3" i="4"/>
  <c r="HQ3" i="4"/>
  <c r="HP3" i="4"/>
  <c r="HO3" i="4"/>
  <c r="HN3" i="4"/>
  <c r="HM3" i="4"/>
  <c r="HL3" i="4"/>
  <c r="HK3" i="4"/>
  <c r="HJ3" i="4"/>
  <c r="HI3" i="4"/>
  <c r="HH3" i="4"/>
  <c r="HG3" i="4"/>
  <c r="HF3" i="4"/>
  <c r="HE3" i="4"/>
  <c r="HD3" i="4"/>
  <c r="HC3" i="4"/>
  <c r="HB3" i="4"/>
  <c r="HA3" i="4"/>
  <c r="GZ3" i="4"/>
  <c r="GY3" i="4"/>
  <c r="GX3" i="4"/>
  <c r="GW3" i="4"/>
  <c r="GV3" i="4"/>
  <c r="GU3" i="4"/>
  <c r="GT3" i="4"/>
  <c r="GS3" i="4"/>
  <c r="GR3" i="4"/>
  <c r="GQ3" i="4"/>
  <c r="GP3" i="4"/>
  <c r="GO3" i="4"/>
  <c r="GN3" i="4"/>
  <c r="GM3" i="4"/>
  <c r="GL3" i="4"/>
  <c r="GK3" i="4"/>
  <c r="GJ3" i="4"/>
  <c r="GI3" i="4"/>
  <c r="GH3" i="4"/>
  <c r="GG3" i="4"/>
  <c r="GF3" i="4"/>
  <c r="GE3" i="4"/>
  <c r="GD3" i="4"/>
  <c r="GC3" i="4"/>
  <c r="GB3" i="4"/>
  <c r="GA3" i="4"/>
  <c r="FZ3" i="4"/>
  <c r="FY3" i="4"/>
  <c r="FX3" i="4"/>
  <c r="FW3" i="4"/>
  <c r="FV3" i="4"/>
  <c r="FU3" i="4"/>
  <c r="FT3" i="4"/>
  <c r="FS3" i="4"/>
  <c r="FR3" i="4"/>
  <c r="FQ3" i="4"/>
  <c r="FP3" i="4"/>
  <c r="FO3" i="4"/>
  <c r="FN3" i="4"/>
  <c r="FM3" i="4"/>
  <c r="FL3" i="4"/>
  <c r="FK3" i="4"/>
  <c r="FJ3" i="4"/>
  <c r="FI3" i="4"/>
  <c r="FH3" i="4"/>
  <c r="FG3" i="4"/>
  <c r="FF3" i="4"/>
  <c r="FE3" i="4"/>
  <c r="FD3" i="4"/>
  <c r="FC3" i="4"/>
  <c r="FB3" i="4"/>
  <c r="FA3" i="4"/>
  <c r="EZ3" i="4"/>
  <c r="EY3" i="4"/>
  <c r="EX3" i="4"/>
  <c r="EW3" i="4"/>
  <c r="EV3" i="4"/>
  <c r="EU3" i="4"/>
  <c r="ET3" i="4"/>
  <c r="ES3" i="4"/>
  <c r="ER3" i="4"/>
  <c r="EQ3" i="4"/>
  <c r="EP3" i="4"/>
  <c r="EO3" i="4"/>
  <c r="EN3" i="4"/>
  <c r="EM3" i="4"/>
  <c r="EL3" i="4"/>
  <c r="EK3" i="4"/>
  <c r="EJ3" i="4"/>
  <c r="EI3" i="4"/>
  <c r="EH3" i="4"/>
  <c r="EG3" i="4"/>
  <c r="EF3" i="4"/>
  <c r="EE3" i="4"/>
  <c r="ED3" i="4"/>
  <c r="EC3" i="4"/>
  <c r="EB3" i="4"/>
  <c r="EA3" i="4"/>
  <c r="DZ3" i="4"/>
  <c r="DY3" i="4"/>
  <c r="DX3" i="4"/>
  <c r="DW3" i="4"/>
  <c r="DV3" i="4"/>
  <c r="DU3" i="4"/>
  <c r="DT3" i="4"/>
  <c r="DS3" i="4"/>
  <c r="DR3" i="4"/>
  <c r="DQ3" i="4"/>
  <c r="DP3" i="4"/>
  <c r="DO3" i="4"/>
  <c r="DN3" i="4"/>
  <c r="DM3" i="4"/>
  <c r="DL3" i="4"/>
  <c r="DK3" i="4"/>
  <c r="DJ3" i="4"/>
  <c r="DI3" i="4"/>
  <c r="DH3" i="4"/>
  <c r="DG3" i="4"/>
  <c r="DF3" i="4"/>
  <c r="DE3" i="4"/>
  <c r="DD3" i="4"/>
  <c r="DC3" i="4"/>
  <c r="DB3" i="4"/>
  <c r="DA3" i="4"/>
  <c r="CZ3" i="4"/>
  <c r="CY3" i="4"/>
  <c r="CX3" i="4"/>
  <c r="CW3" i="4"/>
  <c r="CV3" i="4"/>
  <c r="CU3" i="4"/>
  <c r="CT3" i="4"/>
  <c r="CS3" i="4"/>
  <c r="CR3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IV2" i="4"/>
  <c r="IU2" i="4"/>
  <c r="IT2" i="4"/>
  <c r="IS2" i="4"/>
  <c r="IR2" i="4"/>
  <c r="IQ2" i="4"/>
  <c r="IP2" i="4"/>
  <c r="IO2" i="4"/>
  <c r="IN2" i="4"/>
  <c r="IM2" i="4"/>
  <c r="IL2" i="4"/>
  <c r="IK2" i="4"/>
  <c r="IJ2" i="4"/>
  <c r="II2" i="4"/>
  <c r="IH2" i="4"/>
  <c r="IG2" i="4"/>
  <c r="IF2" i="4"/>
  <c r="IE2" i="4"/>
  <c r="ID2" i="4"/>
  <c r="IC2" i="4"/>
  <c r="IB2" i="4"/>
  <c r="IA2" i="4"/>
  <c r="HZ2" i="4"/>
  <c r="HY2" i="4"/>
  <c r="HX2" i="4"/>
  <c r="HW2" i="4"/>
  <c r="HV2" i="4"/>
  <c r="HU2" i="4"/>
  <c r="HT2" i="4"/>
  <c r="HS2" i="4"/>
  <c r="HR2" i="4"/>
  <c r="HQ2" i="4"/>
  <c r="HP2" i="4"/>
  <c r="HO2" i="4"/>
  <c r="HN2" i="4"/>
  <c r="HM2" i="4"/>
  <c r="HL2" i="4"/>
  <c r="HK2" i="4"/>
  <c r="HJ2" i="4"/>
  <c r="HI2" i="4"/>
  <c r="HH2" i="4"/>
  <c r="HG2" i="4"/>
  <c r="HF2" i="4"/>
  <c r="HE2" i="4"/>
  <c r="HD2" i="4"/>
  <c r="HC2" i="4"/>
  <c r="HB2" i="4"/>
  <c r="HA2" i="4"/>
  <c r="GZ2" i="4"/>
  <c r="GY2" i="4"/>
  <c r="GX2" i="4"/>
  <c r="GW2" i="4"/>
  <c r="GV2" i="4"/>
  <c r="GU2" i="4"/>
  <c r="GT2" i="4"/>
  <c r="GS2" i="4"/>
  <c r="GR2" i="4"/>
  <c r="GQ2" i="4"/>
  <c r="GP2" i="4"/>
  <c r="GO2" i="4"/>
  <c r="GN2" i="4"/>
  <c r="GM2" i="4"/>
  <c r="GL2" i="4"/>
  <c r="GK2" i="4"/>
  <c r="GJ2" i="4"/>
  <c r="GI2" i="4"/>
  <c r="GH2" i="4"/>
  <c r="GG2" i="4"/>
  <c r="GF2" i="4"/>
  <c r="GE2" i="4"/>
  <c r="GD2" i="4"/>
  <c r="GC2" i="4"/>
  <c r="GB2" i="4"/>
  <c r="GA2" i="4"/>
  <c r="FZ2" i="4"/>
  <c r="FY2" i="4"/>
  <c r="FX2" i="4"/>
  <c r="FW2" i="4"/>
  <c r="FV2" i="4"/>
  <c r="FU2" i="4"/>
  <c r="FT2" i="4"/>
  <c r="FS2" i="4"/>
  <c r="FR2" i="4"/>
  <c r="FQ2" i="4"/>
  <c r="FP2" i="4"/>
  <c r="FO2" i="4"/>
  <c r="FN2" i="4"/>
  <c r="FM2" i="4"/>
  <c r="FL2" i="4"/>
  <c r="FK2" i="4"/>
  <c r="FJ2" i="4"/>
  <c r="FI2" i="4"/>
  <c r="FH2" i="4"/>
  <c r="FG2" i="4"/>
  <c r="FF2" i="4"/>
  <c r="FE2" i="4"/>
  <c r="FD2" i="4"/>
  <c r="FC2" i="4"/>
  <c r="FB2" i="4"/>
  <c r="FA2" i="4"/>
  <c r="EZ2" i="4"/>
  <c r="EY2" i="4"/>
  <c r="EX2" i="4"/>
  <c r="EW2" i="4"/>
  <c r="EV2" i="4"/>
  <c r="EU2" i="4"/>
  <c r="ET2" i="4"/>
  <c r="ES2" i="4"/>
  <c r="ER2" i="4"/>
  <c r="EQ2" i="4"/>
  <c r="EP2" i="4"/>
  <c r="EO2" i="4"/>
  <c r="EN2" i="4"/>
  <c r="EM2" i="4"/>
  <c r="EL2" i="4"/>
  <c r="EK2" i="4"/>
  <c r="EJ2" i="4"/>
  <c r="EI2" i="4"/>
  <c r="EH2" i="4"/>
  <c r="EG2" i="4"/>
  <c r="EF2" i="4"/>
  <c r="EE2" i="4"/>
  <c r="ED2" i="4"/>
  <c r="EC2" i="4"/>
  <c r="EB2" i="4"/>
  <c r="EA2" i="4"/>
  <c r="DZ2" i="4"/>
  <c r="DY2" i="4"/>
  <c r="DX2" i="4"/>
  <c r="DW2" i="4"/>
  <c r="DV2" i="4"/>
  <c r="DU2" i="4"/>
  <c r="DT2" i="4"/>
  <c r="DS2" i="4"/>
  <c r="DR2" i="4"/>
  <c r="DQ2" i="4"/>
  <c r="DP2" i="4"/>
  <c r="DO2" i="4"/>
  <c r="DN2" i="4"/>
  <c r="DM2" i="4"/>
  <c r="DL2" i="4"/>
  <c r="DK2" i="4"/>
  <c r="DJ2" i="4"/>
  <c r="DI2" i="4"/>
  <c r="DH2" i="4"/>
  <c r="DG2" i="4"/>
  <c r="DF2" i="4"/>
  <c r="DE2" i="4"/>
  <c r="DD2" i="4"/>
  <c r="DC2" i="4"/>
  <c r="DB2" i="4"/>
  <c r="DA2" i="4"/>
  <c r="CZ2" i="4"/>
  <c r="CY2" i="4"/>
  <c r="CX2" i="4"/>
  <c r="CW2" i="4"/>
  <c r="CV2" i="4"/>
  <c r="CU2" i="4"/>
  <c r="CT2" i="4"/>
  <c r="CS2" i="4"/>
  <c r="CR2" i="4"/>
  <c r="CQ2" i="4"/>
  <c r="CP2" i="4"/>
  <c r="CO2" i="4"/>
  <c r="CN2" i="4"/>
  <c r="CM2" i="4"/>
  <c r="CL2" i="4"/>
  <c r="CK2" i="4"/>
  <c r="CJ2" i="4"/>
  <c r="CI2" i="4"/>
  <c r="CH2" i="4"/>
  <c r="CG2" i="4"/>
  <c r="CF2" i="4"/>
  <c r="CE2" i="4"/>
  <c r="CD2" i="4"/>
  <c r="CC2" i="4"/>
  <c r="CB2" i="4"/>
  <c r="CA2" i="4"/>
  <c r="BZ2" i="4"/>
  <c r="BY2" i="4"/>
  <c r="BX2" i="4"/>
  <c r="BW2" i="4"/>
  <c r="BV2" i="4"/>
  <c r="BU2" i="4"/>
  <c r="BT2" i="4"/>
  <c r="BS2" i="4"/>
  <c r="BR2" i="4"/>
  <c r="BQ2" i="4"/>
  <c r="BP2" i="4"/>
  <c r="BO2" i="4"/>
  <c r="BN2" i="4"/>
  <c r="BM2" i="4"/>
  <c r="BL2" i="4"/>
  <c r="BK2" i="4"/>
  <c r="BJ2" i="4"/>
  <c r="BI2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IV1" i="4"/>
  <c r="IU1" i="4"/>
  <c r="IT1" i="4"/>
  <c r="IS1" i="4"/>
  <c r="IR1" i="4"/>
  <c r="IQ1" i="4"/>
  <c r="IP1" i="4"/>
  <c r="IO1" i="4"/>
  <c r="IN1" i="4"/>
  <c r="IM1" i="4"/>
  <c r="IL1" i="4"/>
  <c r="IK1" i="4"/>
  <c r="IJ1" i="4"/>
  <c r="II1" i="4"/>
  <c r="IH1" i="4"/>
  <c r="IG1" i="4"/>
  <c r="IF1" i="4"/>
  <c r="IE1" i="4"/>
  <c r="ID1" i="4"/>
  <c r="IC1" i="4"/>
  <c r="IB1" i="4"/>
  <c r="IA1" i="4"/>
  <c r="HZ1" i="4"/>
  <c r="HY1" i="4"/>
  <c r="HX1" i="4"/>
  <c r="HW1" i="4"/>
  <c r="HV1" i="4"/>
  <c r="HU1" i="4"/>
  <c r="HT1" i="4"/>
  <c r="HS1" i="4"/>
  <c r="HR1" i="4"/>
  <c r="HQ1" i="4"/>
  <c r="HP1" i="4"/>
  <c r="HO1" i="4"/>
  <c r="HN1" i="4"/>
  <c r="HM1" i="4"/>
  <c r="HL1" i="4"/>
  <c r="HK1" i="4"/>
  <c r="HJ1" i="4"/>
  <c r="HI1" i="4"/>
  <c r="HH1" i="4"/>
  <c r="HG1" i="4"/>
  <c r="HF1" i="4"/>
  <c r="HE1" i="4"/>
  <c r="HD1" i="4"/>
  <c r="HC1" i="4"/>
  <c r="HB1" i="4"/>
  <c r="HA1" i="4"/>
  <c r="GZ1" i="4"/>
  <c r="GY1" i="4"/>
  <c r="GX1" i="4"/>
  <c r="GW1" i="4"/>
  <c r="GV1" i="4"/>
  <c r="GU1" i="4"/>
  <c r="GT1" i="4"/>
  <c r="GS1" i="4"/>
  <c r="GR1" i="4"/>
  <c r="GQ1" i="4"/>
  <c r="GP1" i="4"/>
  <c r="GO1" i="4"/>
  <c r="GN1" i="4"/>
  <c r="GM1" i="4"/>
  <c r="GL1" i="4"/>
  <c r="GK1" i="4"/>
  <c r="GJ1" i="4"/>
  <c r="GI1" i="4"/>
  <c r="GH1" i="4"/>
  <c r="GG1" i="4"/>
  <c r="GF1" i="4"/>
  <c r="GE1" i="4"/>
  <c r="GD1" i="4"/>
  <c r="GC1" i="4"/>
  <c r="GB1" i="4"/>
  <c r="GA1" i="4"/>
  <c r="FZ1" i="4"/>
  <c r="FY1" i="4"/>
  <c r="FX1" i="4"/>
  <c r="FW1" i="4"/>
  <c r="FV1" i="4"/>
  <c r="FU1" i="4"/>
  <c r="FT1" i="4"/>
  <c r="FS1" i="4"/>
  <c r="FR1" i="4"/>
  <c r="FQ1" i="4"/>
  <c r="FP1" i="4"/>
  <c r="FO1" i="4"/>
  <c r="FN1" i="4"/>
  <c r="FM1" i="4"/>
  <c r="FL1" i="4"/>
  <c r="FK1" i="4"/>
  <c r="FJ1" i="4"/>
  <c r="FI1" i="4"/>
  <c r="FH1" i="4"/>
  <c r="FG1" i="4"/>
  <c r="FF1" i="4"/>
  <c r="FE1" i="4"/>
  <c r="FD1" i="4"/>
  <c r="FC1" i="4"/>
  <c r="FB1" i="4"/>
  <c r="FA1" i="4"/>
  <c r="EZ1" i="4"/>
  <c r="EY1" i="4"/>
  <c r="EX1" i="4"/>
  <c r="EW1" i="4"/>
  <c r="EV1" i="4"/>
  <c r="EU1" i="4"/>
  <c r="ET1" i="4"/>
  <c r="ES1" i="4"/>
  <c r="ER1" i="4"/>
  <c r="EQ1" i="4"/>
  <c r="EP1" i="4"/>
  <c r="EO1" i="4"/>
  <c r="EN1" i="4"/>
  <c r="EM1" i="4"/>
  <c r="EL1" i="4"/>
  <c r="EK1" i="4"/>
  <c r="EJ1" i="4"/>
  <c r="EI1" i="4"/>
  <c r="EH1" i="4"/>
  <c r="EG1" i="4"/>
  <c r="EF1" i="4"/>
  <c r="EE1" i="4"/>
  <c r="ED1" i="4"/>
  <c r="EC1" i="4"/>
  <c r="EB1" i="4"/>
  <c r="EA1" i="4"/>
  <c r="DZ1" i="4"/>
  <c r="DY1" i="4"/>
  <c r="DX1" i="4"/>
  <c r="DW1" i="4"/>
  <c r="DV1" i="4"/>
  <c r="DU1" i="4"/>
  <c r="DT1" i="4"/>
  <c r="DS1" i="4"/>
  <c r="DR1" i="4"/>
  <c r="DQ1" i="4"/>
  <c r="DP1" i="4"/>
  <c r="DO1" i="4"/>
  <c r="DN1" i="4"/>
  <c r="DM1" i="4"/>
  <c r="DL1" i="4"/>
  <c r="DK1" i="4"/>
  <c r="DJ1" i="4"/>
  <c r="DI1" i="4"/>
  <c r="DH1" i="4"/>
  <c r="DG1" i="4"/>
  <c r="DF1" i="4"/>
  <c r="DE1" i="4"/>
  <c r="DD1" i="4"/>
  <c r="DC1" i="4"/>
  <c r="DB1" i="4"/>
  <c r="DA1" i="4"/>
  <c r="CZ1" i="4"/>
  <c r="CY1" i="4"/>
  <c r="CX1" i="4"/>
  <c r="CW1" i="4"/>
  <c r="CV1" i="4"/>
  <c r="CU1" i="4"/>
  <c r="CT1" i="4"/>
  <c r="CS1" i="4"/>
  <c r="CR1" i="4"/>
  <c r="CQ1" i="4"/>
  <c r="CP1" i="4"/>
  <c r="CO1" i="4"/>
  <c r="CN1" i="4"/>
  <c r="CM1" i="4"/>
  <c r="CL1" i="4"/>
  <c r="CK1" i="4"/>
  <c r="CJ1" i="4"/>
  <c r="CI1" i="4"/>
  <c r="CH1" i="4"/>
  <c r="CG1" i="4"/>
  <c r="CF1" i="4"/>
  <c r="CE1" i="4"/>
  <c r="CD1" i="4"/>
  <c r="CC1" i="4"/>
  <c r="CB1" i="4"/>
  <c r="CA1" i="4"/>
  <c r="BZ1" i="4"/>
  <c r="BY1" i="4"/>
  <c r="BX1" i="4"/>
  <c r="BW1" i="4"/>
  <c r="BV1" i="4"/>
  <c r="BU1" i="4"/>
  <c r="BT1" i="4"/>
  <c r="BS1" i="4"/>
  <c r="BR1" i="4"/>
  <c r="BQ1" i="4"/>
  <c r="BP1" i="4"/>
  <c r="BO1" i="4"/>
  <c r="BN1" i="4"/>
  <c r="BM1" i="4"/>
  <c r="BL1" i="4"/>
  <c r="BK1" i="4"/>
  <c r="BJ1" i="4"/>
  <c r="BI1" i="4"/>
  <c r="BH1" i="4"/>
  <c r="BG1" i="4"/>
  <c r="BF1" i="4"/>
  <c r="BE1" i="4"/>
  <c r="BD1" i="4"/>
  <c r="BC1" i="4"/>
  <c r="BB1" i="4"/>
  <c r="BA1" i="4"/>
  <c r="AZ1" i="4"/>
  <c r="AY1" i="4"/>
  <c r="AX1" i="4"/>
  <c r="AW1" i="4"/>
  <c r="AV1" i="4"/>
  <c r="AU1" i="4"/>
  <c r="AT1" i="4"/>
  <c r="AS1" i="4"/>
  <c r="AR1" i="4"/>
  <c r="AQ1" i="4"/>
  <c r="AP1" i="4"/>
  <c r="AO1" i="4"/>
  <c r="AN1" i="4"/>
  <c r="AM1" i="4"/>
  <c r="AL1" i="4"/>
  <c r="AK1" i="4"/>
  <c r="AJ1" i="4"/>
  <c r="AI1" i="4"/>
  <c r="AH1" i="4"/>
  <c r="AG1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AI113" i="1"/>
  <c r="AI114" i="1" s="1"/>
  <c r="AI119" i="1" s="1"/>
  <c r="AH113" i="1"/>
  <c r="AH116" i="1" s="1"/>
  <c r="AG113" i="1"/>
  <c r="AG114" i="1" s="1"/>
  <c r="AG119" i="1" s="1"/>
  <c r="AF113" i="1"/>
  <c r="AF118" i="1" s="1"/>
  <c r="AE113" i="1"/>
  <c r="AE116" i="1" s="1"/>
  <c r="AD113" i="1"/>
  <c r="AD118" i="1" s="1"/>
  <c r="AC113" i="1"/>
  <c r="AC114" i="1" s="1"/>
  <c r="AC119" i="1" s="1"/>
  <c r="AB113" i="1"/>
  <c r="AB115" i="1" s="1"/>
  <c r="AA113" i="1"/>
  <c r="AA115" i="1" s="1"/>
  <c r="Z113" i="1"/>
  <c r="Z116" i="1" s="1"/>
  <c r="Y113" i="1"/>
  <c r="Y115" i="1" s="1"/>
  <c r="X113" i="1"/>
  <c r="X116" i="1" s="1"/>
  <c r="W113" i="1"/>
  <c r="W116" i="1" s="1"/>
  <c r="V113" i="1"/>
  <c r="V114" i="1" s="1"/>
  <c r="V119" i="1" s="1"/>
  <c r="U113" i="1"/>
  <c r="U117" i="1" s="1"/>
  <c r="T113" i="1"/>
  <c r="T117" i="1" s="1"/>
  <c r="S113" i="1"/>
  <c r="S115" i="1" s="1"/>
  <c r="R113" i="1"/>
  <c r="R118" i="1" s="1"/>
  <c r="Q113" i="1"/>
  <c r="Q114" i="1" s="1"/>
  <c r="Q119" i="1" s="1"/>
  <c r="P113" i="1"/>
  <c r="P117" i="1" s="1"/>
  <c r="O113" i="1"/>
  <c r="N113" i="1"/>
  <c r="N115" i="1" s="1"/>
  <c r="M113" i="1"/>
  <c r="M116" i="1" s="1"/>
  <c r="L113" i="1"/>
  <c r="L116" i="1" s="1"/>
  <c r="K113" i="1"/>
  <c r="J113" i="1"/>
  <c r="J115" i="1" s="1"/>
  <c r="I113" i="1"/>
  <c r="I115" i="1" s="1"/>
  <c r="H113" i="1"/>
  <c r="H116" i="1" s="1"/>
  <c r="G113" i="1"/>
  <c r="G116" i="1" s="1"/>
  <c r="C111" i="1"/>
  <c r="C110" i="1"/>
  <c r="C109" i="1"/>
  <c r="C108" i="1"/>
  <c r="C107" i="1"/>
  <c r="C106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2" i="4" s="1"/>
  <c r="C18" i="1"/>
  <c r="C17" i="1"/>
  <c r="C16" i="1"/>
  <c r="C15" i="1"/>
  <c r="C14" i="1"/>
  <c r="C13" i="1"/>
  <c r="C12" i="1"/>
  <c r="C11" i="1"/>
  <c r="AH118" i="1"/>
  <c r="AC116" i="1"/>
  <c r="Z117" i="1"/>
  <c r="AH117" i="1"/>
  <c r="AB117" i="1"/>
  <c r="AG115" i="1"/>
  <c r="AC117" i="1"/>
  <c r="Z118" i="1"/>
  <c r="AH115" i="1" l="1"/>
  <c r="V116" i="1"/>
  <c r="V115" i="1"/>
  <c r="R117" i="1"/>
  <c r="AF115" i="1"/>
  <c r="Q117" i="1"/>
  <c r="U116" i="1"/>
  <c r="AG118" i="1"/>
  <c r="Y114" i="1"/>
  <c r="Y119" i="1" s="1"/>
  <c r="U115" i="1"/>
  <c r="N117" i="1"/>
  <c r="F118" i="1"/>
  <c r="G118" i="1" s="1"/>
  <c r="H118" i="1" s="1"/>
  <c r="I118" i="1" s="1"/>
  <c r="J118" i="1" s="1"/>
  <c r="K118" i="1" s="1"/>
  <c r="L118" i="1" s="1"/>
  <c r="M118" i="1" s="1"/>
  <c r="N118" i="1" s="1"/>
  <c r="O118" i="1" s="1"/>
  <c r="P118" i="1" s="1"/>
  <c r="K114" i="1"/>
  <c r="K115" i="1"/>
  <c r="J117" i="1"/>
  <c r="L115" i="1"/>
  <c r="P115" i="1"/>
  <c r="AB114" i="1"/>
  <c r="AB119" i="1" s="1"/>
  <c r="K116" i="1"/>
  <c r="S117" i="1"/>
  <c r="G114" i="1"/>
  <c r="G119" i="1" s="1"/>
  <c r="AF114" i="1"/>
  <c r="AF119" i="1" s="1"/>
  <c r="X115" i="1"/>
  <c r="AB116" i="1"/>
  <c r="S114" i="1"/>
  <c r="S119" i="1" s="1"/>
  <c r="O115" i="1"/>
  <c r="L114" i="1"/>
  <c r="S118" i="1"/>
  <c r="W114" i="1"/>
  <c r="W119" i="1" s="1"/>
  <c r="X118" i="1"/>
  <c r="AF116" i="1"/>
  <c r="O117" i="1"/>
  <c r="S116" i="1"/>
  <c r="K117" i="1"/>
  <c r="O114" i="1"/>
  <c r="O116" i="1"/>
  <c r="I116" i="1"/>
  <c r="H114" i="1"/>
  <c r="G117" i="1"/>
  <c r="J116" i="1"/>
  <c r="W117" i="1"/>
  <c r="V118" i="1"/>
  <c r="U118" i="1"/>
  <c r="X117" i="1"/>
  <c r="U114" i="1"/>
  <c r="U119" i="1" s="1"/>
  <c r="M114" i="1"/>
  <c r="J114" i="1"/>
  <c r="AF117" i="1"/>
  <c r="Q115" i="1"/>
  <c r="V117" i="1"/>
  <c r="AB118" i="1"/>
  <c r="I114" i="1"/>
  <c r="P116" i="1"/>
  <c r="W118" i="1"/>
  <c r="P114" i="1"/>
  <c r="X114" i="1"/>
  <c r="X119" i="1" s="1"/>
  <c r="G115" i="1"/>
  <c r="W115" i="1"/>
  <c r="AE114" i="1"/>
  <c r="AE119" i="1" s="1"/>
  <c r="AE118" i="1"/>
  <c r="Q116" i="1"/>
  <c r="T116" i="1"/>
  <c r="R115" i="1"/>
  <c r="Z114" i="1"/>
  <c r="Z119" i="1" s="1"/>
  <c r="AE117" i="1"/>
  <c r="T114" i="1"/>
  <c r="T119" i="1" s="1"/>
  <c r="N114" i="1"/>
  <c r="L117" i="1"/>
  <c r="AC115" i="1"/>
  <c r="M117" i="1"/>
  <c r="AD116" i="1"/>
  <c r="N116" i="1"/>
  <c r="AI116" i="1"/>
  <c r="AA116" i="1"/>
  <c r="T115" i="1"/>
  <c r="AC118" i="1"/>
  <c r="I117" i="1"/>
  <c r="T118" i="1"/>
  <c r="R114" i="1"/>
  <c r="R119" i="1" s="1"/>
  <c r="AI118" i="1"/>
  <c r="Z115" i="1"/>
  <c r="AE115" i="1"/>
  <c r="AH114" i="1"/>
  <c r="AH119" i="1" s="1"/>
  <c r="AA117" i="1"/>
  <c r="AD114" i="1"/>
  <c r="AD119" i="1" s="1"/>
  <c r="AA114" i="1"/>
  <c r="AA119" i="1" s="1"/>
  <c r="AD117" i="1"/>
  <c r="AI115" i="1"/>
  <c r="AA36" i="4"/>
  <c r="AG116" i="1"/>
  <c r="Y116" i="1"/>
  <c r="AI117" i="1"/>
  <c r="Y118" i="1"/>
  <c r="Q118" i="1"/>
  <c r="AA118" i="1"/>
  <c r="M115" i="1"/>
  <c r="Y117" i="1"/>
  <c r="AG117" i="1"/>
  <c r="R116" i="1"/>
  <c r="AD115" i="1"/>
  <c r="H115" i="1"/>
  <c r="H117" i="1"/>
  <c r="H119" i="1" l="1"/>
  <c r="I119" i="1" s="1"/>
  <c r="J119" i="1" s="1"/>
  <c r="K119" i="1" s="1"/>
  <c r="L119" i="1" s="1"/>
  <c r="M119" i="1" s="1"/>
  <c r="N119" i="1" s="1"/>
  <c r="O119" i="1" s="1"/>
  <c r="P119" i="1" s="1"/>
</calcChain>
</file>

<file path=xl/comments1.xml><?xml version="1.0" encoding="utf-8"?>
<comments xmlns="http://schemas.openxmlformats.org/spreadsheetml/2006/main">
  <authors>
    <author>Auteur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Select unit of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G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I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J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K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M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N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O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Q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S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T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U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V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W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X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Y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Z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A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B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C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D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E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F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G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H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AI8" authorId="0">
      <text>
        <r>
          <rPr>
            <sz val="9"/>
            <color indexed="81"/>
            <rFont val="Tahoma"/>
            <family val="2"/>
          </rPr>
          <t xml:space="preserve">Enter process Step identifier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9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2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2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2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3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3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3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4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4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4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5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5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5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6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6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6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7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7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7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8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8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8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9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9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09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0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0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10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1" authorId="0">
      <text>
        <r>
          <rPr>
            <b/>
            <sz val="9"/>
            <color indexed="81"/>
            <rFont val="Tahoma"/>
            <family val="2"/>
          </rPr>
          <t>Edit Task detail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1" authorId="0">
      <text>
        <r>
          <rPr>
            <b/>
            <sz val="8"/>
            <color indexed="81"/>
            <rFont val="Tahoma"/>
            <family val="2"/>
          </rPr>
          <t>Select category of work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11" authorId="0">
      <text>
        <r>
          <rPr>
            <b/>
            <sz val="9"/>
            <color indexed="81"/>
            <rFont val="Tahoma"/>
            <family val="2"/>
          </rPr>
          <t>Enter mean task time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<sst xmlns="http://schemas.openxmlformats.org/spreadsheetml/2006/main" count="300" uniqueCount="57">
  <si>
    <r>
      <t>Yamazumi Process Modeling Tool</t>
    </r>
    <r>
      <rPr>
        <b/>
        <sz val="14"/>
        <color indexed="8"/>
        <rFont val="Calibri"/>
        <family val="2"/>
      </rPr>
      <t> </t>
    </r>
  </si>
  <si>
    <t>Prepared By:</t>
  </si>
  <si>
    <t>Department:</t>
  </si>
  <si>
    <t>Date:</t>
  </si>
  <si>
    <t>&lt;Select&gt;</t>
  </si>
  <si>
    <t>mins</t>
  </si>
  <si>
    <t>Product</t>
  </si>
  <si>
    <t>Video</t>
  </si>
  <si>
    <t>Process Name:</t>
  </si>
  <si>
    <t>Process Type:</t>
  </si>
  <si>
    <t>Measurement Method:</t>
  </si>
  <si>
    <t>In person</t>
  </si>
  <si>
    <t>VA</t>
  </si>
  <si>
    <t>secs</t>
  </si>
  <si>
    <t>Transaction</t>
  </si>
  <si>
    <t>Data logger</t>
  </si>
  <si>
    <t>NVA</t>
  </si>
  <si>
    <t>&lt;select&gt;</t>
  </si>
  <si>
    <t>Person</t>
  </si>
  <si>
    <t>Time Unit</t>
  </si>
  <si>
    <t>Process Step/Station</t>
  </si>
  <si>
    <t>Waste/Walk</t>
  </si>
  <si>
    <t>Takt Time</t>
  </si>
  <si>
    <t>Inspect/Test</t>
  </si>
  <si>
    <t>Work Type</t>
  </si>
  <si>
    <t>&lt;fill in&gt;</t>
  </si>
  <si>
    <t>ENVA</t>
  </si>
  <si>
    <t>Total Time</t>
  </si>
  <si>
    <t>Total VA</t>
  </si>
  <si>
    <t>Total NVA</t>
  </si>
  <si>
    <t>Total ENVA</t>
  </si>
  <si>
    <t>Total Waste</t>
  </si>
  <si>
    <t>Mean Cycle Time</t>
  </si>
  <si>
    <t>Baseline</t>
  </si>
  <si>
    <t>Line Balance</t>
  </si>
  <si>
    <t>Cell Re-Design</t>
  </si>
  <si>
    <t>No of Operations</t>
  </si>
  <si>
    <t>Total Cycle Time</t>
  </si>
  <si>
    <t>Average CT Per Operator</t>
  </si>
  <si>
    <t>Waste %</t>
  </si>
  <si>
    <t>Theoretical Output Per Operator</t>
  </si>
  <si>
    <t>Output Per Employee Per Hour</t>
  </si>
  <si>
    <t>AAAAAE7+/qo=</t>
  </si>
  <si>
    <t>AAAAAFz7d1k=</t>
  </si>
  <si>
    <t>AAAAAD/9+SE=</t>
  </si>
  <si>
    <t>Flux des OF</t>
  </si>
  <si>
    <t>Ressuage</t>
  </si>
  <si>
    <t>Préparation pour TS</t>
  </si>
  <si>
    <t>h</t>
  </si>
  <si>
    <t>j</t>
  </si>
  <si>
    <t>k</t>
  </si>
  <si>
    <t>l</t>
  </si>
  <si>
    <t>m</t>
  </si>
  <si>
    <t>Use number of people</t>
  </si>
  <si>
    <t>Yes</t>
  </si>
  <si>
    <t>No</t>
  </si>
  <si>
    <t>Name of task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</si>
</sst>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409]#,##0.00"/>
    <numFmt numFmtId="165" formatCode="m/d/yyyy;@"/>
    <numFmt numFmtId="166" formatCode="0.0"/>
  </numFmts>
  <fonts count="1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2"/>
      <color theme="1"/>
      <name val="Calibri"/>
      <family val="2"/>
      <scheme val="minor"/>
    </font>
    <font>
      <sz val="9"/>
      <color rgb="FF002060"/>
      <name val="Arial"/>
      <family val="2"/>
    </font>
    <font>
      <sz val="12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002060"/>
      <name val="Arial"/>
      <family val="2"/>
    </font>
    <font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E5E29"/>
        <bgColor indexed="64"/>
      </patternFill>
    </fill>
    <fill>
      <patternFill patternType="solid">
        <fgColor rgb="FF345882"/>
        <bgColor indexed="64"/>
      </patternFill>
    </fill>
    <fill>
      <patternFill patternType="solid">
        <fgColor rgb="FF843533"/>
        <bgColor indexed="64"/>
      </patternFill>
    </fill>
    <fill>
      <patternFill patternType="solid">
        <fgColor rgb="FF6A813B"/>
        <bgColor indexed="64"/>
      </patternFill>
    </fill>
    <fill>
      <patternFill patternType="solid">
        <fgColor rgb="FF57436F"/>
        <bgColor indexed="64"/>
      </patternFill>
    </fill>
  </fills>
  <borders count="4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1" tint="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1" tint="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111">
    <xf numFmtId="0" fontId="0" fillId="0" borderId="0" xfId="0"/>
    <xf numFmtId="0" fontId="7" fillId="0" borderId="1" xfId="0" applyFont="1" applyBorder="1" applyAlignment="1">
      <alignment horizontal="right" vertical="center"/>
    </xf>
    <xf numFmtId="0" fontId="6" fillId="0" borderId="0" xfId="1"/>
    <xf numFmtId="0" fontId="5" fillId="0" borderId="0" xfId="2"/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165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164" fontId="7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11" fillId="0" borderId="0" xfId="1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2" fontId="7" fillId="3" borderId="2" xfId="0" applyNumberFormat="1" applyFont="1" applyFill="1" applyBorder="1" applyAlignment="1">
      <alignment horizontal="center" vertical="center" wrapText="1"/>
    </xf>
    <xf numFmtId="2" fontId="1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2" fontId="13" fillId="3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2" fontId="13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2" fontId="7" fillId="3" borderId="6" xfId="0" applyNumberFormat="1" applyFont="1" applyFill="1" applyBorder="1" applyAlignment="1">
      <alignment horizontal="center" vertical="center" wrapText="1"/>
    </xf>
    <xf numFmtId="2" fontId="7" fillId="3" borderId="7" xfId="0" applyNumberFormat="1" applyFont="1" applyFill="1" applyBorder="1" applyAlignment="1">
      <alignment horizontal="center" vertical="center" wrapText="1"/>
    </xf>
    <xf numFmtId="2" fontId="13" fillId="0" borderId="8" xfId="0" applyNumberFormat="1" applyFont="1" applyBorder="1" applyAlignment="1">
      <alignment vertical="center" wrapText="1"/>
    </xf>
    <xf numFmtId="2" fontId="13" fillId="0" borderId="0" xfId="0" applyNumberFormat="1" applyFont="1" applyBorder="1" applyAlignment="1">
      <alignment vertical="center" wrapText="1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164" fontId="7" fillId="2" borderId="2" xfId="0" applyNumberFormat="1" applyFont="1" applyFill="1" applyBorder="1" applyAlignment="1">
      <alignment horizontal="right" vertical="center" wrapText="1"/>
    </xf>
    <xf numFmtId="2" fontId="7" fillId="3" borderId="18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2" fontId="13" fillId="3" borderId="36" xfId="0" applyNumberFormat="1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2" fontId="13" fillId="0" borderId="19" xfId="0" applyNumberFormat="1" applyFont="1" applyBorder="1" applyAlignment="1">
      <alignment horizontal="center" vertical="center" wrapText="1"/>
    </xf>
    <xf numFmtId="2" fontId="13" fillId="0" borderId="20" xfId="0" applyNumberFormat="1" applyFont="1" applyBorder="1" applyAlignment="1">
      <alignment horizontal="center" vertical="center" wrapText="1"/>
    </xf>
    <xf numFmtId="2" fontId="13" fillId="0" borderId="25" xfId="0" applyNumberFormat="1" applyFont="1" applyBorder="1" applyAlignment="1">
      <alignment horizontal="center" vertical="center" wrapText="1"/>
    </xf>
    <xf numFmtId="2" fontId="13" fillId="0" borderId="22" xfId="0" applyNumberFormat="1" applyFont="1" applyBorder="1" applyAlignment="1">
      <alignment horizontal="center" vertical="center" wrapText="1"/>
    </xf>
    <xf numFmtId="2" fontId="13" fillId="0" borderId="23" xfId="0" applyNumberFormat="1" applyFont="1" applyBorder="1" applyAlignment="1">
      <alignment horizontal="center" vertical="center" wrapText="1"/>
    </xf>
    <xf numFmtId="2" fontId="13" fillId="0" borderId="26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7" fillId="3" borderId="2" xfId="0" applyFont="1" applyFill="1" applyBorder="1" applyAlignment="1">
      <alignment horizontal="left" vertical="center"/>
    </xf>
    <xf numFmtId="0" fontId="13" fillId="0" borderId="37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" fontId="13" fillId="0" borderId="21" xfId="0" applyNumberFormat="1" applyFont="1" applyBorder="1" applyAlignment="1">
      <alignment horizontal="center" vertical="center" wrapText="1"/>
    </xf>
    <xf numFmtId="2" fontId="13" fillId="0" borderId="24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165" fontId="7" fillId="3" borderId="2" xfId="0" applyNumberFormat="1" applyFont="1" applyFill="1" applyBorder="1" applyAlignment="1">
      <alignment horizontal="left" vertical="center"/>
    </xf>
    <xf numFmtId="165" fontId="7" fillId="3" borderId="15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" xfId="0" applyNumberFormat="1" applyFont="1" applyFill="1" applyBorder="1" applyAlignment="1">
      <alignment horizontal="left" vertical="center"/>
    </xf>
    <xf numFmtId="164" fontId="7" fillId="2" borderId="2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2" fontId="16" fillId="0" borderId="27" xfId="0" applyNumberFormat="1" applyFont="1" applyBorder="1" applyAlignment="1">
      <alignment horizontal="center" vertical="center"/>
    </xf>
    <xf numFmtId="2" fontId="16" fillId="0" borderId="32" xfId="0" applyNumberFormat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166" fontId="16" fillId="0" borderId="27" xfId="3" applyNumberFormat="1" applyFont="1" applyBorder="1" applyAlignment="1">
      <alignment horizontal="center" vertical="center"/>
    </xf>
    <xf numFmtId="166" fontId="16" fillId="0" borderId="32" xfId="3" applyNumberFormat="1" applyFont="1" applyBorder="1" applyAlignment="1">
      <alignment horizontal="center" vertical="center"/>
    </xf>
    <xf numFmtId="2" fontId="16" fillId="0" borderId="34" xfId="0" applyNumberFormat="1" applyFont="1" applyBorder="1" applyAlignment="1">
      <alignment horizontal="center" vertical="center"/>
    </xf>
    <xf numFmtId="2" fontId="16" fillId="0" borderId="35" xfId="0" applyNumberFormat="1" applyFont="1" applyBorder="1" applyAlignment="1">
      <alignment horizontal="center" vertical="center"/>
    </xf>
    <xf numFmtId="9" fontId="16" fillId="0" borderId="27" xfId="3" applyFont="1" applyBorder="1" applyAlignment="1">
      <alignment horizontal="center" vertical="center"/>
    </xf>
    <xf numFmtId="9" fontId="16" fillId="0" borderId="32" xfId="3" applyFont="1" applyBorder="1" applyAlignment="1">
      <alignment horizontal="center" vertical="center"/>
    </xf>
    <xf numFmtId="1" fontId="16" fillId="5" borderId="27" xfId="3" applyNumberFormat="1" applyFont="1" applyFill="1" applyBorder="1" applyAlignment="1">
      <alignment horizontal="center" vertical="center"/>
    </xf>
    <xf numFmtId="1" fontId="16" fillId="5" borderId="32" xfId="3" applyNumberFormat="1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 2" xfId="2"/>
    <cellStyle name="Pourcentage" xfId="3" builtinId="5"/>
  </cellStyles>
  <dxfs count="31">
    <dxf>
      <font>
        <color rgb="FF92D050"/>
      </font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  <name val="Cambria"/>
        <scheme val="none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  <name val="Cambria"/>
        <scheme val="none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  <name val="Cambria"/>
        <scheme val="none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FF99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Yamazumi Chart</a:t>
            </a:r>
          </a:p>
        </c:rich>
      </c:tx>
      <c:layout>
        <c:manualLayout>
          <c:xMode val="edge"/>
          <c:yMode val="edge"/>
          <c:x val="4.2075190862922239E-2"/>
          <c:y val="3.230017528085805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1.4856031433616133E-2"/>
          <c:y val="7.860615604867574E-2"/>
          <c:w val="0.96125341445039925"/>
          <c:h val="0.8280082463740491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'Yamazumi Data'!$C$10</c:f>
              <c:strCache>
                <c:ptCount val="1"/>
                <c:pt idx="0">
                  <c:v>VA - 1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9E5E29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2A3-41B1-93FA-2B7C0752F8E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A3-41B1-93FA-2B7C0752F8EE}"/>
              </c:ext>
            </c:extLst>
          </c:dPt>
          <c:dPt>
            <c:idx val="2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2A3-41B1-93FA-2B7C0752F8E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2A3-41B1-93FA-2B7C0752F8EE}"/>
              </c:ext>
            </c:extLst>
          </c:dPt>
          <c:dPt>
            <c:idx val="4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2A3-41B1-93FA-2B7C0752F8E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2A3-41B1-93FA-2B7C0752F8EE}"/>
              </c:ext>
            </c:extLst>
          </c:dPt>
          <c:dPt>
            <c:idx val="6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62A3-41B1-93FA-2B7C0752F8E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2A3-41B1-93FA-2B7C0752F8EE}"/>
              </c:ext>
            </c:extLst>
          </c:dPt>
          <c:dPt>
            <c:idx val="8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62A3-41B1-93FA-2B7C0752F8E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2A3-41B1-93FA-2B7C0752F8EE}"/>
              </c:ext>
            </c:extLst>
          </c:dPt>
          <c:dPt>
            <c:idx val="10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62A3-41B1-93FA-2B7C0752F8E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2A3-41B1-93FA-2B7C0752F8EE}"/>
              </c:ext>
            </c:extLst>
          </c:dPt>
          <c:dPt>
            <c:idx val="12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62A3-41B1-93FA-2B7C0752F8E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62A3-41B1-93FA-2B7C0752F8EE}"/>
              </c:ext>
            </c:extLst>
          </c:dPt>
          <c:dPt>
            <c:idx val="14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62A3-41B1-93FA-2B7C0752F8E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2A3-41B1-93FA-2B7C0752F8EE}"/>
              </c:ext>
            </c:extLst>
          </c:dPt>
          <c:dPt>
            <c:idx val="16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62A3-41B1-93FA-2B7C0752F8E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62A3-41B1-93FA-2B7C0752F8EE}"/>
              </c:ext>
            </c:extLst>
          </c:dPt>
          <c:dPt>
            <c:idx val="18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2A3-41B1-93FA-2B7C0752F8E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62A3-41B1-93FA-2B7C0752F8EE}"/>
              </c:ext>
            </c:extLst>
          </c:dPt>
          <c:dPt>
            <c:idx val="20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62A3-41B1-93FA-2B7C0752F8EE}"/>
              </c:ext>
            </c:extLst>
          </c:dPt>
          <c:dPt>
            <c:idx val="21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62A3-41B1-93FA-2B7C0752F8EE}"/>
              </c:ext>
            </c:extLst>
          </c:dPt>
          <c:dPt>
            <c:idx val="22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62A3-41B1-93FA-2B7C0752F8EE}"/>
              </c:ext>
            </c:extLst>
          </c:dPt>
          <c:dPt>
            <c:idx val="23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62A3-41B1-93FA-2B7C0752F8EE}"/>
              </c:ext>
            </c:extLst>
          </c:dPt>
          <c:dPt>
            <c:idx val="24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62A3-41B1-93FA-2B7C0752F8EE}"/>
              </c:ext>
            </c:extLst>
          </c:dPt>
          <c:dPt>
            <c:idx val="25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62A3-41B1-93FA-2B7C0752F8EE}"/>
              </c:ext>
            </c:extLst>
          </c:dPt>
          <c:dPt>
            <c:idx val="26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62A3-41B1-93FA-2B7C0752F8EE}"/>
              </c:ext>
            </c:extLst>
          </c:dPt>
          <c:dPt>
            <c:idx val="27"/>
            <c:invertIfNegative val="0"/>
            <c:bubble3D val="0"/>
            <c:spPr>
              <a:solidFill>
                <a:srgbClr val="FFFFCC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62A3-41B1-93FA-2B7C0752F8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Data'!$F$10:$AI$10</c:f>
              <c:numCache>
                <c:formatCode>0.00</c:formatCode>
                <c:ptCount val="30"/>
                <c:pt idx="0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Data'!$D$10:$AI$10</c15:sqref>
                  </c15:fullRef>
                </c:ext>
              </c:extLst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categoryFilterExceptions>
                <c15:categoryFilterException>
                  <c15:sqref>'Yamazumi Data'!$E$10</c15:sqref>
                  <c15:spPr xmlns:c15="http://schemas.microsoft.com/office/drawing/2012/chart">
                    <a:solidFill>
                      <a:srgbClr val="FFFFCC"/>
                    </a:solidFill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E-62A3-41B1-93FA-2B7C0752F8EE}"/>
            </c:ext>
          </c:extLst>
        </c:ser>
        <c:ser>
          <c:idx val="1"/>
          <c:order val="1"/>
          <c:tx>
            <c:strRef>
              <c:f>'Yamazumi Data'!$C$11</c:f>
              <c:strCache>
                <c:ptCount val="1"/>
                <c:pt idx="0">
                  <c:v>NVA - 2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Data'!$F$11:$AI$11</c:f>
              <c:numCache>
                <c:formatCode>0.00</c:formatCode>
                <c:ptCount val="30"/>
                <c:pt idx="0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Data'!$D$11:$AI$11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F-62A3-41B1-93FA-2B7C0752F8EE}"/>
            </c:ext>
          </c:extLst>
        </c:ser>
        <c:ser>
          <c:idx val="2"/>
          <c:order val="2"/>
          <c:tx>
            <c:strRef>
              <c:f>'Yamazumi Data'!$C$12</c:f>
              <c:strCache>
                <c:ptCount val="1"/>
                <c:pt idx="0">
                  <c:v>Waste/Walk - 3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Data'!$F$12:$AI$12</c:f>
              <c:numCache>
                <c:formatCode>0.00</c:formatCode>
                <c:ptCount val="30"/>
                <c:pt idx="0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Data'!$D$12:$AI$12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0-62A3-41B1-93FA-2B7C0752F8EE}"/>
            </c:ext>
          </c:extLst>
        </c:ser>
        <c:ser>
          <c:idx val="3"/>
          <c:order val="3"/>
          <c:tx>
            <c:strRef>
              <c:f>'Yamazumi Data'!$C$13</c:f>
              <c:strCache>
                <c:ptCount val="1"/>
                <c:pt idx="0">
                  <c:v>Inspect/Test - 4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Data'!$F$13:$AI$13</c:f>
              <c:numCache>
                <c:formatCode>0.00</c:formatCode>
                <c:ptCount val="30"/>
                <c:pt idx="0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Data'!$D$13:$AI$13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1-62A3-41B1-93FA-2B7C0752F8EE}"/>
            </c:ext>
          </c:extLst>
        </c:ser>
        <c:ser>
          <c:idx val="4"/>
          <c:order val="4"/>
          <c:tx>
            <c:strRef>
              <c:f>'Yamazumi Data'!$C$14</c:f>
              <c:strCache>
                <c:ptCount val="1"/>
                <c:pt idx="0">
                  <c:v>ENVA - 5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Data'!$F$14:$AI$14</c:f>
              <c:numCache>
                <c:formatCode>0.00</c:formatCode>
                <c:ptCount val="30"/>
                <c:pt idx="0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Data'!$D$14:$AI$14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62A3-41B1-93FA-2B7C0752F8EE}"/>
            </c:ext>
          </c:extLst>
        </c:ser>
        <c:ser>
          <c:idx val="5"/>
          <c:order val="5"/>
          <c:tx>
            <c:strRef>
              <c:f>'Yamazumi Data'!$C$15</c:f>
              <c:strCache>
                <c:ptCount val="1"/>
                <c:pt idx="0">
                  <c:v>VA - 6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Data'!$F$15:$AI$15</c:f>
              <c:numCache>
                <c:formatCode>0.00</c:formatCode>
                <c:ptCount val="30"/>
                <c:pt idx="1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Data'!$D$15:$AI$15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62A3-41B1-93FA-2B7C0752F8EE}"/>
            </c:ext>
          </c:extLst>
        </c:ser>
        <c:ser>
          <c:idx val="6"/>
          <c:order val="6"/>
          <c:tx>
            <c:strRef>
              <c:f>'Yamazumi Data'!$C$16</c:f>
              <c:strCache>
                <c:ptCount val="1"/>
                <c:pt idx="0">
                  <c:v>NVA - 7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Data'!$F$16:$AI$16</c:f>
              <c:numCache>
                <c:formatCode>0.00</c:formatCode>
                <c:ptCount val="30"/>
                <c:pt idx="1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Data'!$D$16:$AI$16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4-62A3-41B1-93FA-2B7C0752F8EE}"/>
            </c:ext>
          </c:extLst>
        </c:ser>
        <c:ser>
          <c:idx val="7"/>
          <c:order val="7"/>
          <c:tx>
            <c:strRef>
              <c:f>'Yamazumi Data'!$C$17</c:f>
              <c:strCache>
                <c:ptCount val="1"/>
                <c:pt idx="0">
                  <c:v>Waste/Walk - 8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Data'!$F$17:$AI$17</c:f>
              <c:numCache>
                <c:formatCode>0.00</c:formatCode>
                <c:ptCount val="30"/>
                <c:pt idx="1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Data'!$D$17:$AI$17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5-62A3-41B1-93FA-2B7C0752F8EE}"/>
            </c:ext>
          </c:extLst>
        </c:ser>
        <c:ser>
          <c:idx val="8"/>
          <c:order val="8"/>
          <c:tx>
            <c:strRef>
              <c:f>'Yamazumi Data'!$C$18</c:f>
              <c:strCache>
                <c:ptCount val="1"/>
                <c:pt idx="0">
                  <c:v>Inspect/Test - 9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Data'!$F$18:$AI$18</c:f>
              <c:numCache>
                <c:formatCode>0.00</c:formatCode>
                <c:ptCount val="30"/>
                <c:pt idx="1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Data'!$D$18:$AI$18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6-62A3-41B1-93FA-2B7C0752F8EE}"/>
            </c:ext>
          </c:extLst>
        </c:ser>
        <c:ser>
          <c:idx val="9"/>
          <c:order val="9"/>
          <c:tx>
            <c:strRef>
              <c:f>'Yamazumi Data'!$C$19</c:f>
              <c:strCache>
                <c:ptCount val="1"/>
                <c:pt idx="0">
                  <c:v>ENVA - 10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Data'!$F$19:$AI$19</c:f>
              <c:numCache>
                <c:formatCode>0.00</c:formatCode>
                <c:ptCount val="30"/>
                <c:pt idx="1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Data'!$D$19:$AI$19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7-62A3-41B1-93FA-2B7C0752F8EE}"/>
            </c:ext>
          </c:extLst>
        </c:ser>
        <c:ser>
          <c:idx val="10"/>
          <c:order val="10"/>
          <c:tx>
            <c:strRef>
              <c:f>'Yamazumi Data'!$C$20</c:f>
              <c:strCache>
                <c:ptCount val="1"/>
                <c:pt idx="0">
                  <c:v>VA - 11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Data'!$F$20:$AI$20</c:f>
              <c:numCache>
                <c:formatCode>0.00</c:formatCode>
                <c:ptCount val="30"/>
                <c:pt idx="2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Data'!$D$20:$AI$20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8-62A3-41B1-93FA-2B7C0752F8EE}"/>
            </c:ext>
          </c:extLst>
        </c:ser>
        <c:ser>
          <c:idx val="11"/>
          <c:order val="11"/>
          <c:tx>
            <c:strRef>
              <c:f>'Yamazumi Data'!$C$21</c:f>
              <c:strCache>
                <c:ptCount val="1"/>
                <c:pt idx="0">
                  <c:v>NVA - 12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Data'!$F$21:$AI$21</c:f>
              <c:numCache>
                <c:formatCode>0.00</c:formatCode>
                <c:ptCount val="30"/>
                <c:pt idx="2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Data'!$D$21:$AI$21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9-62A3-41B1-93FA-2B7C0752F8EE}"/>
            </c:ext>
          </c:extLst>
        </c:ser>
        <c:ser>
          <c:idx val="12"/>
          <c:order val="12"/>
          <c:tx>
            <c:strRef>
              <c:f>'Yamazumi Data'!$C$22</c:f>
              <c:strCache>
                <c:ptCount val="1"/>
                <c:pt idx="0">
                  <c:v>Waste/Walk - 13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Data'!$F$22:$AI$22</c:f>
              <c:numCache>
                <c:formatCode>0.00</c:formatCode>
                <c:ptCount val="30"/>
                <c:pt idx="2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Data'!$D$22:$AI$22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A-62A3-41B1-93FA-2B7C0752F8EE}"/>
            </c:ext>
          </c:extLst>
        </c:ser>
        <c:ser>
          <c:idx val="13"/>
          <c:order val="13"/>
          <c:tx>
            <c:strRef>
              <c:f>'Yamazumi Data'!$C$23</c:f>
              <c:strCache>
                <c:ptCount val="1"/>
                <c:pt idx="0">
                  <c:v>Inspect/Test - 14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Data'!$F$23:$AI$23</c:f>
              <c:numCache>
                <c:formatCode>0.00</c:formatCode>
                <c:ptCount val="30"/>
                <c:pt idx="2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Data'!$D$23:$AI$23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B-62A3-41B1-93FA-2B7C0752F8EE}"/>
            </c:ext>
          </c:extLst>
        </c:ser>
        <c:ser>
          <c:idx val="14"/>
          <c:order val="14"/>
          <c:tx>
            <c:strRef>
              <c:f>'Yamazumi Data'!$C$24</c:f>
              <c:strCache>
                <c:ptCount val="1"/>
                <c:pt idx="0">
                  <c:v>ENVA - 15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Data'!$F$24:$AI$24</c:f>
              <c:numCache>
                <c:formatCode>0.00</c:formatCode>
                <c:ptCount val="30"/>
                <c:pt idx="2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Data'!$D$24:$AI$24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C-62A3-41B1-93FA-2B7C0752F8EE}"/>
            </c:ext>
          </c:extLst>
        </c:ser>
        <c:ser>
          <c:idx val="15"/>
          <c:order val="15"/>
          <c:tx>
            <c:strRef>
              <c:f>'Yamazumi Data'!$C$25</c:f>
              <c:strCache>
                <c:ptCount val="1"/>
                <c:pt idx="0">
                  <c:v>VA - 16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Data'!$F$25:$AI$25</c:f>
              <c:numCache>
                <c:formatCode>0.00</c:formatCode>
                <c:ptCount val="30"/>
                <c:pt idx="3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Data'!$D$25:$AI$25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D-62A3-41B1-93FA-2B7C0752F8EE}"/>
            </c:ext>
          </c:extLst>
        </c:ser>
        <c:ser>
          <c:idx val="16"/>
          <c:order val="16"/>
          <c:tx>
            <c:strRef>
              <c:f>'Yamazumi Data'!$C$26</c:f>
              <c:strCache>
                <c:ptCount val="1"/>
                <c:pt idx="0">
                  <c:v>NVA - 17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Data'!$F$26:$AI$26</c:f>
              <c:numCache>
                <c:formatCode>0.00</c:formatCode>
                <c:ptCount val="30"/>
                <c:pt idx="3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Data'!$D$26:$AI$26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E-62A3-41B1-93FA-2B7C0752F8EE}"/>
            </c:ext>
          </c:extLst>
        </c:ser>
        <c:ser>
          <c:idx val="17"/>
          <c:order val="17"/>
          <c:tx>
            <c:strRef>
              <c:f>'Yamazumi Data'!$C$27</c:f>
              <c:strCache>
                <c:ptCount val="1"/>
                <c:pt idx="0">
                  <c:v>Waste/Walk - 18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Data'!$F$27:$AI$27</c:f>
              <c:numCache>
                <c:formatCode>0.00</c:formatCode>
                <c:ptCount val="30"/>
                <c:pt idx="3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Data'!$D$27:$AI$27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F-62A3-41B1-93FA-2B7C0752F8EE}"/>
            </c:ext>
          </c:extLst>
        </c:ser>
        <c:ser>
          <c:idx val="18"/>
          <c:order val="18"/>
          <c:tx>
            <c:strRef>
              <c:f>'Yamazumi Data'!$C$28</c:f>
              <c:strCache>
                <c:ptCount val="1"/>
                <c:pt idx="0">
                  <c:v>Inspect/Test - 19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Data'!$F$28:$AI$28</c:f>
              <c:numCache>
                <c:formatCode>0.00</c:formatCode>
                <c:ptCount val="30"/>
                <c:pt idx="3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Data'!$D$28:$AI$28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0-62A3-41B1-93FA-2B7C0752F8EE}"/>
            </c:ext>
          </c:extLst>
        </c:ser>
        <c:ser>
          <c:idx val="19"/>
          <c:order val="19"/>
          <c:tx>
            <c:strRef>
              <c:f>'Yamazumi Data'!$C$29</c:f>
              <c:strCache>
                <c:ptCount val="1"/>
                <c:pt idx="0">
                  <c:v>ENVA - 20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Data'!$F$29:$AI$29</c:f>
              <c:numCache>
                <c:formatCode>0.00</c:formatCode>
                <c:ptCount val="30"/>
                <c:pt idx="3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Data'!$D$29:$AI$29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1-62A3-41B1-93FA-2B7C0752F8EE}"/>
            </c:ext>
          </c:extLst>
        </c:ser>
        <c:ser>
          <c:idx val="20"/>
          <c:order val="20"/>
          <c:tx>
            <c:strRef>
              <c:f>'Yamazumi Data'!$C$30</c:f>
              <c:strCache>
                <c:ptCount val="1"/>
                <c:pt idx="0">
                  <c:v>VA - 21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Data'!$F$30:$AI$30</c:f>
              <c:numCache>
                <c:formatCode>0.00</c:formatCode>
                <c:ptCount val="30"/>
                <c:pt idx="4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Data'!$D$30:$AI$30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2-62A3-41B1-93FA-2B7C0752F8EE}"/>
            </c:ext>
          </c:extLst>
        </c:ser>
        <c:ser>
          <c:idx val="21"/>
          <c:order val="21"/>
          <c:tx>
            <c:strRef>
              <c:f>'Yamazumi Data'!$C$31</c:f>
              <c:strCache>
                <c:ptCount val="1"/>
                <c:pt idx="0">
                  <c:v>NVA - 22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Data'!$F$31:$AI$31</c:f>
              <c:numCache>
                <c:formatCode>0.00</c:formatCode>
                <c:ptCount val="30"/>
                <c:pt idx="4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Data'!$D$31:$AI$31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3-62A3-41B1-93FA-2B7C0752F8EE}"/>
            </c:ext>
          </c:extLst>
        </c:ser>
        <c:ser>
          <c:idx val="22"/>
          <c:order val="22"/>
          <c:tx>
            <c:strRef>
              <c:f>'Yamazumi Data'!$C$32</c:f>
              <c:strCache>
                <c:ptCount val="1"/>
                <c:pt idx="0">
                  <c:v>Waste/Walk - 23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Data'!$F$32:$AI$32</c:f>
              <c:numCache>
                <c:formatCode>0.00</c:formatCode>
                <c:ptCount val="30"/>
                <c:pt idx="4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Data'!$D$32:$AI$32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4-62A3-41B1-93FA-2B7C0752F8EE}"/>
            </c:ext>
          </c:extLst>
        </c:ser>
        <c:ser>
          <c:idx val="23"/>
          <c:order val="23"/>
          <c:tx>
            <c:strRef>
              <c:f>'Yamazumi Data'!$C$33</c:f>
              <c:strCache>
                <c:ptCount val="1"/>
                <c:pt idx="0">
                  <c:v>Inspect/Test - 24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Data'!$F$33:$AI$33</c:f>
              <c:numCache>
                <c:formatCode>0.00</c:formatCode>
                <c:ptCount val="30"/>
                <c:pt idx="4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Data'!$D$33:$AI$33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5-62A3-41B1-93FA-2B7C0752F8EE}"/>
            </c:ext>
          </c:extLst>
        </c:ser>
        <c:ser>
          <c:idx val="24"/>
          <c:order val="24"/>
          <c:tx>
            <c:strRef>
              <c:f>'Yamazumi Data'!$C$34</c:f>
              <c:strCache>
                <c:ptCount val="1"/>
                <c:pt idx="0">
                  <c:v>ENVA - 25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Data'!$F$34:$AI$34</c:f>
              <c:numCache>
                <c:formatCode>0.00</c:formatCode>
                <c:ptCount val="30"/>
                <c:pt idx="4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Data'!$D$34:$AI$34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6-62A3-41B1-93FA-2B7C0752F8EE}"/>
            </c:ext>
          </c:extLst>
        </c:ser>
        <c:ser>
          <c:idx val="25"/>
          <c:order val="25"/>
          <c:tx>
            <c:strRef>
              <c:f>'Yamazumi Data'!$C$35</c:f>
              <c:strCache>
                <c:ptCount val="1"/>
                <c:pt idx="0">
                  <c:v>VA - 26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Data'!$F$35:$AI$35</c:f>
              <c:numCache>
                <c:formatCode>0.00</c:formatCode>
                <c:ptCount val="30"/>
                <c:pt idx="5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Data'!$D$35:$AI$35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7-62A3-41B1-93FA-2B7C0752F8EE}"/>
            </c:ext>
          </c:extLst>
        </c:ser>
        <c:ser>
          <c:idx val="26"/>
          <c:order val="26"/>
          <c:tx>
            <c:strRef>
              <c:f>'Yamazumi Data'!$C$36</c:f>
              <c:strCache>
                <c:ptCount val="1"/>
                <c:pt idx="0">
                  <c:v>NVA - 27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Data'!$F$36:$AI$36</c:f>
              <c:numCache>
                <c:formatCode>0.00</c:formatCode>
                <c:ptCount val="30"/>
                <c:pt idx="5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Data'!$D$36:$AI$36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62A3-41B1-93FA-2B7C0752F8EE}"/>
            </c:ext>
          </c:extLst>
        </c:ser>
        <c:ser>
          <c:idx val="27"/>
          <c:order val="27"/>
          <c:tx>
            <c:strRef>
              <c:f>'Yamazumi Data'!$C$37</c:f>
              <c:strCache>
                <c:ptCount val="1"/>
                <c:pt idx="0">
                  <c:v>Waste/Walk - 28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Data'!$F$37:$AI$37</c:f>
              <c:numCache>
                <c:formatCode>0.00</c:formatCode>
                <c:ptCount val="30"/>
                <c:pt idx="5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Data'!$D$37:$AI$37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9-62A3-41B1-93FA-2B7C0752F8EE}"/>
            </c:ext>
          </c:extLst>
        </c:ser>
        <c:ser>
          <c:idx val="28"/>
          <c:order val="28"/>
          <c:tx>
            <c:strRef>
              <c:f>'Yamazumi Data'!$C$38</c:f>
              <c:strCache>
                <c:ptCount val="1"/>
                <c:pt idx="0">
                  <c:v>Inspect/Test - 29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Data'!$F$38:$AI$38</c:f>
              <c:numCache>
                <c:formatCode>0.00</c:formatCode>
                <c:ptCount val="30"/>
                <c:pt idx="5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Data'!$D$38:$AI$38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A-62A3-41B1-93FA-2B7C0752F8EE}"/>
            </c:ext>
          </c:extLst>
        </c:ser>
        <c:ser>
          <c:idx val="29"/>
          <c:order val="29"/>
          <c:tx>
            <c:strRef>
              <c:f>'Yamazumi Data'!$C$39</c:f>
              <c:strCache>
                <c:ptCount val="1"/>
                <c:pt idx="0">
                  <c:v>ENVA - 30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Data'!$F$39:$AI$39</c:f>
              <c:numCache>
                <c:formatCode>0.00</c:formatCode>
                <c:ptCount val="30"/>
                <c:pt idx="5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Data'!$D$39:$AI$39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B-62A3-41B1-93FA-2B7C0752F8EE}"/>
            </c:ext>
          </c:extLst>
        </c:ser>
        <c:ser>
          <c:idx val="30"/>
          <c:order val="30"/>
          <c:tx>
            <c:strRef>
              <c:f>'Yamazumi Data'!$C$40</c:f>
              <c:strCache>
                <c:ptCount val="1"/>
                <c:pt idx="0">
                  <c:v>VA - 31</c:v>
                </c:pt>
              </c:strCache>
            </c:strRef>
          </c:tx>
          <c:invertIfNegative val="0"/>
          <c:dPt>
            <c:idx val="6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Data'!$F$40:$AI$40</c:f>
              <c:numCache>
                <c:formatCode>0.00</c:formatCode>
                <c:ptCount val="30"/>
                <c:pt idx="6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Data'!$D$40:$AI$40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C-62A3-41B1-93FA-2B7C0752F8EE}"/>
            </c:ext>
          </c:extLst>
        </c:ser>
        <c:ser>
          <c:idx val="31"/>
          <c:order val="31"/>
          <c:tx>
            <c:strRef>
              <c:f>'Yamazumi Data'!$C$41</c:f>
              <c:strCache>
                <c:ptCount val="1"/>
                <c:pt idx="0">
                  <c:v>NVA - 32</c:v>
                </c:pt>
              </c:strCache>
            </c:strRef>
          </c:tx>
          <c:invertIfNegative val="0"/>
          <c:dPt>
            <c:idx val="6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Data'!$F$41:$AI$41</c:f>
              <c:numCache>
                <c:formatCode>0.00</c:formatCode>
                <c:ptCount val="30"/>
                <c:pt idx="6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Data'!$D$41:$AI$41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D-62A3-41B1-93FA-2B7C0752F8EE}"/>
            </c:ext>
          </c:extLst>
        </c:ser>
        <c:ser>
          <c:idx val="32"/>
          <c:order val="32"/>
          <c:tx>
            <c:strRef>
              <c:f>'Yamazumi Data'!$C$42</c:f>
              <c:strCache>
                <c:ptCount val="1"/>
                <c:pt idx="0">
                  <c:v>Waste/Walk - 33</c:v>
                </c:pt>
              </c:strCache>
            </c:strRef>
          </c:tx>
          <c:invertIfNegative val="0"/>
          <c:dPt>
            <c:idx val="6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Data'!$F$42:$AI$42</c:f>
              <c:numCache>
                <c:formatCode>0.00</c:formatCode>
                <c:ptCount val="30"/>
                <c:pt idx="6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Data'!$D$42:$AI$42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E-62A3-41B1-93FA-2B7C0752F8EE}"/>
            </c:ext>
          </c:extLst>
        </c:ser>
        <c:ser>
          <c:idx val="33"/>
          <c:order val="33"/>
          <c:tx>
            <c:strRef>
              <c:f>'Yamazumi Data'!$C$43</c:f>
              <c:strCache>
                <c:ptCount val="1"/>
                <c:pt idx="0">
                  <c:v>Inspect/Test - 34</c:v>
                </c:pt>
              </c:strCache>
            </c:strRef>
          </c:tx>
          <c:invertIfNegative val="0"/>
          <c:dPt>
            <c:idx val="6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Data'!$F$43:$AI$43</c:f>
              <c:numCache>
                <c:formatCode>0.00</c:formatCode>
                <c:ptCount val="30"/>
                <c:pt idx="6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Data'!$D$43:$AI$43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F-62A3-41B1-93FA-2B7C0752F8EE}"/>
            </c:ext>
          </c:extLst>
        </c:ser>
        <c:ser>
          <c:idx val="34"/>
          <c:order val="34"/>
          <c:tx>
            <c:strRef>
              <c:f>'Yamazumi Data'!$C$44</c:f>
              <c:strCache>
                <c:ptCount val="1"/>
                <c:pt idx="0">
                  <c:v>ENVA - 35</c:v>
                </c:pt>
              </c:strCache>
            </c:strRef>
          </c:tx>
          <c:invertIfNegative val="0"/>
          <c:dPt>
            <c:idx val="6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Data'!$F$44:$AI$44</c:f>
              <c:numCache>
                <c:formatCode>0.00</c:formatCode>
                <c:ptCount val="30"/>
                <c:pt idx="6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Data'!$D$44:$AI$44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0-62A3-41B1-93FA-2B7C0752F8EE}"/>
            </c:ext>
          </c:extLst>
        </c:ser>
        <c:ser>
          <c:idx val="35"/>
          <c:order val="35"/>
          <c:tx>
            <c:strRef>
              <c:f>'Yamazumi Data'!$C$45</c:f>
              <c:strCache>
                <c:ptCount val="1"/>
                <c:pt idx="0">
                  <c:v>VA - 36</c:v>
                </c:pt>
              </c:strCache>
            </c:strRef>
          </c:tx>
          <c:invertIfNegative val="0"/>
          <c:dPt>
            <c:idx val="7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Data'!$F$45:$AI$45</c:f>
              <c:numCache>
                <c:formatCode>0.00</c:formatCode>
                <c:ptCount val="30"/>
                <c:pt idx="7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Data'!$D$45:$AI$45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1-62A3-41B1-93FA-2B7C0752F8EE}"/>
            </c:ext>
          </c:extLst>
        </c:ser>
        <c:ser>
          <c:idx val="36"/>
          <c:order val="36"/>
          <c:tx>
            <c:strRef>
              <c:f>'Yamazumi Data'!$C$46</c:f>
              <c:strCache>
                <c:ptCount val="1"/>
                <c:pt idx="0">
                  <c:v>ENVA - 37</c:v>
                </c:pt>
              </c:strCache>
            </c:strRef>
          </c:tx>
          <c:invertIfNegative val="0"/>
          <c:dPt>
            <c:idx val="7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Data'!$F$46:$AI$46</c:f>
              <c:numCache>
                <c:formatCode>0.00</c:formatCode>
                <c:ptCount val="30"/>
                <c:pt idx="7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Data'!$D$46:$AI$46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2-62A3-41B1-93FA-2B7C0752F8EE}"/>
            </c:ext>
          </c:extLst>
        </c:ser>
        <c:ser>
          <c:idx val="37"/>
          <c:order val="37"/>
          <c:tx>
            <c:strRef>
              <c:f>'Yamazumi Data'!$C$47</c:f>
              <c:strCache>
                <c:ptCount val="1"/>
                <c:pt idx="0">
                  <c:v>VA - 38</c:v>
                </c:pt>
              </c:strCache>
            </c:strRef>
          </c:tx>
          <c:invertIfNegative val="0"/>
          <c:dPt>
            <c:idx val="7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Data'!$F$47:$AI$47</c:f>
              <c:numCache>
                <c:formatCode>0.00</c:formatCode>
                <c:ptCount val="30"/>
                <c:pt idx="7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Data'!$D$47:$AI$47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3-62A3-41B1-93FA-2B7C0752F8EE}"/>
            </c:ext>
          </c:extLst>
        </c:ser>
        <c:ser>
          <c:idx val="38"/>
          <c:order val="38"/>
          <c:tx>
            <c:strRef>
              <c:f>'Yamazumi Data'!$C$48</c:f>
              <c:strCache>
                <c:ptCount val="1"/>
                <c:pt idx="0">
                  <c:v>NVA - 39</c:v>
                </c:pt>
              </c:strCache>
            </c:strRef>
          </c:tx>
          <c:invertIfNegative val="0"/>
          <c:dPt>
            <c:idx val="7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Data'!$F$48:$AI$48</c:f>
              <c:numCache>
                <c:formatCode>0.00</c:formatCode>
                <c:ptCount val="30"/>
                <c:pt idx="7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Data'!$D$48:$AI$48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4-62A3-41B1-93FA-2B7C0752F8EE}"/>
            </c:ext>
          </c:extLst>
        </c:ser>
        <c:ser>
          <c:idx val="39"/>
          <c:order val="39"/>
          <c:tx>
            <c:strRef>
              <c:f>'Yamazumi Data'!$C$49</c:f>
              <c:strCache>
                <c:ptCount val="1"/>
                <c:pt idx="0">
                  <c:v>Waste/Walk - 40</c:v>
                </c:pt>
              </c:strCache>
            </c:strRef>
          </c:tx>
          <c:invertIfNegative val="0"/>
          <c:dPt>
            <c:idx val="7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Data'!$F$49:$AI$49</c:f>
              <c:numCache>
                <c:formatCode>0.00</c:formatCode>
                <c:ptCount val="30"/>
                <c:pt idx="7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Data'!$D$49:$AI$49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5-62A3-41B1-93FA-2B7C0752F8EE}"/>
            </c:ext>
          </c:extLst>
        </c:ser>
        <c:ser>
          <c:idx val="40"/>
          <c:order val="40"/>
          <c:tx>
            <c:strRef>
              <c:f>'Yamazumi Data'!$C$50</c:f>
              <c:strCache>
                <c:ptCount val="1"/>
                <c:pt idx="0">
                  <c:v>Inspect/Test - 41</c:v>
                </c:pt>
              </c:strCache>
            </c:strRef>
          </c:tx>
          <c:invertIfNegative val="0"/>
          <c:dPt>
            <c:idx val="8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Data'!$F$50:$AI$50</c:f>
              <c:numCache>
                <c:formatCode>0.00</c:formatCode>
                <c:ptCount val="30"/>
                <c:pt idx="8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Data'!$D$50:$AI$50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6-62A3-41B1-93FA-2B7C0752F8EE}"/>
            </c:ext>
          </c:extLst>
        </c:ser>
        <c:ser>
          <c:idx val="41"/>
          <c:order val="41"/>
          <c:tx>
            <c:strRef>
              <c:f>'Yamazumi Data'!$C$51</c:f>
              <c:strCache>
                <c:ptCount val="1"/>
                <c:pt idx="0">
                  <c:v>VA - 42</c:v>
                </c:pt>
              </c:strCache>
            </c:strRef>
          </c:tx>
          <c:invertIfNegative val="0"/>
          <c:dPt>
            <c:idx val="8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Data'!$F$51:$AI$51</c:f>
              <c:numCache>
                <c:formatCode>0.00</c:formatCode>
                <c:ptCount val="30"/>
                <c:pt idx="8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Data'!$D$51:$AI$51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7-62A3-41B1-93FA-2B7C0752F8EE}"/>
            </c:ext>
          </c:extLst>
        </c:ser>
        <c:ser>
          <c:idx val="42"/>
          <c:order val="42"/>
          <c:tx>
            <c:strRef>
              <c:f>'Yamazumi Data'!$C$52</c:f>
              <c:strCache>
                <c:ptCount val="1"/>
                <c:pt idx="0">
                  <c:v>NVA - 43</c:v>
                </c:pt>
              </c:strCache>
            </c:strRef>
          </c:tx>
          <c:invertIfNegative val="0"/>
          <c:dPt>
            <c:idx val="8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Data'!$F$52:$AI$52</c:f>
              <c:numCache>
                <c:formatCode>0.00</c:formatCode>
                <c:ptCount val="30"/>
                <c:pt idx="8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Data'!$D$52:$AI$52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8-62A3-41B1-93FA-2B7C0752F8EE}"/>
            </c:ext>
          </c:extLst>
        </c:ser>
        <c:ser>
          <c:idx val="43"/>
          <c:order val="43"/>
          <c:tx>
            <c:strRef>
              <c:f>'Yamazumi Data'!$C$53</c:f>
              <c:strCache>
                <c:ptCount val="1"/>
                <c:pt idx="0">
                  <c:v>Waste/Walk - 44</c:v>
                </c:pt>
              </c:strCache>
            </c:strRef>
          </c:tx>
          <c:invertIfNegative val="0"/>
          <c:dPt>
            <c:idx val="8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Data'!$F$53:$AI$53</c:f>
              <c:numCache>
                <c:formatCode>0.00</c:formatCode>
                <c:ptCount val="30"/>
                <c:pt idx="8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Data'!$D$53:$AI$53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9-62A3-41B1-93FA-2B7C0752F8EE}"/>
            </c:ext>
          </c:extLst>
        </c:ser>
        <c:ser>
          <c:idx val="44"/>
          <c:order val="44"/>
          <c:tx>
            <c:strRef>
              <c:f>'Yamazumi Data'!$C$54</c:f>
              <c:strCache>
                <c:ptCount val="1"/>
                <c:pt idx="0">
                  <c:v>Inspect/Test - 45</c:v>
                </c:pt>
              </c:strCache>
            </c:strRef>
          </c:tx>
          <c:invertIfNegative val="0"/>
          <c:dPt>
            <c:idx val="8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Data'!$F$54:$AI$54</c:f>
              <c:numCache>
                <c:formatCode>0.00</c:formatCode>
                <c:ptCount val="30"/>
                <c:pt idx="8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Data'!$D$54:$AI$54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A-62A3-41B1-93FA-2B7C0752F8EE}"/>
            </c:ext>
          </c:extLst>
        </c:ser>
        <c:ser>
          <c:idx val="45"/>
          <c:order val="45"/>
          <c:tx>
            <c:strRef>
              <c:f>'Yamazumi Data'!$C$55</c:f>
              <c:strCache>
                <c:ptCount val="1"/>
                <c:pt idx="0">
                  <c:v>ENVA - 46</c:v>
                </c:pt>
              </c:strCache>
            </c:strRef>
          </c:tx>
          <c:invertIfNegative val="0"/>
          <c:dPt>
            <c:idx val="9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Data'!$F$55:$AI$55</c:f>
              <c:numCache>
                <c:formatCode>0.00</c:formatCode>
                <c:ptCount val="30"/>
                <c:pt idx="9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Data'!$D$55:$AI$55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B-62A3-41B1-93FA-2B7C0752F8EE}"/>
            </c:ext>
          </c:extLst>
        </c:ser>
        <c:ser>
          <c:idx val="46"/>
          <c:order val="46"/>
          <c:tx>
            <c:strRef>
              <c:f>'Yamazumi Data'!$C$56</c:f>
              <c:strCache>
                <c:ptCount val="1"/>
                <c:pt idx="0">
                  <c:v>VA - 47</c:v>
                </c:pt>
              </c:strCache>
            </c:strRef>
          </c:tx>
          <c:invertIfNegative val="0"/>
          <c:dPt>
            <c:idx val="9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Data'!$F$56:$AI$56</c:f>
              <c:numCache>
                <c:formatCode>0.00</c:formatCode>
                <c:ptCount val="30"/>
                <c:pt idx="9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Data'!$D$56:$AI$56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C-62A3-41B1-93FA-2B7C0752F8EE}"/>
            </c:ext>
          </c:extLst>
        </c:ser>
        <c:ser>
          <c:idx val="47"/>
          <c:order val="47"/>
          <c:tx>
            <c:strRef>
              <c:f>'Yamazumi Data'!$C$57</c:f>
              <c:strCache>
                <c:ptCount val="1"/>
                <c:pt idx="0">
                  <c:v>NVA - 48</c:v>
                </c:pt>
              </c:strCache>
            </c:strRef>
          </c:tx>
          <c:invertIfNegative val="0"/>
          <c:dPt>
            <c:idx val="9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Data'!$F$57:$AI$57</c:f>
              <c:numCache>
                <c:formatCode>0.00</c:formatCode>
                <c:ptCount val="30"/>
                <c:pt idx="9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Data'!$D$57:$AI$57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D-62A3-41B1-93FA-2B7C0752F8EE}"/>
            </c:ext>
          </c:extLst>
        </c:ser>
        <c:ser>
          <c:idx val="48"/>
          <c:order val="48"/>
          <c:tx>
            <c:strRef>
              <c:f>'Yamazumi Data'!$C$58</c:f>
              <c:strCache>
                <c:ptCount val="1"/>
                <c:pt idx="0">
                  <c:v>Waste/Walk - 49</c:v>
                </c:pt>
              </c:strCache>
            </c:strRef>
          </c:tx>
          <c:invertIfNegative val="0"/>
          <c:dPt>
            <c:idx val="9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Data'!$F$58:$AI$58</c:f>
              <c:numCache>
                <c:formatCode>0.00</c:formatCode>
                <c:ptCount val="30"/>
                <c:pt idx="9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Data'!$D$58:$AI$58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E-62A3-41B1-93FA-2B7C0752F8EE}"/>
            </c:ext>
          </c:extLst>
        </c:ser>
        <c:ser>
          <c:idx val="49"/>
          <c:order val="49"/>
          <c:tx>
            <c:strRef>
              <c:f>'Yamazumi Data'!$C$59</c:f>
              <c:strCache>
                <c:ptCount val="1"/>
                <c:pt idx="0">
                  <c:v>Inspect/Test - 50</c:v>
                </c:pt>
              </c:strCache>
            </c:strRef>
          </c:tx>
          <c:invertIfNegative val="0"/>
          <c:dPt>
            <c:idx val="9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Data'!$F$59:$AI$59</c:f>
              <c:numCache>
                <c:formatCode>0.00</c:formatCode>
                <c:ptCount val="30"/>
                <c:pt idx="9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Data'!$D$59:$AI$59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F-62A3-41B1-93FA-2B7C0752F8EE}"/>
            </c:ext>
          </c:extLst>
        </c:ser>
        <c:ser>
          <c:idx val="50"/>
          <c:order val="50"/>
          <c:tx>
            <c:strRef>
              <c:f>'Yamazumi Data'!$C$60</c:f>
              <c:strCache>
                <c:ptCount val="1"/>
                <c:pt idx="0">
                  <c:v>ENVA - 51</c:v>
                </c:pt>
              </c:strCache>
            </c:strRef>
          </c:tx>
          <c:invertIfNegative val="0"/>
          <c:dPt>
            <c:idx val="10"/>
            <c:invertIfNegative val="0"/>
            <c:bubble3D val="0"/>
            <c:spPr>
              <a:solidFill>
                <a:srgbClr val="57436F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Data'!$F$60:$AI$60</c:f>
              <c:numCache>
                <c:formatCode>0.00</c:formatCode>
                <c:ptCount val="30"/>
                <c:pt idx="10">
                  <c:v>1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Data'!$D$60:$AI$60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0-62A3-41B1-93FA-2B7C0752F8EE}"/>
            </c:ext>
          </c:extLst>
        </c:ser>
        <c:ser>
          <c:idx val="51"/>
          <c:order val="51"/>
          <c:tx>
            <c:strRef>
              <c:f>'Yamazumi Data'!$C$61</c:f>
              <c:strCache>
                <c:ptCount val="1"/>
                <c:pt idx="0">
                  <c:v>VA - 52</c:v>
                </c:pt>
              </c:strCache>
            </c:strRef>
          </c:tx>
          <c:invertIfNegative val="0"/>
          <c:dPt>
            <c:idx val="10"/>
            <c:invertIfNegative val="0"/>
            <c:bubble3D val="0"/>
            <c:spPr>
              <a:solidFill>
                <a:srgbClr val="9E5E29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Data'!$F$61:$AI$61</c:f>
              <c:numCache>
                <c:formatCode>0.00</c:formatCode>
                <c:ptCount val="30"/>
                <c:pt idx="10">
                  <c:v>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Data'!$D$61:$AI$61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1-62A3-41B1-93FA-2B7C0752F8EE}"/>
            </c:ext>
          </c:extLst>
        </c:ser>
        <c:ser>
          <c:idx val="52"/>
          <c:order val="52"/>
          <c:tx>
            <c:strRef>
              <c:f>'Yamazumi Data'!$C$62</c:f>
              <c:strCache>
                <c:ptCount val="1"/>
                <c:pt idx="0">
                  <c:v>NVA - 53</c:v>
                </c:pt>
              </c:strCache>
            </c:strRef>
          </c:tx>
          <c:invertIfNegative val="0"/>
          <c:dPt>
            <c:idx val="10"/>
            <c:invertIfNegative val="0"/>
            <c:bubble3D val="0"/>
            <c:spPr>
              <a:solidFill>
                <a:srgbClr val="34588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Data'!$F$62:$AI$62</c:f>
              <c:numCache>
                <c:formatCode>0.00</c:formatCode>
                <c:ptCount val="30"/>
                <c:pt idx="10">
                  <c:v>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Data'!$D$62:$AI$62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2-62A3-41B1-93FA-2B7C0752F8EE}"/>
            </c:ext>
          </c:extLst>
        </c:ser>
        <c:ser>
          <c:idx val="53"/>
          <c:order val="53"/>
          <c:tx>
            <c:strRef>
              <c:f>'Yamazumi Data'!$C$63</c:f>
              <c:strCache>
                <c:ptCount val="1"/>
                <c:pt idx="0">
                  <c:v>Waste/Walk - 54</c:v>
                </c:pt>
              </c:strCache>
            </c:strRef>
          </c:tx>
          <c:invertIfNegative val="0"/>
          <c:dPt>
            <c:idx val="10"/>
            <c:invertIfNegative val="0"/>
            <c:bubble3D val="0"/>
            <c:spPr>
              <a:solidFill>
                <a:srgbClr val="843533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Data'!$F$63:$AI$63</c:f>
              <c:numCache>
                <c:formatCode>0.00</c:formatCode>
                <c:ptCount val="30"/>
                <c:pt idx="10">
                  <c:v>4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Data'!$D$63:$AI$63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3-62A3-41B1-93FA-2B7C0752F8EE}"/>
            </c:ext>
          </c:extLst>
        </c:ser>
        <c:ser>
          <c:idx val="54"/>
          <c:order val="54"/>
          <c:tx>
            <c:strRef>
              <c:f>'Yamazumi Data'!$C$64</c:f>
              <c:strCache>
                <c:ptCount val="1"/>
                <c:pt idx="0">
                  <c:v>Inspect/Test - 55</c:v>
                </c:pt>
              </c:strCache>
            </c:strRef>
          </c:tx>
          <c:invertIfNegative val="0"/>
          <c:dPt>
            <c:idx val="10"/>
            <c:invertIfNegative val="0"/>
            <c:bubble3D val="0"/>
            <c:spPr>
              <a:solidFill>
                <a:srgbClr val="6A813B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Data'!$F$64:$AI$64</c:f>
              <c:numCache>
                <c:formatCode>0.00</c:formatCode>
                <c:ptCount val="30"/>
                <c:pt idx="10">
                  <c:v>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Data'!$D$64:$AI$64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4-62A3-41B1-93FA-2B7C0752F8EE}"/>
            </c:ext>
          </c:extLst>
        </c:ser>
        <c:ser>
          <c:idx val="55"/>
          <c:order val="55"/>
          <c:tx>
            <c:strRef>
              <c:f>'Yamazumi Data'!$C$65</c:f>
              <c:strCache>
                <c:ptCount val="1"/>
                <c:pt idx="0">
                  <c:v>ENVA - 56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Data'!$F$65:$AI$65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Data'!$D$65:$AI$65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5-62A3-41B1-93FA-2B7C0752F8EE}"/>
            </c:ext>
          </c:extLst>
        </c:ser>
        <c:ser>
          <c:idx val="56"/>
          <c:order val="56"/>
          <c:tx>
            <c:strRef>
              <c:f>'Yamazumi Data'!$C$66</c:f>
              <c:strCache>
                <c:ptCount val="1"/>
                <c:pt idx="0">
                  <c:v>VA - 57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Data'!$F$66:$AI$66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Data'!$D$66:$AI$66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6-62A3-41B1-93FA-2B7C0752F8EE}"/>
            </c:ext>
          </c:extLst>
        </c:ser>
        <c:ser>
          <c:idx val="57"/>
          <c:order val="57"/>
          <c:tx>
            <c:strRef>
              <c:f>'Yamazumi Data'!$C$67</c:f>
              <c:strCache>
                <c:ptCount val="1"/>
                <c:pt idx="0">
                  <c:v>NVA - 58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Data'!$F$67:$AI$67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Data'!$D$67:$AI$67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7-62A3-41B1-93FA-2B7C0752F8EE}"/>
            </c:ext>
          </c:extLst>
        </c:ser>
        <c:ser>
          <c:idx val="58"/>
          <c:order val="58"/>
          <c:tx>
            <c:strRef>
              <c:f>'Yamazumi Data'!$C$68</c:f>
              <c:strCache>
                <c:ptCount val="1"/>
                <c:pt idx="0">
                  <c:v>Waste/Walk - 59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Data'!$F$68:$AI$68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Data'!$D$68:$AI$68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8-62A3-41B1-93FA-2B7C0752F8EE}"/>
            </c:ext>
          </c:extLst>
        </c:ser>
        <c:ser>
          <c:idx val="59"/>
          <c:order val="59"/>
          <c:tx>
            <c:strRef>
              <c:f>'Yamazumi Data'!$C$69</c:f>
              <c:strCache>
                <c:ptCount val="1"/>
                <c:pt idx="0">
                  <c:v>Inspect/Test - 60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Data'!$F$69:$AI$69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Data'!$D$69:$AI$69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9-62A3-41B1-93FA-2B7C0752F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"/>
        <c:overlap val="100"/>
        <c:axId val="123655296"/>
        <c:axId val="123656832"/>
      </c:barChart>
      <c:lineChart>
        <c:grouping val="standard"/>
        <c:varyColors val="0"/>
        <c:ser>
          <c:idx val="60"/>
          <c:order val="60"/>
          <c:tx>
            <c:strRef>
              <c:f>'Yamazumi Data'!$C$70</c:f>
              <c:strCache>
                <c:ptCount val="1"/>
                <c:pt idx="0">
                  <c:v>ENVA - 61</c:v>
                </c:pt>
              </c:strCache>
            </c:strRef>
          </c:tx>
          <c:spPr>
            <a:ln w="15875">
              <a:solidFill>
                <a:srgbClr val="FF0000"/>
              </a:solidFill>
              <a:prstDash val="dash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Data'!$F$70:$AI$70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Data'!$D$70:$AI$70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A-62A3-41B1-93FA-2B7C0752F8EE}"/>
            </c:ext>
          </c:extLst>
        </c:ser>
        <c:ser>
          <c:idx val="61"/>
          <c:order val="61"/>
          <c:tx>
            <c:strRef>
              <c:f>'Yamazumi Data'!$C$71</c:f>
              <c:strCache>
                <c:ptCount val="1"/>
                <c:pt idx="0">
                  <c:v>VA - 62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Data'!$F$71:$AI$71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Data'!$D$71:$AI$71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B-62A3-41B1-93FA-2B7C0752F8EE}"/>
            </c:ext>
          </c:extLst>
        </c:ser>
        <c:ser>
          <c:idx val="62"/>
          <c:order val="62"/>
          <c:tx>
            <c:strRef>
              <c:f>'Yamazumi Data'!$C$72</c:f>
              <c:strCache>
                <c:ptCount val="1"/>
                <c:pt idx="0">
                  <c:v>NVA - 63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Data'!$F$72:$AI$72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Data'!$D$72:$AI$72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3C-FA90-4C26-9638-C29D2CEBC7BF}"/>
            </c:ext>
          </c:extLst>
        </c:ser>
        <c:ser>
          <c:idx val="63"/>
          <c:order val="63"/>
          <c:tx>
            <c:strRef>
              <c:f>'Yamazumi Data'!$C$73</c:f>
              <c:strCache>
                <c:ptCount val="1"/>
                <c:pt idx="0">
                  <c:v>Waste/Walk - 64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Data'!$F$73:$AI$73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Data'!$D$73:$AI$73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3D-FA90-4C26-9638-C29D2CEBC7BF}"/>
            </c:ext>
          </c:extLst>
        </c:ser>
        <c:ser>
          <c:idx val="64"/>
          <c:order val="64"/>
          <c:tx>
            <c:strRef>
              <c:f>'Yamazumi Data'!$C$74</c:f>
              <c:strCache>
                <c:ptCount val="1"/>
                <c:pt idx="0">
                  <c:v>Inspect/Test - 65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Data'!$F$74:$AI$74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Data'!$D$74:$AI$74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3E-FA90-4C26-9638-C29D2CEBC7BF}"/>
            </c:ext>
          </c:extLst>
        </c:ser>
        <c:ser>
          <c:idx val="65"/>
          <c:order val="65"/>
          <c:tx>
            <c:strRef>
              <c:f>'Yamazumi Data'!$C$75</c:f>
              <c:strCache>
                <c:ptCount val="1"/>
                <c:pt idx="0">
                  <c:v>ENVA - 66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Data'!$F$75:$AI$75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Data'!$D$75:$AI$75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3F-FA90-4C26-9638-C29D2CEBC7BF}"/>
            </c:ext>
          </c:extLst>
        </c:ser>
        <c:ser>
          <c:idx val="66"/>
          <c:order val="66"/>
          <c:tx>
            <c:strRef>
              <c:f>'Yamazumi Data'!$C$76</c:f>
              <c:strCache>
                <c:ptCount val="1"/>
                <c:pt idx="0">
                  <c:v>VA - 67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Data'!$F$76:$AI$76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Data'!$D$76:$AI$76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0-FA90-4C26-9638-C29D2CEBC7BF}"/>
            </c:ext>
          </c:extLst>
        </c:ser>
        <c:ser>
          <c:idx val="67"/>
          <c:order val="67"/>
          <c:tx>
            <c:strRef>
              <c:f>'Yamazumi Data'!$C$77</c:f>
              <c:strCache>
                <c:ptCount val="1"/>
                <c:pt idx="0">
                  <c:v>NVA - 68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Data'!$F$77:$AI$77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Data'!$D$77:$AI$77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1-FA90-4C26-9638-C29D2CEBC7BF}"/>
            </c:ext>
          </c:extLst>
        </c:ser>
        <c:ser>
          <c:idx val="68"/>
          <c:order val="68"/>
          <c:tx>
            <c:strRef>
              <c:f>'Yamazumi Data'!$C$78</c:f>
              <c:strCache>
                <c:ptCount val="1"/>
                <c:pt idx="0">
                  <c:v>Waste/Walk - 69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Data'!$F$78:$AI$78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Data'!$D$78:$AI$78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2-FA90-4C26-9638-C29D2CEBC7BF}"/>
            </c:ext>
          </c:extLst>
        </c:ser>
        <c:ser>
          <c:idx val="69"/>
          <c:order val="69"/>
          <c:tx>
            <c:strRef>
              <c:f>'Yamazumi Data'!$C$79</c:f>
              <c:strCache>
                <c:ptCount val="1"/>
                <c:pt idx="0">
                  <c:v>Inspect/Test - 70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Data'!$F$79:$AI$79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Data'!$D$79:$AI$79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3-FA90-4C26-9638-C29D2CEBC7BF}"/>
            </c:ext>
          </c:extLst>
        </c:ser>
        <c:ser>
          <c:idx val="70"/>
          <c:order val="70"/>
          <c:tx>
            <c:strRef>
              <c:f>'Yamazumi Data'!$C$80</c:f>
              <c:strCache>
                <c:ptCount val="1"/>
                <c:pt idx="0">
                  <c:v>ENVA - 71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Data'!$F$80:$AI$80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Data'!$D$80:$AI$80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4-FA90-4C26-9638-C29D2CEBC7BF}"/>
            </c:ext>
          </c:extLst>
        </c:ser>
        <c:ser>
          <c:idx val="71"/>
          <c:order val="71"/>
          <c:tx>
            <c:strRef>
              <c:f>'Yamazumi Data'!$C$81</c:f>
              <c:strCache>
                <c:ptCount val="1"/>
                <c:pt idx="0">
                  <c:v>VA - 72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Data'!$F$81:$AI$81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Data'!$D$81:$AI$81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5-FA90-4C26-9638-C29D2CEBC7BF}"/>
            </c:ext>
          </c:extLst>
        </c:ser>
        <c:ser>
          <c:idx val="72"/>
          <c:order val="72"/>
          <c:tx>
            <c:strRef>
              <c:f>'Yamazumi Data'!$C$82</c:f>
              <c:strCache>
                <c:ptCount val="1"/>
                <c:pt idx="0">
                  <c:v>NVA - 73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Data'!$F$82:$AI$82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Data'!$D$82:$AI$82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6-FA90-4C26-9638-C29D2CEBC7BF}"/>
            </c:ext>
          </c:extLst>
        </c:ser>
        <c:ser>
          <c:idx val="73"/>
          <c:order val="73"/>
          <c:tx>
            <c:strRef>
              <c:f>'Yamazumi Data'!$C$83</c:f>
              <c:strCache>
                <c:ptCount val="1"/>
                <c:pt idx="0">
                  <c:v>Waste/Walk - 74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Data'!$F$83:$AI$83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Data'!$D$83:$AI$83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7-FA90-4C26-9638-C29D2CEBC7BF}"/>
            </c:ext>
          </c:extLst>
        </c:ser>
        <c:ser>
          <c:idx val="74"/>
          <c:order val="74"/>
          <c:tx>
            <c:strRef>
              <c:f>'Yamazumi Data'!$C$84</c:f>
              <c:strCache>
                <c:ptCount val="1"/>
                <c:pt idx="0">
                  <c:v>Inspect/Test - 75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Data'!$F$84:$AI$84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Data'!$D$84:$AI$84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8-FA90-4C26-9638-C29D2CEBC7BF}"/>
            </c:ext>
          </c:extLst>
        </c:ser>
        <c:ser>
          <c:idx val="75"/>
          <c:order val="75"/>
          <c:tx>
            <c:strRef>
              <c:f>'Yamazumi Data'!$C$85</c:f>
              <c:strCache>
                <c:ptCount val="1"/>
                <c:pt idx="0">
                  <c:v>ENVA - 76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Data'!$F$85:$AI$85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Data'!$D$85:$AI$85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9-FA90-4C26-9638-C29D2CEBC7BF}"/>
            </c:ext>
          </c:extLst>
        </c:ser>
        <c:ser>
          <c:idx val="76"/>
          <c:order val="76"/>
          <c:tx>
            <c:strRef>
              <c:f>'Yamazumi Data'!$C$86</c:f>
              <c:strCache>
                <c:ptCount val="1"/>
                <c:pt idx="0">
                  <c:v>VA - 77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Data'!$F$86:$AI$86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Data'!$D$86:$AI$86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A-FA90-4C26-9638-C29D2CEBC7BF}"/>
            </c:ext>
          </c:extLst>
        </c:ser>
        <c:ser>
          <c:idx val="77"/>
          <c:order val="77"/>
          <c:tx>
            <c:strRef>
              <c:f>'Yamazumi Data'!$C$87</c:f>
              <c:strCache>
                <c:ptCount val="1"/>
                <c:pt idx="0">
                  <c:v>ENVA - 78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Data'!$F$87:$AI$87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Data'!$D$87:$AI$87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B-FA90-4C26-9638-C29D2CEBC7BF}"/>
            </c:ext>
          </c:extLst>
        </c:ser>
        <c:ser>
          <c:idx val="78"/>
          <c:order val="78"/>
          <c:tx>
            <c:strRef>
              <c:f>'Yamazumi Data'!$C$88</c:f>
              <c:strCache>
                <c:ptCount val="1"/>
                <c:pt idx="0">
                  <c:v>VA - 79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Data'!$F$88:$AI$88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Data'!$D$88:$AI$88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C-FA90-4C26-9638-C29D2CEBC7BF}"/>
            </c:ext>
          </c:extLst>
        </c:ser>
        <c:ser>
          <c:idx val="79"/>
          <c:order val="79"/>
          <c:tx>
            <c:strRef>
              <c:f>'Yamazumi Data'!$C$89</c:f>
              <c:strCache>
                <c:ptCount val="1"/>
                <c:pt idx="0">
                  <c:v>NVA - 80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Data'!$F$89:$AI$89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Data'!$D$89:$AI$89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D-FA90-4C26-9638-C29D2CEBC7BF}"/>
            </c:ext>
          </c:extLst>
        </c:ser>
        <c:ser>
          <c:idx val="80"/>
          <c:order val="80"/>
          <c:tx>
            <c:strRef>
              <c:f>'Yamazumi Data'!$C$90</c:f>
              <c:strCache>
                <c:ptCount val="1"/>
                <c:pt idx="0">
                  <c:v>Waste/Walk - 81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Data'!$F$90:$AI$90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Data'!$D$90:$AI$90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E-FA90-4C26-9638-C29D2CEBC7BF}"/>
            </c:ext>
          </c:extLst>
        </c:ser>
        <c:ser>
          <c:idx val="81"/>
          <c:order val="81"/>
          <c:tx>
            <c:strRef>
              <c:f>'Yamazumi Data'!$C$91</c:f>
              <c:strCache>
                <c:ptCount val="1"/>
                <c:pt idx="0">
                  <c:v>Inspect/Test - 82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Data'!$F$91:$AI$91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Data'!$D$91:$AI$91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4F-FA90-4C26-9638-C29D2CEBC7BF}"/>
            </c:ext>
          </c:extLst>
        </c:ser>
        <c:ser>
          <c:idx val="82"/>
          <c:order val="82"/>
          <c:tx>
            <c:strRef>
              <c:f>'Yamazumi Data'!$C$92</c:f>
              <c:strCache>
                <c:ptCount val="1"/>
                <c:pt idx="0">
                  <c:v>&lt;Select&gt; - 83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Data'!$F$92:$AI$92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Data'!$D$92:$AI$92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0-FA90-4C26-9638-C29D2CEBC7BF}"/>
            </c:ext>
          </c:extLst>
        </c:ser>
        <c:ser>
          <c:idx val="83"/>
          <c:order val="83"/>
          <c:tx>
            <c:strRef>
              <c:f>'Yamazumi Data'!$C$93</c:f>
              <c:strCache>
                <c:ptCount val="1"/>
                <c:pt idx="0">
                  <c:v>&lt;Select&gt; - 84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Data'!$F$93:$AI$93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Data'!$D$93:$AI$93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1-FA90-4C26-9638-C29D2CEBC7BF}"/>
            </c:ext>
          </c:extLst>
        </c:ser>
        <c:ser>
          <c:idx val="84"/>
          <c:order val="84"/>
          <c:tx>
            <c:strRef>
              <c:f>'Yamazumi Data'!$C$94</c:f>
              <c:strCache>
                <c:ptCount val="1"/>
                <c:pt idx="0">
                  <c:v>&lt;Select&gt; - 85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Data'!$F$94:$AI$94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Data'!$D$94:$AI$94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2-FA90-4C26-9638-C29D2CEBC7BF}"/>
            </c:ext>
          </c:extLst>
        </c:ser>
        <c:ser>
          <c:idx val="85"/>
          <c:order val="85"/>
          <c:tx>
            <c:strRef>
              <c:f>'Yamazumi Data'!$C$95</c:f>
              <c:strCache>
                <c:ptCount val="1"/>
                <c:pt idx="0">
                  <c:v>&lt;Select&gt; - 86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Data'!$F$95:$AI$95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Data'!$D$95:$AI$95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3-FA90-4C26-9638-C29D2CEBC7BF}"/>
            </c:ext>
          </c:extLst>
        </c:ser>
        <c:ser>
          <c:idx val="86"/>
          <c:order val="86"/>
          <c:tx>
            <c:strRef>
              <c:f>'Yamazumi Data'!$C$96</c:f>
              <c:strCache>
                <c:ptCount val="1"/>
                <c:pt idx="0">
                  <c:v>&lt;Select&gt; - 87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Data'!$F$96:$AI$96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Data'!$D$96:$AI$96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4-FA90-4C26-9638-C29D2CEBC7BF}"/>
            </c:ext>
          </c:extLst>
        </c:ser>
        <c:ser>
          <c:idx val="87"/>
          <c:order val="87"/>
          <c:tx>
            <c:strRef>
              <c:f>'Yamazumi Data'!$C$97</c:f>
              <c:strCache>
                <c:ptCount val="1"/>
                <c:pt idx="0">
                  <c:v>&lt;Select&gt; - 88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Data'!$F$97:$AI$97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Data'!$D$97:$AI$97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5-FA90-4C26-9638-C29D2CEBC7BF}"/>
            </c:ext>
          </c:extLst>
        </c:ser>
        <c:ser>
          <c:idx val="88"/>
          <c:order val="88"/>
          <c:tx>
            <c:strRef>
              <c:f>'Yamazumi Data'!$C$98</c:f>
              <c:strCache>
                <c:ptCount val="1"/>
                <c:pt idx="0">
                  <c:v>&lt;Select&gt; - 89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Data'!$F$98:$AI$98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Data'!$D$98:$AI$98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6-FA90-4C26-9638-C29D2CEBC7BF}"/>
            </c:ext>
          </c:extLst>
        </c:ser>
        <c:ser>
          <c:idx val="89"/>
          <c:order val="89"/>
          <c:tx>
            <c:strRef>
              <c:f>'Yamazumi Data'!$C$99</c:f>
              <c:strCache>
                <c:ptCount val="1"/>
                <c:pt idx="0">
                  <c:v>&lt;Select&gt; - 90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Data'!$F$99:$AI$99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Data'!$D$99:$AI$99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7-FA90-4C26-9638-C29D2CEBC7BF}"/>
            </c:ext>
          </c:extLst>
        </c:ser>
        <c:ser>
          <c:idx val="90"/>
          <c:order val="90"/>
          <c:tx>
            <c:strRef>
              <c:f>'Yamazumi Data'!$C$100</c:f>
              <c:strCache>
                <c:ptCount val="1"/>
                <c:pt idx="0">
                  <c:v>&lt;Select&gt; - 91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Data'!$F$100:$AI$100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Data'!$D$100:$AI$100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8-FA90-4C26-9638-C29D2CEBC7BF}"/>
            </c:ext>
          </c:extLst>
        </c:ser>
        <c:ser>
          <c:idx val="91"/>
          <c:order val="91"/>
          <c:tx>
            <c:strRef>
              <c:f>'Yamazumi Data'!$C$101</c:f>
              <c:strCache>
                <c:ptCount val="1"/>
                <c:pt idx="0">
                  <c:v>&lt;Select&gt; - 92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Data'!$F$101:$AI$101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Data'!$D$101:$AI$101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9-FA90-4C26-9638-C29D2CEBC7BF}"/>
            </c:ext>
          </c:extLst>
        </c:ser>
        <c:ser>
          <c:idx val="92"/>
          <c:order val="92"/>
          <c:tx>
            <c:strRef>
              <c:f>'Yamazumi Data'!$C$102</c:f>
              <c:strCache>
                <c:ptCount val="1"/>
                <c:pt idx="0">
                  <c:v>&lt;Select&gt; - 93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Data'!$F$102:$AI$102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Data'!$D$102:$AI$102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A-FA90-4C26-9638-C29D2CEBC7BF}"/>
            </c:ext>
          </c:extLst>
        </c:ser>
        <c:ser>
          <c:idx val="93"/>
          <c:order val="93"/>
          <c:tx>
            <c:strRef>
              <c:f>'Yamazumi Data'!$C$103</c:f>
              <c:strCache>
                <c:ptCount val="1"/>
                <c:pt idx="0">
                  <c:v>&lt;Select&gt; - 94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Data'!$F$103:$AI$103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Data'!$D$103:$AI$103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B-FA90-4C26-9638-C29D2CEBC7BF}"/>
            </c:ext>
          </c:extLst>
        </c:ser>
        <c:ser>
          <c:idx val="94"/>
          <c:order val="94"/>
          <c:tx>
            <c:strRef>
              <c:f>'Yamazumi Data'!$C$104</c:f>
              <c:strCache>
                <c:ptCount val="1"/>
                <c:pt idx="0">
                  <c:v>&lt;Select&gt; - 95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Data'!$F$104:$AI$104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Data'!$D$104:$AI$104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C-FA90-4C26-9638-C29D2CEBC7BF}"/>
            </c:ext>
          </c:extLst>
        </c:ser>
        <c:ser>
          <c:idx val="95"/>
          <c:order val="95"/>
          <c:tx>
            <c:strRef>
              <c:f>'Yamazumi Data'!$C$105</c:f>
              <c:strCache>
                <c:ptCount val="1"/>
                <c:pt idx="0">
                  <c:v>&lt;Select&gt; - 96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Data'!$F$105:$AI$105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Data'!$D$105:$AI$105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D-FA90-4C26-9638-C29D2CEBC7BF}"/>
            </c:ext>
          </c:extLst>
        </c:ser>
        <c:ser>
          <c:idx val="96"/>
          <c:order val="96"/>
          <c:tx>
            <c:strRef>
              <c:f>'Yamazumi Data'!$C$106</c:f>
              <c:strCache>
                <c:ptCount val="1"/>
                <c:pt idx="0">
                  <c:v>&lt;Select&gt; - 97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Data'!$F$106:$AI$106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Data'!$D$106:$AI$106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E-FA90-4C26-9638-C29D2CEBC7BF}"/>
            </c:ext>
          </c:extLst>
        </c:ser>
        <c:ser>
          <c:idx val="97"/>
          <c:order val="97"/>
          <c:tx>
            <c:strRef>
              <c:f>'Yamazumi Data'!$C$107</c:f>
              <c:strCache>
                <c:ptCount val="1"/>
                <c:pt idx="0">
                  <c:v>&lt;Select&gt; - 98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Data'!$F$107:$AI$107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Data'!$D$107:$AI$107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F-FA90-4C26-9638-C29D2CEBC7BF}"/>
            </c:ext>
          </c:extLst>
        </c:ser>
        <c:ser>
          <c:idx val="98"/>
          <c:order val="98"/>
          <c:tx>
            <c:strRef>
              <c:f>'Yamazumi Data'!$C$108</c:f>
              <c:strCache>
                <c:ptCount val="1"/>
                <c:pt idx="0">
                  <c:v>&lt;Select&gt; - 99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Data'!$F$108:$AI$108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Data'!$D$108:$AI$108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60-FA90-4C26-9638-C29D2CEBC7BF}"/>
            </c:ext>
          </c:extLst>
        </c:ser>
        <c:ser>
          <c:idx val="99"/>
          <c:order val="99"/>
          <c:tx>
            <c:strRef>
              <c:f>'Yamazumi Data'!$C$109</c:f>
              <c:strCache>
                <c:ptCount val="1"/>
                <c:pt idx="0">
                  <c:v>&lt;Select&gt; - 100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Data'!$F$109:$AI$109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Data'!$D$109:$AI$109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61-FA90-4C26-9638-C29D2CEBC7BF}"/>
            </c:ext>
          </c:extLst>
        </c:ser>
        <c:ser>
          <c:idx val="100"/>
          <c:order val="100"/>
          <c:tx>
            <c:strRef>
              <c:f>'Yamazumi Data'!$C$110</c:f>
              <c:strCache>
                <c:ptCount val="1"/>
                <c:pt idx="0">
                  <c:v>&lt;Select&gt; - 101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Data'!$F$110:$AI$110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Data'!$D$110:$AI$110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62-FA90-4C26-9638-C29D2CEBC7BF}"/>
            </c:ext>
          </c:extLst>
        </c:ser>
        <c:ser>
          <c:idx val="101"/>
          <c:order val="101"/>
          <c:tx>
            <c:strRef>
              <c:f>'Yamazumi Data'!$C$111</c:f>
              <c:strCache>
                <c:ptCount val="1"/>
                <c:pt idx="0">
                  <c:v>&lt;Select&gt; - 102</c:v>
                </c:pt>
              </c:strCache>
            </c:strRef>
          </c:tx>
          <c:marker>
            <c:symbol val="none"/>
          </c:marker>
          <c:cat>
            <c:strRef>
              <c:f>'Yamazumi Data'!$F$8:$AI$8</c:f>
              <c:strCache>
                <c:ptCount val="30"/>
                <c:pt idx="0">
                  <c:v>Ressuage</c:v>
                </c:pt>
                <c:pt idx="1">
                  <c:v>Préparation pour TS</c:v>
                </c:pt>
                <c:pt idx="2">
                  <c:v>h</c:v>
                </c:pt>
                <c:pt idx="3">
                  <c:v>j</c:v>
                </c:pt>
                <c:pt idx="4">
                  <c:v>k</c:v>
                </c:pt>
                <c:pt idx="5">
                  <c:v>l</c:v>
                </c:pt>
                <c:pt idx="6">
                  <c:v>m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Data'!$D$8:$AI$8</c15:sqref>
                  </c15:fullRef>
                </c:ext>
              </c:extLst>
            </c:strRef>
          </c:cat>
          <c:val>
            <c:numRef>
              <c:f>'Yamazumi Data'!$F$111:$AI$111</c:f>
              <c:numCache>
                <c:formatCode>0.00</c:formatCode>
                <c:ptCount val="30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'Yamazumi Data'!$D$111:$AI$111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63-FA90-4C26-9638-C29D2CEBC7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655296"/>
        <c:axId val="123656832"/>
      </c:lineChart>
      <c:catAx>
        <c:axId val="123655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23656832"/>
        <c:crosses val="autoZero"/>
        <c:auto val="1"/>
        <c:lblAlgn val="ctr"/>
        <c:lblOffset val="100"/>
        <c:noMultiLvlLbl val="0"/>
      </c:catAx>
      <c:valAx>
        <c:axId val="1236568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Cycle Time</a:t>
                </a:r>
              </a:p>
            </c:rich>
          </c:tx>
          <c:layout>
            <c:manualLayout>
              <c:xMode val="edge"/>
              <c:yMode val="edge"/>
              <c:x val="1.6490085336191634E-4"/>
              <c:y val="0.41526723519421682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2365529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Data'!$F$8</c:f>
          <c:strCache>
            <c:ptCount val="1"/>
            <c:pt idx="0">
              <c:v>Ressuage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Data'!$F$8</c:f>
              <c:strCache>
                <c:ptCount val="1"/>
                <c:pt idx="0">
                  <c:v>Ressuage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4E48-40BA-93AA-ADD5A802D4B4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E48-40BA-93AA-ADD5A802D4B4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E48-40BA-93AA-ADD5A802D4B4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E48-40BA-93AA-ADD5A802D4B4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Data'!$F$114:$F$117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E48-40BA-93AA-ADD5A802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Data'!$G$8</c:f>
          <c:strCache>
            <c:ptCount val="1"/>
            <c:pt idx="0">
              <c:v>Préparation pour TS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Data'!$G$8</c:f>
              <c:strCache>
                <c:ptCount val="1"/>
                <c:pt idx="0">
                  <c:v>Préparation pour TS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AD67-467E-845A-10DF8578483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D67-467E-845A-10DF8578483A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AD67-467E-845A-10DF8578483A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D67-467E-845A-10DF8578483A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Data'!$G$114:$G$117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D67-467E-845A-10DF8578483A}"/>
            </c:ext>
          </c:extLst>
        </c:ser>
        <c:ser>
          <c:idx val="1"/>
          <c:order val="1"/>
          <c:tx>
            <c:strRef>
              <c:f>'Yamazumi Data'!$F$8</c:f>
              <c:strCache>
                <c:ptCount val="1"/>
                <c:pt idx="0">
                  <c:v>Ressuage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D67-467E-845A-10DF8578483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AD67-467E-845A-10DF8578483A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D67-467E-845A-10DF8578483A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Data'!$F$114:$F$117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AD67-467E-845A-10DF857848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Data'!$H$8</c:f>
          <c:strCache>
            <c:ptCount val="1"/>
            <c:pt idx="0">
              <c:v>h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Data'!$H$8</c:f>
              <c:strCache>
                <c:ptCount val="1"/>
                <c:pt idx="0">
                  <c:v>h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2C4-48D4-8514-20536AE3A7C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2C4-48D4-8514-20536AE3A7CA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2C4-48D4-8514-20536AE3A7CA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2C4-48D4-8514-20536AE3A7CA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Data'!$H$114:$H$117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2C4-48D4-8514-20536AE3A7CA}"/>
            </c:ext>
          </c:extLst>
        </c:ser>
        <c:ser>
          <c:idx val="1"/>
          <c:order val="1"/>
          <c:tx>
            <c:strRef>
              <c:f>'Yamazumi Data'!$G$8</c:f>
              <c:strCache>
                <c:ptCount val="1"/>
                <c:pt idx="0">
                  <c:v>Préparation pour TS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2C4-48D4-8514-20536AE3A7C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2C4-48D4-8514-20536AE3A7CA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2C4-48D4-8514-20536AE3A7CA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Data'!$G$114:$G$117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2C4-48D4-8514-20536AE3A7CA}"/>
            </c:ext>
          </c:extLst>
        </c:ser>
        <c:ser>
          <c:idx val="2"/>
          <c:order val="2"/>
          <c:tx>
            <c:strRef>
              <c:f>'Yamazumi Data'!$G$8</c:f>
              <c:strCache>
                <c:ptCount val="1"/>
                <c:pt idx="0">
                  <c:v>Préparation pour TS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2C4-48D4-8514-20536AE3A7C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12C4-48D4-8514-20536AE3A7CA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2C4-48D4-8514-20536AE3A7CA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Data'!$G$114:$G$117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12C4-48D4-8514-20536AE3A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Data'!$I$8</c:f>
          <c:strCache>
            <c:ptCount val="1"/>
            <c:pt idx="0">
              <c:v>j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Data'!$I$8</c:f>
              <c:strCache>
                <c:ptCount val="1"/>
                <c:pt idx="0">
                  <c:v>j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72AA-418C-A128-AEE887B47FB0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2AA-418C-A128-AEE887B47FB0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2AA-418C-A128-AEE887B47FB0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2AA-418C-A128-AEE887B47FB0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Data'!$I$114:$I$117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2AA-418C-A128-AEE887B47F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Data'!$J$8</c:f>
          <c:strCache>
            <c:ptCount val="1"/>
            <c:pt idx="0">
              <c:v>k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Data'!$J$8</c:f>
              <c:strCache>
                <c:ptCount val="1"/>
                <c:pt idx="0">
                  <c:v>k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A11D-4E88-8E60-C6EDE300DEE1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11D-4E88-8E60-C6EDE300DEE1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A11D-4E88-8E60-C6EDE300DEE1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11D-4E88-8E60-C6EDE300DEE1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Data'!$J$114:$J$117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11D-4E88-8E60-C6EDE300D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Data'!$K$8</c:f>
          <c:strCache>
            <c:ptCount val="1"/>
            <c:pt idx="0">
              <c:v>l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Data'!$K$8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342A-4FB2-AFE4-35BB0C1D19B7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42A-4FB2-AFE4-35BB0C1D19B7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342A-4FB2-AFE4-35BB0C1D19B7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42A-4FB2-AFE4-35BB0C1D19B7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Data'!$K$114:$K$117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42A-4FB2-AFE4-35BB0C1D1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Data'!$L$8</c:f>
          <c:strCache>
            <c:ptCount val="1"/>
            <c:pt idx="0">
              <c:v>m</c:v>
            </c:pt>
          </c:strCache>
        </c:strRef>
      </c:tx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Data'!$L$8</c:f>
              <c:strCache>
                <c:ptCount val="1"/>
                <c:pt idx="0">
                  <c:v>m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0A7B-4CE6-BA61-44302F05A601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A7B-4CE6-BA61-44302F05A601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A7B-4CE6-BA61-44302F05A601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A7B-4CE6-BA61-44302F05A601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Data'!$L$114:$L$117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A7B-4CE6-BA61-44302F05A6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Data'!$M$8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F6AC-44F1-AA9B-3FA5B0C5AE4C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6AC-44F1-AA9B-3FA5B0C5AE4C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F6AC-44F1-AA9B-3FA5B0C5AE4C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6AC-44F1-AA9B-3FA5B0C5AE4C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Data'!$M$114:$M$117</c:f>
              <c:numCache>
                <c:formatCode>0.00</c:formatCode>
                <c:ptCount val="4"/>
                <c:pt idx="0">
                  <c:v>4</c:v>
                </c:pt>
                <c:pt idx="1">
                  <c:v>4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6AC-44F1-AA9B-3FA5B0C5AE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Data'!$N$8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CB3C-4198-894A-D334ECC6CD9E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B3C-4198-894A-D334ECC6CD9E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CB3C-4198-894A-D334ECC6CD9E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B3C-4198-894A-D334ECC6CD9E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Data'!$N$114:$N$117</c:f>
              <c:numCache>
                <c:formatCode>0.00</c:formatCode>
                <c:ptCount val="4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B3C-4198-894A-D334ECC6CD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Data'!$O$8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7691-4F42-A33A-53605B3850F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691-4F42-A33A-53605B3850FD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691-4F42-A33A-53605B3850FD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691-4F42-A33A-53605B3850FD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Data'!$O$114:$O$117</c:f>
              <c:numCache>
                <c:formatCode>0.00</c:formatCode>
                <c:ptCount val="4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691-4F42-A33A-53605B3850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Data'!$P$8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1F4-4737-B411-A1561444D345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1F4-4737-B411-A1561444D345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1F4-4737-B411-A1561444D345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1F4-4737-B411-A1561444D345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Data'!$P$114:$P$117</c:f>
              <c:numCache>
                <c:formatCode>0.00</c:formatCode>
                <c:ptCount val="4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1F4-4737-B411-A1561444D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Data'!$R$8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AE3-473B-9277-5AFDC17A942F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AE3-473B-9277-5AFDC17A942F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AE3-473B-9277-5AFDC17A942F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AE3-473B-9277-5AFDC17A942F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Data'!$R$114:$R$117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AE3-473B-9277-5AFDC17A94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Data'!$S$8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314-44CA-A870-73A3916ECEF2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314-44CA-A870-73A3916ECEF2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314-44CA-A870-73A3916ECEF2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314-44CA-A870-73A3916ECEF2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Data'!$S$114:$S$117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314-44CA-A870-73A3916EC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Data'!$T$8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57C-43A5-A7B9-3518DC2214F3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57C-43A5-A7B9-3518DC2214F3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57C-43A5-A7B9-3518DC2214F3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57C-43A5-A7B9-3518DC2214F3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Data'!$T$114:$T$117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57C-43A5-A7B9-3518DC221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Data'!$U$8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D6AC-4F61-993C-526E679B4FE4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6AC-4F61-993C-526E679B4FE4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D6AC-4F61-993C-526E679B4FE4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6AC-4F61-993C-526E679B4FE4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Data'!$U$114:$U$117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6AC-4F61-993C-526E679B4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Data'!$V$8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AFBA-4352-A44F-4A876CC08EC7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FBA-4352-A44F-4A876CC08EC7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AFBA-4352-A44F-4A876CC08EC7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FBA-4352-A44F-4A876CC08EC7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Data'!$V$114:$V$117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FBA-4352-A44F-4A876CC08EC7}"/>
            </c:ext>
          </c:extLst>
        </c:ser>
        <c:ser>
          <c:idx val="1"/>
          <c:order val="1"/>
          <c:tx>
            <c:strRef>
              <c:f>'Yamazumi Data'!$F$8</c:f>
              <c:strCache>
                <c:ptCount val="1"/>
                <c:pt idx="0">
                  <c:v>Ressuage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FBA-4352-A44F-4A876CC08EC7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AFBA-4352-A44F-4A876CC08EC7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FBA-4352-A44F-4A876CC08EC7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Data'!$F$114:$F$117</c:f>
              <c:numCache>
                <c:formatCode>0.00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AFBA-4352-A44F-4A876CC08E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Data'!$W$8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AB9-4151-BDED-320739EA00A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AB9-4151-BDED-320739EA00AA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AB9-4151-BDED-320739EA00AA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AB9-4151-BDED-320739EA00AA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Data'!$W$114:$W$117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AB9-4151-BDED-320739EA0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Data'!$X$8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FEE9-466B-A575-BDA195FFBDC1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EE9-466B-A575-BDA195FFBDC1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FEE9-466B-A575-BDA195FFBDC1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EE9-466B-A575-BDA195FFBDC1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Data'!$X$114:$X$117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EE9-466B-A575-BDA195FFBD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Data'!$Y$8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F376-4015-BDFE-79DB23789352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376-4015-BDFE-79DB23789352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F376-4015-BDFE-79DB23789352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376-4015-BDFE-79DB23789352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Data'!$Y$114:$Y$117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376-4015-BDFE-79DB237893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Data'!$Z$8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282F-4BA3-AAE4-D28122FB987C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2F-4BA3-AAE4-D28122FB987C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282F-4BA3-AAE4-D28122FB987C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2F-4BA3-AAE4-D28122FB987C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Data'!$Z$114:$Z$117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82F-4BA3-AAE4-D28122FB9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Data'!$AA$8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6FA8-46D3-949F-D9F4A5F9E271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FA8-46D3-949F-D9F4A5F9E271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FA8-46D3-949F-D9F4A5F9E271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FA8-46D3-949F-D9F4A5F9E271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Data'!$AA$114:$AA$117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FA8-46D3-949F-D9F4A5F9E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Data'!$AB$8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D828-4915-A103-1024D7FE0915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828-4915-A103-1024D7FE0915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D828-4915-A103-1024D7FE0915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828-4915-A103-1024D7FE0915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Data'!$AB$114:$AB$117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828-4915-A103-1024D7FE09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Data'!$AC$8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E38B-43C1-B1AE-69427B6E9D10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38B-43C1-B1AE-69427B6E9D10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38B-43C1-B1AE-69427B6E9D10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38B-43C1-B1AE-69427B6E9D10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Data'!$AC$114:$AC$117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38B-43C1-B1AE-69427B6E9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Data'!$AD$8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A3F4-4D17-9A74-A2D77F9ED6A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3F4-4D17-9A74-A2D77F9ED6AD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A3F4-4D17-9A74-A2D77F9ED6AD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3F4-4D17-9A74-A2D77F9ED6AD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Data'!$AD$114:$AD$117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3F4-4D17-9A74-A2D77F9ED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Data'!$AE$8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367F-41C9-B934-BA83737EACE4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67F-41C9-B934-BA83737EACE4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367F-41C9-B934-BA83737EACE4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67F-41C9-B934-BA83737EACE4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Data'!$AE$114:$AE$117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67F-41C9-B934-BA83737EA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Data'!$AF$8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A294-409F-B645-07DEA0E265CC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294-409F-B645-07DEA0E265CC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A294-409F-B645-07DEA0E265CC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294-409F-B645-07DEA0E265CC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Data'!$AF$114:$AF$117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294-409F-B645-07DEA0E26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Data'!$AG$8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47BB-43A2-B030-690815868318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7BB-43A2-B030-690815868318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7BB-43A2-B030-690815868318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7BB-43A2-B030-690815868318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Data'!$AG$114:$AG$117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7BB-43A2-B030-6908158683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Data'!$AH$8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BD18-4257-8E37-6BA789FA28A5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D18-4257-8E37-6BA789FA28A5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BD18-4257-8E37-6BA789FA28A5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D18-4257-8E37-6BA789FA28A5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Data'!$AH$114:$AH$117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D18-4257-8E37-6BA789FA28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Data'!$AI$8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A6E7-4836-A33E-5E31C4D7F707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6E7-4836-A33E-5E31C4D7F707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A6E7-4836-A33E-5E31C4D7F707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6E7-4836-A33E-5E31C4D7F707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Data'!$AI$114:$AI$117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6E7-4836-A33E-5E31C4D7F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&lt;fill in&gt;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Data'!$Q$8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71DF-4190-B428-A55507876240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1DF-4190-B428-A55507876240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1DF-4190-B428-A55507876240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1DF-4190-B428-A55507876240}"/>
              </c:ext>
            </c:extLst>
          </c:dPt>
          <c:cat>
            <c:strRef>
              <c:f>'Yamazumi Data'!$D$114:$D$117</c:f>
              <c:strCache>
                <c:ptCount val="4"/>
                <c:pt idx="0">
                  <c:v>Total VA</c:v>
                </c:pt>
                <c:pt idx="1">
                  <c:v>Total NVA</c:v>
                </c:pt>
                <c:pt idx="2">
                  <c:v>Total ENVA</c:v>
                </c:pt>
                <c:pt idx="3">
                  <c:v>Total Waste</c:v>
                </c:pt>
              </c:strCache>
            </c:strRef>
          </c:cat>
          <c:val>
            <c:numRef>
              <c:f>'Yamazumi Data'!$Q$114:$Q$117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1DF-4190-B428-A55507876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31"/>
          <c:w val="0.38527942434162032"/>
          <c:h val="0.55376266372500527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Yamazumi Data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2200275</xdr:colOff>
          <xdr:row>8</xdr:row>
          <xdr:rowOff>66675</xdr:rowOff>
        </xdr:from>
        <xdr:to>
          <xdr:col>4</xdr:col>
          <xdr:colOff>114300</xdr:colOff>
          <xdr:row>8</xdr:row>
          <xdr:rowOff>504825</xdr:rowOff>
        </xdr:to>
        <xdr:sp macro="" textlink="">
          <xdr:nvSpPr>
            <xdr:cNvPr id="1001339" name="divide" hidden="1">
              <a:extLst>
                <a:ext uri="{63B3BB69-23CF-44E3-9099-C40C66FF867C}">
                  <a14:compatExt spid="_x0000_s100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133350</xdr:rowOff>
    </xdr:from>
    <xdr:to>
      <xdr:col>105</xdr:col>
      <xdr:colOff>295275</xdr:colOff>
      <xdr:row>29</xdr:row>
      <xdr:rowOff>123825</xdr:rowOff>
    </xdr:to>
    <xdr:graphicFrame macro="">
      <xdr:nvGraphicFramePr>
        <xdr:cNvPr id="760738" name="Chart 1">
          <a:extLst>
            <a:ext uri="{FF2B5EF4-FFF2-40B4-BE49-F238E27FC236}">
              <a16:creationId xmlns:a16="http://schemas.microsoft.com/office/drawing/2014/main" xmlns="" id="{00000000-0008-0000-0100-0000A2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31</xdr:row>
      <xdr:rowOff>9525</xdr:rowOff>
    </xdr:from>
    <xdr:to>
      <xdr:col>5</xdr:col>
      <xdr:colOff>380999</xdr:colOff>
      <xdr:row>42</xdr:row>
      <xdr:rowOff>23812</xdr:rowOff>
    </xdr:to>
    <xdr:graphicFrame macro="">
      <xdr:nvGraphicFramePr>
        <xdr:cNvPr id="760739" name="Chart 2">
          <a:extLst>
            <a:ext uri="{FF2B5EF4-FFF2-40B4-BE49-F238E27FC236}">
              <a16:creationId xmlns:a16="http://schemas.microsoft.com/office/drawing/2014/main" xmlns="" id="{00000000-0008-0000-0100-0000A3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85725</xdr:colOff>
      <xdr:row>31</xdr:row>
      <xdr:rowOff>9525</xdr:rowOff>
    </xdr:from>
    <xdr:to>
      <xdr:col>8</xdr:col>
      <xdr:colOff>571500</xdr:colOff>
      <xdr:row>41</xdr:row>
      <xdr:rowOff>76200</xdr:rowOff>
    </xdr:to>
    <xdr:graphicFrame macro="">
      <xdr:nvGraphicFramePr>
        <xdr:cNvPr id="760740" name="Chart 3">
          <a:extLst>
            <a:ext uri="{FF2B5EF4-FFF2-40B4-BE49-F238E27FC236}">
              <a16:creationId xmlns:a16="http://schemas.microsoft.com/office/drawing/2014/main" xmlns="" id="{00000000-0008-0000-0100-0000A4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304800</xdr:colOff>
      <xdr:row>31</xdr:row>
      <xdr:rowOff>9525</xdr:rowOff>
    </xdr:from>
    <xdr:to>
      <xdr:col>12</xdr:col>
      <xdr:colOff>171450</xdr:colOff>
      <xdr:row>41</xdr:row>
      <xdr:rowOff>76200</xdr:rowOff>
    </xdr:to>
    <xdr:graphicFrame macro="">
      <xdr:nvGraphicFramePr>
        <xdr:cNvPr id="760741" name="Chart 5">
          <a:extLst>
            <a:ext uri="{FF2B5EF4-FFF2-40B4-BE49-F238E27FC236}">
              <a16:creationId xmlns:a16="http://schemas.microsoft.com/office/drawing/2014/main" xmlns="" id="{00000000-0008-0000-0100-0000A5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514350</xdr:colOff>
      <xdr:row>31</xdr:row>
      <xdr:rowOff>9525</xdr:rowOff>
    </xdr:from>
    <xdr:to>
      <xdr:col>15</xdr:col>
      <xdr:colOff>381000</xdr:colOff>
      <xdr:row>41</xdr:row>
      <xdr:rowOff>76200</xdr:rowOff>
    </xdr:to>
    <xdr:graphicFrame macro="">
      <xdr:nvGraphicFramePr>
        <xdr:cNvPr id="760742" name="Chart 6">
          <a:extLst>
            <a:ext uri="{FF2B5EF4-FFF2-40B4-BE49-F238E27FC236}">
              <a16:creationId xmlns:a16="http://schemas.microsoft.com/office/drawing/2014/main" xmlns="" id="{00000000-0008-0000-0100-0000A6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114300</xdr:colOff>
      <xdr:row>31</xdr:row>
      <xdr:rowOff>9525</xdr:rowOff>
    </xdr:from>
    <xdr:to>
      <xdr:col>18</xdr:col>
      <xdr:colOff>600075</xdr:colOff>
      <xdr:row>41</xdr:row>
      <xdr:rowOff>76200</xdr:rowOff>
    </xdr:to>
    <xdr:graphicFrame macro="">
      <xdr:nvGraphicFramePr>
        <xdr:cNvPr id="760743" name="Chart 7">
          <a:extLst>
            <a:ext uri="{FF2B5EF4-FFF2-40B4-BE49-F238E27FC236}">
              <a16:creationId xmlns:a16="http://schemas.microsoft.com/office/drawing/2014/main" xmlns="" id="{00000000-0008-0000-0100-0000A7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342900</xdr:colOff>
      <xdr:row>31</xdr:row>
      <xdr:rowOff>9525</xdr:rowOff>
    </xdr:from>
    <xdr:to>
      <xdr:col>22</xdr:col>
      <xdr:colOff>209550</xdr:colOff>
      <xdr:row>41</xdr:row>
      <xdr:rowOff>85725</xdr:rowOff>
    </xdr:to>
    <xdr:graphicFrame macro="">
      <xdr:nvGraphicFramePr>
        <xdr:cNvPr id="760744" name="Chart 8">
          <a:extLst>
            <a:ext uri="{FF2B5EF4-FFF2-40B4-BE49-F238E27FC236}">
              <a16:creationId xmlns:a16="http://schemas.microsoft.com/office/drawing/2014/main" xmlns="" id="{00000000-0008-0000-0100-0000A8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552450</xdr:colOff>
      <xdr:row>31</xdr:row>
      <xdr:rowOff>9525</xdr:rowOff>
    </xdr:from>
    <xdr:to>
      <xdr:col>25</xdr:col>
      <xdr:colOff>419100</xdr:colOff>
      <xdr:row>41</xdr:row>
      <xdr:rowOff>76200</xdr:rowOff>
    </xdr:to>
    <xdr:graphicFrame macro="">
      <xdr:nvGraphicFramePr>
        <xdr:cNvPr id="760745" name="Chart 9">
          <a:extLst>
            <a:ext uri="{FF2B5EF4-FFF2-40B4-BE49-F238E27FC236}">
              <a16:creationId xmlns:a16="http://schemas.microsoft.com/office/drawing/2014/main" xmlns="" id="{00000000-0008-0000-0100-0000A9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26</xdr:col>
      <xdr:colOff>152400</xdr:colOff>
      <xdr:row>31</xdr:row>
      <xdr:rowOff>9525</xdr:rowOff>
    </xdr:from>
    <xdr:to>
      <xdr:col>29</xdr:col>
      <xdr:colOff>28575</xdr:colOff>
      <xdr:row>41</xdr:row>
      <xdr:rowOff>85725</xdr:rowOff>
    </xdr:to>
    <xdr:graphicFrame macro="">
      <xdr:nvGraphicFramePr>
        <xdr:cNvPr id="760746" name="Chart 10">
          <a:extLst>
            <a:ext uri="{FF2B5EF4-FFF2-40B4-BE49-F238E27FC236}">
              <a16:creationId xmlns:a16="http://schemas.microsoft.com/office/drawing/2014/main" xmlns="" id="{00000000-0008-0000-0100-0000AA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371475</xdr:colOff>
      <xdr:row>31</xdr:row>
      <xdr:rowOff>9525</xdr:rowOff>
    </xdr:from>
    <xdr:to>
      <xdr:col>32</xdr:col>
      <xdr:colOff>238125</xdr:colOff>
      <xdr:row>41</xdr:row>
      <xdr:rowOff>85725</xdr:rowOff>
    </xdr:to>
    <xdr:graphicFrame macro="">
      <xdr:nvGraphicFramePr>
        <xdr:cNvPr id="760747" name="Chart 11">
          <a:extLst>
            <a:ext uri="{FF2B5EF4-FFF2-40B4-BE49-F238E27FC236}">
              <a16:creationId xmlns:a16="http://schemas.microsoft.com/office/drawing/2014/main" xmlns="" id="{00000000-0008-0000-0100-0000AB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32</xdr:col>
      <xdr:colOff>581025</xdr:colOff>
      <xdr:row>31</xdr:row>
      <xdr:rowOff>9525</xdr:rowOff>
    </xdr:from>
    <xdr:to>
      <xdr:col>35</xdr:col>
      <xdr:colOff>447675</xdr:colOff>
      <xdr:row>41</xdr:row>
      <xdr:rowOff>85725</xdr:rowOff>
    </xdr:to>
    <xdr:graphicFrame macro="">
      <xdr:nvGraphicFramePr>
        <xdr:cNvPr id="760748" name="Chart 12">
          <a:extLst>
            <a:ext uri="{FF2B5EF4-FFF2-40B4-BE49-F238E27FC236}">
              <a16:creationId xmlns:a16="http://schemas.microsoft.com/office/drawing/2014/main" xmlns="" id="{00000000-0008-0000-0100-0000AC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36</xdr:col>
      <xdr:colOff>180975</xdr:colOff>
      <xdr:row>31</xdr:row>
      <xdr:rowOff>9525</xdr:rowOff>
    </xdr:from>
    <xdr:to>
      <xdr:col>39</xdr:col>
      <xdr:colOff>57150</xdr:colOff>
      <xdr:row>41</xdr:row>
      <xdr:rowOff>95250</xdr:rowOff>
    </xdr:to>
    <xdr:graphicFrame macro="">
      <xdr:nvGraphicFramePr>
        <xdr:cNvPr id="760749" name="Chart 13">
          <a:extLst>
            <a:ext uri="{FF2B5EF4-FFF2-40B4-BE49-F238E27FC236}">
              <a16:creationId xmlns:a16="http://schemas.microsoft.com/office/drawing/2014/main" xmlns="" id="{00000000-0008-0000-0100-0000AD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43</xdr:col>
      <xdr:colOff>9525</xdr:colOff>
      <xdr:row>31</xdr:row>
      <xdr:rowOff>9525</xdr:rowOff>
    </xdr:from>
    <xdr:to>
      <xdr:col>45</xdr:col>
      <xdr:colOff>485775</xdr:colOff>
      <xdr:row>41</xdr:row>
      <xdr:rowOff>95250</xdr:rowOff>
    </xdr:to>
    <xdr:graphicFrame macro="">
      <xdr:nvGraphicFramePr>
        <xdr:cNvPr id="760750" name="Chart 14">
          <a:extLst>
            <a:ext uri="{FF2B5EF4-FFF2-40B4-BE49-F238E27FC236}">
              <a16:creationId xmlns:a16="http://schemas.microsoft.com/office/drawing/2014/main" xmlns="" id="{00000000-0008-0000-0100-0000AE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46</xdr:col>
      <xdr:colOff>219075</xdr:colOff>
      <xdr:row>31</xdr:row>
      <xdr:rowOff>9525</xdr:rowOff>
    </xdr:from>
    <xdr:to>
      <xdr:col>49</xdr:col>
      <xdr:colOff>85725</xdr:colOff>
      <xdr:row>41</xdr:row>
      <xdr:rowOff>95250</xdr:rowOff>
    </xdr:to>
    <xdr:graphicFrame macro="">
      <xdr:nvGraphicFramePr>
        <xdr:cNvPr id="760751" name="Chart 14">
          <a:extLst>
            <a:ext uri="{FF2B5EF4-FFF2-40B4-BE49-F238E27FC236}">
              <a16:creationId xmlns:a16="http://schemas.microsoft.com/office/drawing/2014/main" xmlns="" id="{00000000-0008-0000-0100-0000AF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49</xdr:col>
      <xdr:colOff>428625</xdr:colOff>
      <xdr:row>31</xdr:row>
      <xdr:rowOff>9525</xdr:rowOff>
    </xdr:from>
    <xdr:to>
      <xdr:col>52</xdr:col>
      <xdr:colOff>295275</xdr:colOff>
      <xdr:row>41</xdr:row>
      <xdr:rowOff>95250</xdr:rowOff>
    </xdr:to>
    <xdr:graphicFrame macro="">
      <xdr:nvGraphicFramePr>
        <xdr:cNvPr id="760752" name="Chart 14">
          <a:extLst>
            <a:ext uri="{FF2B5EF4-FFF2-40B4-BE49-F238E27FC236}">
              <a16:creationId xmlns:a16="http://schemas.microsoft.com/office/drawing/2014/main" xmlns="" id="{00000000-0008-0000-0100-0000B0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53</xdr:col>
      <xdr:colOff>38100</xdr:colOff>
      <xdr:row>31</xdr:row>
      <xdr:rowOff>9525</xdr:rowOff>
    </xdr:from>
    <xdr:to>
      <xdr:col>55</xdr:col>
      <xdr:colOff>514350</xdr:colOff>
      <xdr:row>41</xdr:row>
      <xdr:rowOff>95250</xdr:rowOff>
    </xdr:to>
    <xdr:graphicFrame macro="">
      <xdr:nvGraphicFramePr>
        <xdr:cNvPr id="760753" name="Chart 14">
          <a:extLst>
            <a:ext uri="{FF2B5EF4-FFF2-40B4-BE49-F238E27FC236}">
              <a16:creationId xmlns:a16="http://schemas.microsoft.com/office/drawing/2014/main" xmlns="" id="{00000000-0008-0000-0100-0000B1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56</xdr:col>
      <xdr:colOff>247650</xdr:colOff>
      <xdr:row>31</xdr:row>
      <xdr:rowOff>9525</xdr:rowOff>
    </xdr:from>
    <xdr:to>
      <xdr:col>59</xdr:col>
      <xdr:colOff>114300</xdr:colOff>
      <xdr:row>41</xdr:row>
      <xdr:rowOff>95250</xdr:rowOff>
    </xdr:to>
    <xdr:graphicFrame macro="">
      <xdr:nvGraphicFramePr>
        <xdr:cNvPr id="760754" name="Chart 14">
          <a:extLst>
            <a:ext uri="{FF2B5EF4-FFF2-40B4-BE49-F238E27FC236}">
              <a16:creationId xmlns:a16="http://schemas.microsoft.com/office/drawing/2014/main" xmlns="" id="{00000000-0008-0000-0100-0000B2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59</xdr:col>
      <xdr:colOff>457200</xdr:colOff>
      <xdr:row>31</xdr:row>
      <xdr:rowOff>9525</xdr:rowOff>
    </xdr:from>
    <xdr:to>
      <xdr:col>62</xdr:col>
      <xdr:colOff>323850</xdr:colOff>
      <xdr:row>41</xdr:row>
      <xdr:rowOff>95250</xdr:rowOff>
    </xdr:to>
    <xdr:graphicFrame macro="">
      <xdr:nvGraphicFramePr>
        <xdr:cNvPr id="760755" name="Chart 14">
          <a:extLst>
            <a:ext uri="{FF2B5EF4-FFF2-40B4-BE49-F238E27FC236}">
              <a16:creationId xmlns:a16="http://schemas.microsoft.com/office/drawing/2014/main" xmlns="" id="{00000000-0008-0000-0100-0000B3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63</xdr:col>
      <xdr:colOff>57150</xdr:colOff>
      <xdr:row>31</xdr:row>
      <xdr:rowOff>9525</xdr:rowOff>
    </xdr:from>
    <xdr:to>
      <xdr:col>65</xdr:col>
      <xdr:colOff>533400</xdr:colOff>
      <xdr:row>41</xdr:row>
      <xdr:rowOff>95250</xdr:rowOff>
    </xdr:to>
    <xdr:graphicFrame macro="">
      <xdr:nvGraphicFramePr>
        <xdr:cNvPr id="760756" name="Chart 14">
          <a:extLst>
            <a:ext uri="{FF2B5EF4-FFF2-40B4-BE49-F238E27FC236}">
              <a16:creationId xmlns:a16="http://schemas.microsoft.com/office/drawing/2014/main" xmlns="" id="{00000000-0008-0000-0100-0000B4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66</xdr:col>
      <xdr:colOff>266700</xdr:colOff>
      <xdr:row>31</xdr:row>
      <xdr:rowOff>9525</xdr:rowOff>
    </xdr:from>
    <xdr:to>
      <xdr:col>69</xdr:col>
      <xdr:colOff>133350</xdr:colOff>
      <xdr:row>41</xdr:row>
      <xdr:rowOff>95250</xdr:rowOff>
    </xdr:to>
    <xdr:graphicFrame macro="">
      <xdr:nvGraphicFramePr>
        <xdr:cNvPr id="760757" name="Chart 14">
          <a:extLst>
            <a:ext uri="{FF2B5EF4-FFF2-40B4-BE49-F238E27FC236}">
              <a16:creationId xmlns:a16="http://schemas.microsoft.com/office/drawing/2014/main" xmlns="" id="{00000000-0008-0000-0100-0000B5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69</xdr:col>
      <xdr:colOff>476250</xdr:colOff>
      <xdr:row>31</xdr:row>
      <xdr:rowOff>9525</xdr:rowOff>
    </xdr:from>
    <xdr:to>
      <xdr:col>72</xdr:col>
      <xdr:colOff>342900</xdr:colOff>
      <xdr:row>41</xdr:row>
      <xdr:rowOff>95250</xdr:rowOff>
    </xdr:to>
    <xdr:graphicFrame macro="">
      <xdr:nvGraphicFramePr>
        <xdr:cNvPr id="760758" name="Chart 14">
          <a:extLst>
            <a:ext uri="{FF2B5EF4-FFF2-40B4-BE49-F238E27FC236}">
              <a16:creationId xmlns:a16="http://schemas.microsoft.com/office/drawing/2014/main" xmlns="" id="{00000000-0008-0000-0100-0000B6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73</xdr:col>
      <xdr:colOff>76200</xdr:colOff>
      <xdr:row>31</xdr:row>
      <xdr:rowOff>9525</xdr:rowOff>
    </xdr:from>
    <xdr:to>
      <xdr:col>75</xdr:col>
      <xdr:colOff>552450</xdr:colOff>
      <xdr:row>41</xdr:row>
      <xdr:rowOff>95250</xdr:rowOff>
    </xdr:to>
    <xdr:graphicFrame macro="">
      <xdr:nvGraphicFramePr>
        <xdr:cNvPr id="760759" name="Chart 14">
          <a:extLst>
            <a:ext uri="{FF2B5EF4-FFF2-40B4-BE49-F238E27FC236}">
              <a16:creationId xmlns:a16="http://schemas.microsoft.com/office/drawing/2014/main" xmlns="" id="{00000000-0008-0000-0100-0000B7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76</xdr:col>
      <xdr:colOff>285750</xdr:colOff>
      <xdr:row>31</xdr:row>
      <xdr:rowOff>9525</xdr:rowOff>
    </xdr:from>
    <xdr:to>
      <xdr:col>79</xdr:col>
      <xdr:colOff>152400</xdr:colOff>
      <xdr:row>41</xdr:row>
      <xdr:rowOff>95250</xdr:rowOff>
    </xdr:to>
    <xdr:graphicFrame macro="">
      <xdr:nvGraphicFramePr>
        <xdr:cNvPr id="760760" name="Chart 14">
          <a:extLst>
            <a:ext uri="{FF2B5EF4-FFF2-40B4-BE49-F238E27FC236}">
              <a16:creationId xmlns:a16="http://schemas.microsoft.com/office/drawing/2014/main" xmlns="" id="{00000000-0008-0000-0100-0000B8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79</xdr:col>
      <xdr:colOff>495300</xdr:colOff>
      <xdr:row>31</xdr:row>
      <xdr:rowOff>9525</xdr:rowOff>
    </xdr:from>
    <xdr:to>
      <xdr:col>82</xdr:col>
      <xdr:colOff>361950</xdr:colOff>
      <xdr:row>41</xdr:row>
      <xdr:rowOff>95250</xdr:rowOff>
    </xdr:to>
    <xdr:graphicFrame macro="">
      <xdr:nvGraphicFramePr>
        <xdr:cNvPr id="760761" name="Chart 14">
          <a:extLst>
            <a:ext uri="{FF2B5EF4-FFF2-40B4-BE49-F238E27FC236}">
              <a16:creationId xmlns:a16="http://schemas.microsoft.com/office/drawing/2014/main" xmlns="" id="{00000000-0008-0000-0100-0000B9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83</xdr:col>
      <xdr:colOff>95250</xdr:colOff>
      <xdr:row>31</xdr:row>
      <xdr:rowOff>9525</xdr:rowOff>
    </xdr:from>
    <xdr:to>
      <xdr:col>85</xdr:col>
      <xdr:colOff>571500</xdr:colOff>
      <xdr:row>41</xdr:row>
      <xdr:rowOff>95250</xdr:rowOff>
    </xdr:to>
    <xdr:graphicFrame macro="">
      <xdr:nvGraphicFramePr>
        <xdr:cNvPr id="760762" name="Chart 14">
          <a:extLst>
            <a:ext uri="{FF2B5EF4-FFF2-40B4-BE49-F238E27FC236}">
              <a16:creationId xmlns:a16="http://schemas.microsoft.com/office/drawing/2014/main" xmlns="" id="{00000000-0008-0000-0100-0000BA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86</xdr:col>
      <xdr:colOff>314325</xdr:colOff>
      <xdr:row>31</xdr:row>
      <xdr:rowOff>9525</xdr:rowOff>
    </xdr:from>
    <xdr:to>
      <xdr:col>89</xdr:col>
      <xdr:colOff>180975</xdr:colOff>
      <xdr:row>41</xdr:row>
      <xdr:rowOff>95250</xdr:rowOff>
    </xdr:to>
    <xdr:graphicFrame macro="">
      <xdr:nvGraphicFramePr>
        <xdr:cNvPr id="760763" name="Chart 14">
          <a:extLst>
            <a:ext uri="{FF2B5EF4-FFF2-40B4-BE49-F238E27FC236}">
              <a16:creationId xmlns:a16="http://schemas.microsoft.com/office/drawing/2014/main" xmlns="" id="{00000000-0008-0000-0100-0000BB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89</xdr:col>
      <xdr:colOff>523875</xdr:colOff>
      <xdr:row>31</xdr:row>
      <xdr:rowOff>9525</xdr:rowOff>
    </xdr:from>
    <xdr:to>
      <xdr:col>92</xdr:col>
      <xdr:colOff>390525</xdr:colOff>
      <xdr:row>41</xdr:row>
      <xdr:rowOff>95250</xdr:rowOff>
    </xdr:to>
    <xdr:graphicFrame macro="">
      <xdr:nvGraphicFramePr>
        <xdr:cNvPr id="760764" name="Chart 14">
          <a:extLst>
            <a:ext uri="{FF2B5EF4-FFF2-40B4-BE49-F238E27FC236}">
              <a16:creationId xmlns:a16="http://schemas.microsoft.com/office/drawing/2014/main" xmlns="" id="{00000000-0008-0000-0100-0000BC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93</xdr:col>
      <xdr:colOff>123825</xdr:colOff>
      <xdr:row>31</xdr:row>
      <xdr:rowOff>9525</xdr:rowOff>
    </xdr:from>
    <xdr:to>
      <xdr:col>95</xdr:col>
      <xdr:colOff>600075</xdr:colOff>
      <xdr:row>41</xdr:row>
      <xdr:rowOff>95250</xdr:rowOff>
    </xdr:to>
    <xdr:graphicFrame macro="">
      <xdr:nvGraphicFramePr>
        <xdr:cNvPr id="760765" name="Chart 14">
          <a:extLst>
            <a:ext uri="{FF2B5EF4-FFF2-40B4-BE49-F238E27FC236}">
              <a16:creationId xmlns:a16="http://schemas.microsoft.com/office/drawing/2014/main" xmlns="" id="{00000000-0008-0000-0100-0000BD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96</xdr:col>
      <xdr:colOff>333375</xdr:colOff>
      <xdr:row>31</xdr:row>
      <xdr:rowOff>9525</xdr:rowOff>
    </xdr:from>
    <xdr:to>
      <xdr:col>99</xdr:col>
      <xdr:colOff>200025</xdr:colOff>
      <xdr:row>41</xdr:row>
      <xdr:rowOff>95250</xdr:rowOff>
    </xdr:to>
    <xdr:graphicFrame macro="">
      <xdr:nvGraphicFramePr>
        <xdr:cNvPr id="760766" name="Chart 14">
          <a:extLst>
            <a:ext uri="{FF2B5EF4-FFF2-40B4-BE49-F238E27FC236}">
              <a16:creationId xmlns:a16="http://schemas.microsoft.com/office/drawing/2014/main" xmlns="" id="{00000000-0008-0000-0100-0000BE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99</xdr:col>
      <xdr:colOff>542925</xdr:colOff>
      <xdr:row>31</xdr:row>
      <xdr:rowOff>9525</xdr:rowOff>
    </xdr:from>
    <xdr:to>
      <xdr:col>102</xdr:col>
      <xdr:colOff>409575</xdr:colOff>
      <xdr:row>41</xdr:row>
      <xdr:rowOff>95250</xdr:rowOff>
    </xdr:to>
    <xdr:graphicFrame macro="">
      <xdr:nvGraphicFramePr>
        <xdr:cNvPr id="760767" name="Chart 14">
          <a:extLst>
            <a:ext uri="{FF2B5EF4-FFF2-40B4-BE49-F238E27FC236}">
              <a16:creationId xmlns:a16="http://schemas.microsoft.com/office/drawing/2014/main" xmlns="" id="{00000000-0008-0000-0100-0000BF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39</xdr:col>
      <xdr:colOff>400050</xdr:colOff>
      <xdr:row>31</xdr:row>
      <xdr:rowOff>9525</xdr:rowOff>
    </xdr:from>
    <xdr:to>
      <xdr:col>42</xdr:col>
      <xdr:colOff>276225</xdr:colOff>
      <xdr:row>41</xdr:row>
      <xdr:rowOff>95250</xdr:rowOff>
    </xdr:to>
    <xdr:graphicFrame macro="">
      <xdr:nvGraphicFramePr>
        <xdr:cNvPr id="760768" name="Chart 13">
          <a:extLst>
            <a:ext uri="{FF2B5EF4-FFF2-40B4-BE49-F238E27FC236}">
              <a16:creationId xmlns:a16="http://schemas.microsoft.com/office/drawing/2014/main" xmlns="" id="{00000000-0008-0000-0100-0000C09B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0.00199</cdr:x>
      <cdr:y>0.00923</cdr:y>
    </cdr:from>
    <cdr:to>
      <cdr:x>0.00199</cdr:x>
      <cdr:y>0.00923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1aGOesqrl5S1ekUwe2R1y8</a:t>
          </a:r>
        </a:p>
      </cdr:txBody>
    </cdr:sp>
  </cdr:relSizeAnchor>
  <cdr:relSizeAnchor xmlns:cdr="http://schemas.openxmlformats.org/drawingml/2006/chartDrawing">
    <cdr:from>
      <cdr:x>0.02227</cdr:x>
      <cdr:y>0.0173</cdr:y>
    </cdr:from>
    <cdr:to>
      <cdr:x>0.03874</cdr:x>
      <cdr:y>0.109</cdr:y>
    </cdr:to>
    <cdr:sp macro="" textlink="">
      <cdr:nvSpPr>
        <cdr:cNvPr id="4" name="Rounded Rectangle 3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1429097" y="92253"/>
          <a:ext cx="1057289" cy="488889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ysClr val="windowText" lastClr="000000"/>
              </a:solidFill>
            </a:rPr>
            <a:t>Click here to see data</a:t>
          </a:r>
        </a:p>
      </cdr:txBody>
    </cdr:sp>
  </cdr:relSizeAnchor>
  <cdr:relSizeAnchor xmlns:cdr="http://schemas.openxmlformats.org/drawingml/2006/chartDrawing">
    <cdr:from>
      <cdr:x>0.24585</cdr:x>
      <cdr:y>0.0173</cdr:y>
    </cdr:from>
    <cdr:to>
      <cdr:x>0.26232</cdr:x>
      <cdr:y>0.109</cdr:y>
    </cdr:to>
    <cdr:sp macro="" textlink="">
      <cdr:nvSpPr>
        <cdr:cNvPr id="6" name="Rounded Rectangle 5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15779972" y="92253"/>
          <a:ext cx="1057289" cy="488890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ysClr val="windowText" lastClr="000000"/>
              </a:solidFill>
            </a:rPr>
            <a:t>Click here to see data</a:t>
          </a:r>
        </a:p>
      </cdr:txBody>
    </cdr:sp>
  </cdr:relSizeAnchor>
  <cdr:relSizeAnchor xmlns:cdr="http://schemas.openxmlformats.org/drawingml/2006/chartDrawing">
    <cdr:from>
      <cdr:x>0.46943</cdr:x>
      <cdr:y>0.0173</cdr:y>
    </cdr:from>
    <cdr:to>
      <cdr:x>0.48591</cdr:x>
      <cdr:y>0.109</cdr:y>
    </cdr:to>
    <cdr:sp macro="" textlink="">
      <cdr:nvSpPr>
        <cdr:cNvPr id="8" name="Rounded Rectangle 7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30130847" y="92253"/>
          <a:ext cx="1057289" cy="488890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ysClr val="windowText" lastClr="000000"/>
              </a:solidFill>
            </a:rPr>
            <a:t>Click here to see data</a:t>
          </a:r>
        </a:p>
      </cdr:txBody>
    </cdr:sp>
  </cdr:relSizeAnchor>
  <cdr:relSizeAnchor xmlns:cdr="http://schemas.openxmlformats.org/drawingml/2006/chartDrawing">
    <cdr:from>
      <cdr:x>0.69302</cdr:x>
      <cdr:y>0.0173</cdr:y>
    </cdr:from>
    <cdr:to>
      <cdr:x>0.70949</cdr:x>
      <cdr:y>0.109</cdr:y>
    </cdr:to>
    <cdr:sp macro="" textlink="">
      <cdr:nvSpPr>
        <cdr:cNvPr id="10" name="Rounded Rectangle 9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44481722" y="92253"/>
          <a:ext cx="1057289" cy="488889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ysClr val="windowText" lastClr="000000"/>
              </a:solidFill>
            </a:rPr>
            <a:t>Click here to see data</a:t>
          </a:r>
        </a:p>
      </cdr:txBody>
    </cdr:sp>
  </cdr:relSizeAnchor>
  <cdr:relSizeAnchor xmlns:cdr="http://schemas.openxmlformats.org/drawingml/2006/chartDrawing">
    <cdr:from>
      <cdr:x>0.9166</cdr:x>
      <cdr:y>0.0173</cdr:y>
    </cdr:from>
    <cdr:to>
      <cdr:x>0.933</cdr:x>
      <cdr:y>0.109</cdr:y>
    </cdr:to>
    <cdr:sp macro="" textlink="">
      <cdr:nvSpPr>
        <cdr:cNvPr id="12" name="Rounded Rectangle 11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58832596" y="92253"/>
          <a:ext cx="1052610" cy="488890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ysClr val="windowText" lastClr="000000"/>
              </a:solidFill>
            </a:rPr>
            <a:t>Click here to see data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hoYGyIKVIFNO0fOAUGKU6w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5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6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7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drMyGgQrqifOsZMXKRMnvW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6DoAduXLhKmKawT02t5gfu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ycMPOXVT8J0hl9a53luE1v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rHPf3KOiifGB4bOnGZQoCD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JTbKQWqKLAt3K50yUa4PqL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AJ4YhFEuOCTOXW4iUSRxt6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81rJn85FkMcXirFRFL6hLQ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9V74tBgcYTitB3xyhwo9i6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ZKHqbnE8k3eqMOedvs43ua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JvEFKZ2GXoNN0o37PqdDW3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IjghZfWlqeEP0bMvCF5D6P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CZNQ9nCEQRdGNlptZMJBYz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8boRljNxyiWSGgt96zIMnN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5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Bkor59FiUuR3RCsh2jRjjV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JUE9ZQGaTcblz3tUdDSfos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1DpRHOwpV4uGAtMW9OBJBF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Rw2oO75dq3whT0K89SDth7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QTtZ7hu3EEQmMSPiZpkHDq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9jALc1FJ57nJF8UPZNInpS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qxeRiQSe9ztqJapl5toVyJ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Y2dGnapwYg1hS2wkIOQRXO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ffpKpDIfZujGycDCtHOCAd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orhmPKLz4HLaMYhCKLOJgx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YcukG5l92kd2QXt3OXtppC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UoqFlQW3OQWRt5Sv3FeVEr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WK7j9HWQfR7mh5T1KvcZwm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0.0298</cdr:x>
      <cdr:y>0.02552</cdr:y>
    </cdr:from>
    <cdr:to>
      <cdr:x>0.0298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5ZunbjUObuXtrGx2Gf6YA5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4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AO162"/>
  <sheetViews>
    <sheetView showGridLines="0" topLeftCell="A4" zoomScale="70" zoomScaleNormal="70" workbookViewId="0">
      <selection activeCell="F15" sqref="F15"/>
    </sheetView>
  </sheetViews>
  <sheetFormatPr baseColWidth="10" defaultColWidth="9.140625" defaultRowHeight="15.75" x14ac:dyDescent="0.25"/>
  <cols>
    <col min="1" max="1" width="4.7109375" style="5" customWidth="1"/>
    <col min="2" max="2" width="36" style="5" customWidth="1"/>
    <col min="3" max="3" width="5.140625" style="5" customWidth="1"/>
    <col min="4" max="4" width="15.7109375" style="5" customWidth="1"/>
    <col min="5" max="5" width="10.28515625" style="5" customWidth="1"/>
    <col min="6" max="17" width="16" style="4" customWidth="1"/>
    <col min="18" max="22" width="16" style="5" customWidth="1"/>
    <col min="23" max="26" width="16" customWidth="1"/>
    <col min="27" max="35" width="16" style="5" customWidth="1"/>
    <col min="36" max="36" width="9.140625" style="6"/>
    <col min="37" max="37" width="12.42578125" style="5" bestFit="1" customWidth="1"/>
    <col min="38" max="38" width="9.140625" style="5" customWidth="1"/>
    <col min="39" max="39" width="11.42578125" style="5" customWidth="1"/>
    <col min="40" max="40" width="14.28515625" style="5" customWidth="1"/>
    <col min="41" max="16384" width="9.140625" style="5"/>
  </cols>
  <sheetData>
    <row r="1" spans="2:41" ht="12.75" customHeight="1" thickBot="1" x14ac:dyDescent="0.35"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9"/>
      <c r="O1" s="16"/>
      <c r="P1" s="16"/>
    </row>
    <row r="2" spans="2:41" ht="30" customHeight="1" x14ac:dyDescent="0.25">
      <c r="B2" s="78" t="s">
        <v>0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80"/>
      <c r="N2" s="13"/>
      <c r="O2" s="13"/>
      <c r="P2" s="10"/>
    </row>
    <row r="3" spans="2:41" ht="15.6" x14ac:dyDescent="0.3">
      <c r="B3" s="73" t="s">
        <v>1</v>
      </c>
      <c r="C3" s="74"/>
      <c r="D3" s="68"/>
      <c r="E3" s="68"/>
      <c r="F3" s="43" t="s">
        <v>2</v>
      </c>
      <c r="G3" s="85"/>
      <c r="H3" s="85"/>
      <c r="I3" s="86" t="s">
        <v>3</v>
      </c>
      <c r="J3" s="86"/>
      <c r="K3" s="81">
        <v>43920</v>
      </c>
      <c r="L3" s="81"/>
      <c r="M3" s="82"/>
      <c r="N3" s="14"/>
      <c r="O3" s="6"/>
      <c r="P3" s="11"/>
      <c r="AK3" s="5" t="s">
        <v>4</v>
      </c>
      <c r="AL3" s="17" t="s">
        <v>5</v>
      </c>
      <c r="AM3" s="17" t="s">
        <v>6</v>
      </c>
      <c r="AN3" s="17" t="s">
        <v>7</v>
      </c>
      <c r="AO3" s="5" t="s">
        <v>54</v>
      </c>
    </row>
    <row r="4" spans="2:41" ht="16.149999999999999" thickBot="1" x14ac:dyDescent="0.35">
      <c r="B4" s="71" t="s">
        <v>8</v>
      </c>
      <c r="C4" s="72"/>
      <c r="D4" s="83" t="s">
        <v>45</v>
      </c>
      <c r="E4" s="83"/>
      <c r="F4" s="1" t="s">
        <v>9</v>
      </c>
      <c r="G4" s="83" t="s">
        <v>6</v>
      </c>
      <c r="H4" s="83"/>
      <c r="I4" s="87" t="s">
        <v>10</v>
      </c>
      <c r="J4" s="87"/>
      <c r="K4" s="83" t="s">
        <v>11</v>
      </c>
      <c r="L4" s="83"/>
      <c r="M4" s="84"/>
      <c r="N4" s="15"/>
      <c r="O4" s="6"/>
      <c r="P4" s="12"/>
      <c r="AK4" s="5" t="s">
        <v>12</v>
      </c>
      <c r="AL4" s="17" t="s">
        <v>13</v>
      </c>
      <c r="AM4" s="17" t="s">
        <v>14</v>
      </c>
      <c r="AN4" s="17" t="s">
        <v>15</v>
      </c>
      <c r="AO4" s="5" t="s">
        <v>55</v>
      </c>
    </row>
    <row r="5" spans="2:41" ht="16.149999999999999" thickBot="1" x14ac:dyDescent="0.35">
      <c r="B5" s="23"/>
      <c r="C5" s="23"/>
      <c r="D5" s="23"/>
      <c r="E5" s="23"/>
      <c r="F5" s="24"/>
      <c r="AK5" s="5" t="s">
        <v>16</v>
      </c>
      <c r="AL5" s="17" t="s">
        <v>17</v>
      </c>
      <c r="AM5" s="17" t="s">
        <v>18</v>
      </c>
      <c r="AN5" s="17" t="s">
        <v>11</v>
      </c>
    </row>
    <row r="6" spans="2:41" ht="15.75" customHeight="1" x14ac:dyDescent="0.25">
      <c r="B6" s="66" t="s">
        <v>19</v>
      </c>
      <c r="C6" s="67"/>
      <c r="D6" s="31" t="s">
        <v>5</v>
      </c>
      <c r="E6" s="45"/>
      <c r="F6" s="60" t="s">
        <v>20</v>
      </c>
      <c r="G6" s="61"/>
      <c r="H6" s="61"/>
      <c r="I6" s="61"/>
      <c r="J6" s="62"/>
      <c r="K6" s="60" t="s">
        <v>20</v>
      </c>
      <c r="L6" s="61"/>
      <c r="M6" s="61"/>
      <c r="N6" s="61"/>
      <c r="O6" s="62"/>
      <c r="P6" s="60" t="s">
        <v>20</v>
      </c>
      <c r="Q6" s="61"/>
      <c r="R6" s="61"/>
      <c r="S6" s="61"/>
      <c r="T6" s="62"/>
      <c r="U6" s="60" t="s">
        <v>20</v>
      </c>
      <c r="V6" s="61"/>
      <c r="W6" s="61"/>
      <c r="X6" s="61"/>
      <c r="Y6" s="62"/>
      <c r="Z6" s="60" t="s">
        <v>20</v>
      </c>
      <c r="AA6" s="61"/>
      <c r="AB6" s="61"/>
      <c r="AC6" s="61"/>
      <c r="AD6" s="62"/>
      <c r="AE6" s="60" t="s">
        <v>20</v>
      </c>
      <c r="AF6" s="61"/>
      <c r="AG6" s="61"/>
      <c r="AH6" s="61"/>
      <c r="AI6" s="75"/>
      <c r="AJ6" s="39"/>
      <c r="AK6" s="24" t="s">
        <v>21</v>
      </c>
      <c r="AL6" s="40"/>
      <c r="AM6" s="28" t="s">
        <v>17</v>
      </c>
      <c r="AN6" s="28" t="s">
        <v>17</v>
      </c>
      <c r="AO6" s="23"/>
    </row>
    <row r="7" spans="2:41" ht="15.75" customHeight="1" x14ac:dyDescent="0.25">
      <c r="B7" s="41" t="s">
        <v>22</v>
      </c>
      <c r="C7" s="42"/>
      <c r="D7" s="44">
        <f xml:space="preserve"> MAX(F10:AI111)</f>
        <v>5</v>
      </c>
      <c r="E7" s="46"/>
      <c r="F7" s="63"/>
      <c r="G7" s="64"/>
      <c r="H7" s="64"/>
      <c r="I7" s="64"/>
      <c r="J7" s="65"/>
      <c r="K7" s="63"/>
      <c r="L7" s="64"/>
      <c r="M7" s="64"/>
      <c r="N7" s="64"/>
      <c r="O7" s="65"/>
      <c r="P7" s="63"/>
      <c r="Q7" s="64"/>
      <c r="R7" s="64"/>
      <c r="S7" s="64"/>
      <c r="T7" s="65"/>
      <c r="U7" s="63"/>
      <c r="V7" s="64"/>
      <c r="W7" s="64"/>
      <c r="X7" s="64"/>
      <c r="Y7" s="65"/>
      <c r="Z7" s="63"/>
      <c r="AA7" s="64"/>
      <c r="AB7" s="64"/>
      <c r="AC7" s="64"/>
      <c r="AD7" s="65"/>
      <c r="AE7" s="63"/>
      <c r="AF7" s="64"/>
      <c r="AG7" s="64"/>
      <c r="AH7" s="64"/>
      <c r="AI7" s="76"/>
      <c r="AJ7" s="40"/>
      <c r="AK7" s="24" t="s">
        <v>23</v>
      </c>
      <c r="AL7" s="40"/>
      <c r="AM7" s="28"/>
      <c r="AN7" s="28"/>
      <c r="AO7" s="23"/>
    </row>
    <row r="8" spans="2:41" ht="32.25" thickBot="1" x14ac:dyDescent="0.3">
      <c r="B8" s="69"/>
      <c r="C8" s="70"/>
      <c r="D8" s="48" t="s">
        <v>24</v>
      </c>
      <c r="E8" s="49"/>
      <c r="F8" s="29" t="s">
        <v>46</v>
      </c>
      <c r="G8" s="29" t="s">
        <v>47</v>
      </c>
      <c r="H8" s="29" t="s">
        <v>48</v>
      </c>
      <c r="I8" s="29" t="s">
        <v>49</v>
      </c>
      <c r="J8" s="29" t="s">
        <v>50</v>
      </c>
      <c r="K8" s="29" t="s">
        <v>51</v>
      </c>
      <c r="L8" s="29" t="s">
        <v>52</v>
      </c>
      <c r="M8" s="29" t="s">
        <v>25</v>
      </c>
      <c r="N8" s="29" t="s">
        <v>25</v>
      </c>
      <c r="O8" s="29" t="s">
        <v>25</v>
      </c>
      <c r="P8" s="29" t="s">
        <v>25</v>
      </c>
      <c r="Q8" s="29" t="s">
        <v>25</v>
      </c>
      <c r="R8" s="29" t="s">
        <v>25</v>
      </c>
      <c r="S8" s="29" t="s">
        <v>25</v>
      </c>
      <c r="T8" s="29" t="s">
        <v>25</v>
      </c>
      <c r="U8" s="29" t="s">
        <v>25</v>
      </c>
      <c r="V8" s="29" t="s">
        <v>25</v>
      </c>
      <c r="W8" s="29" t="s">
        <v>25</v>
      </c>
      <c r="X8" s="29" t="s">
        <v>25</v>
      </c>
      <c r="Y8" s="29" t="s">
        <v>25</v>
      </c>
      <c r="Z8" s="29" t="s">
        <v>25</v>
      </c>
      <c r="AA8" s="29" t="s">
        <v>25</v>
      </c>
      <c r="AB8" s="29" t="s">
        <v>25</v>
      </c>
      <c r="AC8" s="29" t="s">
        <v>25</v>
      </c>
      <c r="AD8" s="29" t="s">
        <v>25</v>
      </c>
      <c r="AE8" s="29" t="s">
        <v>25</v>
      </c>
      <c r="AF8" s="29" t="s">
        <v>25</v>
      </c>
      <c r="AG8" s="29" t="s">
        <v>25</v>
      </c>
      <c r="AH8" s="29" t="s">
        <v>25</v>
      </c>
      <c r="AI8" s="32" t="s">
        <v>25</v>
      </c>
      <c r="AJ8" s="27"/>
      <c r="AK8" s="23" t="s">
        <v>26</v>
      </c>
      <c r="AL8" s="28"/>
      <c r="AM8" s="28"/>
      <c r="AO8" s="23"/>
    </row>
    <row r="9" spans="2:41" ht="47.45" thickBot="1" x14ac:dyDescent="0.35">
      <c r="B9" s="52" t="s">
        <v>56</v>
      </c>
      <c r="C9" s="53"/>
      <c r="D9" s="53"/>
      <c r="E9" s="54" t="s">
        <v>53</v>
      </c>
      <c r="F9" s="47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32"/>
      <c r="AJ9" s="27"/>
      <c r="AK9" s="23"/>
      <c r="AL9" s="28"/>
      <c r="AM9" s="28"/>
      <c r="AO9" s="23"/>
    </row>
    <row r="10" spans="2:41" ht="15" customHeight="1" x14ac:dyDescent="0.3">
      <c r="B10" s="50">
        <v>1</v>
      </c>
      <c r="C10" s="46" t="str">
        <f>CONCATENATE(D10," - ",B10)</f>
        <v>VA - 1</v>
      </c>
      <c r="D10" s="51" t="s">
        <v>12</v>
      </c>
      <c r="E10" s="46" t="s">
        <v>55</v>
      </c>
      <c r="F10" s="26">
        <v>1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34"/>
      <c r="AJ10" s="7"/>
      <c r="AK10" s="23"/>
      <c r="AL10" s="28"/>
      <c r="AM10" s="28"/>
      <c r="AN10" s="28"/>
      <c r="AO10" s="23"/>
    </row>
    <row r="11" spans="2:41" ht="15" customHeight="1" x14ac:dyDescent="0.3">
      <c r="B11" s="33">
        <v>2</v>
      </c>
      <c r="C11" s="30" t="str">
        <f t="shared" ref="C11:C111" si="0">CONCATENATE(D11," - ",B11)</f>
        <v>NVA - 2</v>
      </c>
      <c r="D11" s="25" t="s">
        <v>16</v>
      </c>
      <c r="E11" s="46" t="s">
        <v>55</v>
      </c>
      <c r="F11" s="26">
        <v>2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34"/>
      <c r="AJ11" s="7"/>
      <c r="AL11" s="17"/>
      <c r="AM11" s="17"/>
    </row>
    <row r="12" spans="2:41" ht="15" customHeight="1" x14ac:dyDescent="0.3">
      <c r="B12" s="33">
        <v>3</v>
      </c>
      <c r="C12" s="30" t="str">
        <f t="shared" si="0"/>
        <v>Waste/Walk - 3</v>
      </c>
      <c r="D12" s="25" t="s">
        <v>21</v>
      </c>
      <c r="E12" s="46" t="s">
        <v>55</v>
      </c>
      <c r="F12" s="26">
        <v>3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34"/>
      <c r="AJ12" s="7"/>
    </row>
    <row r="13" spans="2:41" ht="15" customHeight="1" x14ac:dyDescent="0.3">
      <c r="B13" s="33">
        <v>4</v>
      </c>
      <c r="C13" s="30" t="str">
        <f t="shared" si="0"/>
        <v>Inspect/Test - 4</v>
      </c>
      <c r="D13" s="25" t="s">
        <v>23</v>
      </c>
      <c r="E13" s="46" t="s">
        <v>55</v>
      </c>
      <c r="F13" s="26">
        <v>4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34"/>
      <c r="AJ13" s="7"/>
    </row>
    <row r="14" spans="2:41" ht="15" customHeight="1" x14ac:dyDescent="0.25">
      <c r="B14" s="33">
        <v>5</v>
      </c>
      <c r="C14" s="30" t="str">
        <f t="shared" si="0"/>
        <v>ENVA - 5</v>
      </c>
      <c r="D14" s="25" t="s">
        <v>26</v>
      </c>
      <c r="E14" s="46" t="s">
        <v>55</v>
      </c>
      <c r="F14" s="26">
        <v>5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34"/>
      <c r="AJ14" s="7"/>
    </row>
    <row r="15" spans="2:41" ht="15" customHeight="1" x14ac:dyDescent="0.3">
      <c r="B15" s="33">
        <v>6</v>
      </c>
      <c r="C15" s="30" t="str">
        <f t="shared" si="0"/>
        <v>VA - 6</v>
      </c>
      <c r="D15" s="25" t="s">
        <v>12</v>
      </c>
      <c r="E15" s="46" t="s">
        <v>55</v>
      </c>
      <c r="F15" s="26"/>
      <c r="G15" s="26">
        <v>1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34"/>
      <c r="AJ15" s="7"/>
    </row>
    <row r="16" spans="2:41" ht="15" customHeight="1" x14ac:dyDescent="0.3">
      <c r="B16" s="33">
        <v>7</v>
      </c>
      <c r="C16" s="30" t="str">
        <f t="shared" si="0"/>
        <v>NVA - 7</v>
      </c>
      <c r="D16" s="25" t="s">
        <v>16</v>
      </c>
      <c r="E16" s="46" t="s">
        <v>55</v>
      </c>
      <c r="F16" s="26"/>
      <c r="G16" s="26">
        <v>2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34"/>
      <c r="AJ16" s="7"/>
    </row>
    <row r="17" spans="2:36" ht="15" customHeight="1" x14ac:dyDescent="0.3">
      <c r="B17" s="33">
        <v>8</v>
      </c>
      <c r="C17" s="30" t="str">
        <f t="shared" si="0"/>
        <v>Waste/Walk - 8</v>
      </c>
      <c r="D17" s="25" t="s">
        <v>21</v>
      </c>
      <c r="E17" s="46" t="s">
        <v>55</v>
      </c>
      <c r="F17" s="26"/>
      <c r="G17" s="26">
        <v>3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34"/>
      <c r="AJ17" s="7"/>
    </row>
    <row r="18" spans="2:36" ht="15" customHeight="1" x14ac:dyDescent="0.3">
      <c r="B18" s="33">
        <v>9</v>
      </c>
      <c r="C18" s="30" t="str">
        <f t="shared" si="0"/>
        <v>Inspect/Test - 9</v>
      </c>
      <c r="D18" s="25" t="s">
        <v>23</v>
      </c>
      <c r="E18" s="46" t="s">
        <v>55</v>
      </c>
      <c r="F18" s="26"/>
      <c r="G18" s="26">
        <v>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34"/>
      <c r="AJ18" s="7"/>
    </row>
    <row r="19" spans="2:36" ht="15" customHeight="1" x14ac:dyDescent="0.3">
      <c r="B19" s="33">
        <v>10</v>
      </c>
      <c r="C19" s="30" t="str">
        <f t="shared" si="0"/>
        <v>ENVA - 10</v>
      </c>
      <c r="D19" s="25" t="s">
        <v>26</v>
      </c>
      <c r="E19" s="46" t="s">
        <v>55</v>
      </c>
      <c r="F19" s="26"/>
      <c r="G19" s="26">
        <v>5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34"/>
      <c r="AJ19" s="7"/>
    </row>
    <row r="20" spans="2:36" ht="15" customHeight="1" x14ac:dyDescent="0.3">
      <c r="B20" s="33">
        <v>11</v>
      </c>
      <c r="C20" s="30" t="str">
        <f t="shared" si="0"/>
        <v>VA - 11</v>
      </c>
      <c r="D20" s="25" t="s">
        <v>12</v>
      </c>
      <c r="E20" s="46" t="s">
        <v>55</v>
      </c>
      <c r="F20" s="26"/>
      <c r="G20" s="26"/>
      <c r="H20" s="26">
        <v>1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34"/>
      <c r="AJ20" s="7"/>
    </row>
    <row r="21" spans="2:36" ht="15" customHeight="1" x14ac:dyDescent="0.3">
      <c r="B21" s="33">
        <v>12</v>
      </c>
      <c r="C21" s="30" t="str">
        <f t="shared" si="0"/>
        <v>NVA - 12</v>
      </c>
      <c r="D21" s="25" t="s">
        <v>16</v>
      </c>
      <c r="E21" s="46" t="s">
        <v>55</v>
      </c>
      <c r="F21" s="26"/>
      <c r="G21" s="26"/>
      <c r="H21" s="26">
        <v>2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34"/>
      <c r="AJ21" s="7"/>
    </row>
    <row r="22" spans="2:36" ht="15" customHeight="1" x14ac:dyDescent="0.3">
      <c r="B22" s="33">
        <v>13</v>
      </c>
      <c r="C22" s="30" t="str">
        <f t="shared" si="0"/>
        <v>Waste/Walk - 13</v>
      </c>
      <c r="D22" s="25" t="s">
        <v>21</v>
      </c>
      <c r="E22" s="46" t="s">
        <v>55</v>
      </c>
      <c r="F22" s="26"/>
      <c r="G22" s="26"/>
      <c r="H22" s="26">
        <v>3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34"/>
      <c r="AJ22" s="7"/>
    </row>
    <row r="23" spans="2:36" ht="15" customHeight="1" x14ac:dyDescent="0.3">
      <c r="B23" s="33">
        <v>14</v>
      </c>
      <c r="C23" s="30" t="str">
        <f t="shared" si="0"/>
        <v>Inspect/Test - 14</v>
      </c>
      <c r="D23" s="25" t="s">
        <v>23</v>
      </c>
      <c r="E23" s="46" t="s">
        <v>55</v>
      </c>
      <c r="F23" s="26"/>
      <c r="G23" s="26"/>
      <c r="H23" s="26">
        <v>4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34"/>
      <c r="AJ23" s="7"/>
    </row>
    <row r="24" spans="2:36" ht="15" customHeight="1" x14ac:dyDescent="0.3">
      <c r="B24" s="33">
        <v>15</v>
      </c>
      <c r="C24" s="30" t="str">
        <f t="shared" si="0"/>
        <v>ENVA - 15</v>
      </c>
      <c r="D24" s="25" t="s">
        <v>26</v>
      </c>
      <c r="E24" s="46" t="s">
        <v>55</v>
      </c>
      <c r="F24" s="26"/>
      <c r="G24" s="26"/>
      <c r="H24" s="26">
        <v>5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34"/>
      <c r="AJ24" s="7"/>
    </row>
    <row r="25" spans="2:36" ht="15" customHeight="1" x14ac:dyDescent="0.3">
      <c r="B25" s="33">
        <v>16</v>
      </c>
      <c r="C25" s="30" t="str">
        <f t="shared" si="0"/>
        <v>VA - 16</v>
      </c>
      <c r="D25" s="25" t="s">
        <v>12</v>
      </c>
      <c r="E25" s="46" t="s">
        <v>55</v>
      </c>
      <c r="F25" s="26"/>
      <c r="G25" s="26"/>
      <c r="H25" s="26"/>
      <c r="I25" s="26">
        <v>1</v>
      </c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34"/>
      <c r="AJ25" s="7"/>
    </row>
    <row r="26" spans="2:36" ht="15" customHeight="1" x14ac:dyDescent="0.3">
      <c r="B26" s="33">
        <v>17</v>
      </c>
      <c r="C26" s="30" t="str">
        <f t="shared" si="0"/>
        <v>NVA - 17</v>
      </c>
      <c r="D26" s="25" t="s">
        <v>16</v>
      </c>
      <c r="E26" s="46" t="s">
        <v>55</v>
      </c>
      <c r="F26" s="26"/>
      <c r="G26" s="26"/>
      <c r="H26" s="26"/>
      <c r="I26" s="26">
        <v>2</v>
      </c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34"/>
      <c r="AJ26" s="7"/>
    </row>
    <row r="27" spans="2:36" ht="15" customHeight="1" x14ac:dyDescent="0.3">
      <c r="B27" s="33">
        <v>18</v>
      </c>
      <c r="C27" s="30" t="str">
        <f t="shared" si="0"/>
        <v>Waste/Walk - 18</v>
      </c>
      <c r="D27" s="25" t="s">
        <v>21</v>
      </c>
      <c r="E27" s="46" t="s">
        <v>55</v>
      </c>
      <c r="F27" s="26"/>
      <c r="G27" s="26"/>
      <c r="H27" s="26"/>
      <c r="I27" s="26">
        <v>3</v>
      </c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34"/>
      <c r="AJ27" s="7"/>
    </row>
    <row r="28" spans="2:36" ht="15" customHeight="1" x14ac:dyDescent="0.3">
      <c r="B28" s="33">
        <v>19</v>
      </c>
      <c r="C28" s="30" t="str">
        <f t="shared" si="0"/>
        <v>Inspect/Test - 19</v>
      </c>
      <c r="D28" s="25" t="s">
        <v>23</v>
      </c>
      <c r="E28" s="46" t="s">
        <v>55</v>
      </c>
      <c r="F28" s="26"/>
      <c r="G28" s="26"/>
      <c r="H28" s="26"/>
      <c r="I28" s="26">
        <v>4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34"/>
      <c r="AJ28" s="7"/>
    </row>
    <row r="29" spans="2:36" ht="15" customHeight="1" x14ac:dyDescent="0.3">
      <c r="B29" s="33">
        <v>20</v>
      </c>
      <c r="C29" s="30" t="str">
        <f t="shared" si="0"/>
        <v>ENVA - 20</v>
      </c>
      <c r="D29" s="25" t="s">
        <v>26</v>
      </c>
      <c r="E29" s="46" t="s">
        <v>55</v>
      </c>
      <c r="F29" s="26"/>
      <c r="G29" s="26"/>
      <c r="H29" s="26"/>
      <c r="I29" s="26">
        <v>5</v>
      </c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34"/>
      <c r="AJ29" s="7"/>
    </row>
    <row r="30" spans="2:36" ht="15" customHeight="1" x14ac:dyDescent="0.3">
      <c r="B30" s="33">
        <v>21</v>
      </c>
      <c r="C30" s="30" t="str">
        <f t="shared" si="0"/>
        <v>VA - 21</v>
      </c>
      <c r="D30" s="25" t="s">
        <v>12</v>
      </c>
      <c r="E30" s="46" t="s">
        <v>55</v>
      </c>
      <c r="F30" s="26"/>
      <c r="G30" s="26"/>
      <c r="H30" s="26"/>
      <c r="I30" s="26"/>
      <c r="J30" s="26">
        <v>1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34"/>
      <c r="AJ30" s="7"/>
    </row>
    <row r="31" spans="2:36" ht="15" customHeight="1" x14ac:dyDescent="0.3">
      <c r="B31" s="33">
        <v>22</v>
      </c>
      <c r="C31" s="30" t="str">
        <f t="shared" si="0"/>
        <v>NVA - 22</v>
      </c>
      <c r="D31" s="25" t="s">
        <v>16</v>
      </c>
      <c r="E31" s="46" t="s">
        <v>55</v>
      </c>
      <c r="F31" s="26"/>
      <c r="G31" s="26"/>
      <c r="H31" s="26"/>
      <c r="I31" s="26"/>
      <c r="J31" s="26">
        <v>2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34"/>
      <c r="AJ31" s="7"/>
    </row>
    <row r="32" spans="2:36" ht="15" customHeight="1" x14ac:dyDescent="0.3">
      <c r="B32" s="33">
        <v>23</v>
      </c>
      <c r="C32" s="30" t="str">
        <f t="shared" si="0"/>
        <v>Waste/Walk - 23</v>
      </c>
      <c r="D32" s="25" t="s">
        <v>21</v>
      </c>
      <c r="E32" s="46" t="s">
        <v>55</v>
      </c>
      <c r="F32" s="26"/>
      <c r="G32" s="26"/>
      <c r="H32" s="26"/>
      <c r="I32" s="26"/>
      <c r="J32" s="26">
        <v>3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34"/>
      <c r="AJ32" s="7"/>
    </row>
    <row r="33" spans="2:36" ht="15" customHeight="1" x14ac:dyDescent="0.3">
      <c r="B33" s="33">
        <v>24</v>
      </c>
      <c r="C33" s="30" t="str">
        <f t="shared" si="0"/>
        <v>Inspect/Test - 24</v>
      </c>
      <c r="D33" s="25" t="s">
        <v>23</v>
      </c>
      <c r="E33" s="46" t="s">
        <v>55</v>
      </c>
      <c r="F33" s="26"/>
      <c r="G33" s="26"/>
      <c r="H33" s="26"/>
      <c r="I33" s="26"/>
      <c r="J33" s="26">
        <v>4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34"/>
      <c r="AJ33" s="7"/>
    </row>
    <row r="34" spans="2:36" ht="15" customHeight="1" x14ac:dyDescent="0.3">
      <c r="B34" s="33">
        <v>25</v>
      </c>
      <c r="C34" s="30" t="str">
        <f t="shared" si="0"/>
        <v>ENVA - 25</v>
      </c>
      <c r="D34" s="25" t="s">
        <v>26</v>
      </c>
      <c r="E34" s="46" t="s">
        <v>55</v>
      </c>
      <c r="F34" s="26"/>
      <c r="G34" s="26"/>
      <c r="H34" s="26"/>
      <c r="I34" s="26"/>
      <c r="J34" s="26">
        <v>5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34"/>
      <c r="AJ34" s="7"/>
    </row>
    <row r="35" spans="2:36" ht="15" customHeight="1" x14ac:dyDescent="0.3">
      <c r="B35" s="33">
        <v>26</v>
      </c>
      <c r="C35" s="30" t="str">
        <f t="shared" si="0"/>
        <v>VA - 26</v>
      </c>
      <c r="D35" s="25" t="s">
        <v>12</v>
      </c>
      <c r="E35" s="46" t="s">
        <v>55</v>
      </c>
      <c r="F35" s="26"/>
      <c r="G35" s="26"/>
      <c r="H35" s="26"/>
      <c r="I35" s="26"/>
      <c r="J35" s="26"/>
      <c r="K35" s="26">
        <v>1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34"/>
      <c r="AJ35" s="7"/>
    </row>
    <row r="36" spans="2:36" ht="15" customHeight="1" x14ac:dyDescent="0.3">
      <c r="B36" s="33">
        <v>27</v>
      </c>
      <c r="C36" s="30" t="str">
        <f t="shared" si="0"/>
        <v>NVA - 27</v>
      </c>
      <c r="D36" s="25" t="s">
        <v>16</v>
      </c>
      <c r="E36" s="46" t="s">
        <v>55</v>
      </c>
      <c r="F36" s="26"/>
      <c r="G36" s="26"/>
      <c r="H36" s="26"/>
      <c r="I36" s="26"/>
      <c r="J36" s="26"/>
      <c r="K36" s="26">
        <v>2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34"/>
      <c r="AJ36" s="7"/>
    </row>
    <row r="37" spans="2:36" ht="15" customHeight="1" x14ac:dyDescent="0.3">
      <c r="B37" s="33">
        <v>28</v>
      </c>
      <c r="C37" s="30" t="str">
        <f t="shared" si="0"/>
        <v>Waste/Walk - 28</v>
      </c>
      <c r="D37" s="25" t="s">
        <v>21</v>
      </c>
      <c r="E37" s="46" t="s">
        <v>55</v>
      </c>
      <c r="F37" s="26"/>
      <c r="G37" s="26"/>
      <c r="H37" s="26"/>
      <c r="I37" s="26"/>
      <c r="J37" s="26"/>
      <c r="K37" s="26">
        <v>3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34"/>
      <c r="AJ37" s="7"/>
    </row>
    <row r="38" spans="2:36" ht="15" customHeight="1" x14ac:dyDescent="0.3">
      <c r="B38" s="33">
        <v>29</v>
      </c>
      <c r="C38" s="30" t="str">
        <f t="shared" si="0"/>
        <v>Inspect/Test - 29</v>
      </c>
      <c r="D38" s="25" t="s">
        <v>23</v>
      </c>
      <c r="E38" s="46" t="s">
        <v>55</v>
      </c>
      <c r="F38" s="26"/>
      <c r="G38" s="26"/>
      <c r="H38" s="26"/>
      <c r="I38" s="26"/>
      <c r="J38" s="26"/>
      <c r="K38" s="26">
        <v>4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34"/>
      <c r="AJ38" s="7"/>
    </row>
    <row r="39" spans="2:36" ht="15" customHeight="1" x14ac:dyDescent="0.3">
      <c r="B39" s="33">
        <v>30</v>
      </c>
      <c r="C39" s="30" t="str">
        <f t="shared" si="0"/>
        <v>ENVA - 30</v>
      </c>
      <c r="D39" s="25" t="s">
        <v>26</v>
      </c>
      <c r="E39" s="46" t="s">
        <v>55</v>
      </c>
      <c r="F39" s="26"/>
      <c r="G39" s="26"/>
      <c r="H39" s="26"/>
      <c r="I39" s="26"/>
      <c r="J39" s="26"/>
      <c r="K39" s="26">
        <v>5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34"/>
      <c r="AJ39" s="7"/>
    </row>
    <row r="40" spans="2:36" ht="15" customHeight="1" x14ac:dyDescent="0.3">
      <c r="B40" s="33">
        <v>31</v>
      </c>
      <c r="C40" s="30" t="str">
        <f t="shared" si="0"/>
        <v>VA - 31</v>
      </c>
      <c r="D40" s="25" t="s">
        <v>12</v>
      </c>
      <c r="E40" s="46" t="s">
        <v>55</v>
      </c>
      <c r="F40" s="26"/>
      <c r="G40" s="26"/>
      <c r="H40" s="26"/>
      <c r="I40" s="26"/>
      <c r="J40" s="26"/>
      <c r="K40" s="26"/>
      <c r="L40" s="26">
        <v>1</v>
      </c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34"/>
      <c r="AJ40" s="7"/>
    </row>
    <row r="41" spans="2:36" ht="15" customHeight="1" x14ac:dyDescent="0.3">
      <c r="B41" s="33">
        <v>32</v>
      </c>
      <c r="C41" s="30" t="str">
        <f t="shared" si="0"/>
        <v>NVA - 32</v>
      </c>
      <c r="D41" s="25" t="s">
        <v>16</v>
      </c>
      <c r="E41" s="46" t="s">
        <v>55</v>
      </c>
      <c r="F41" s="26"/>
      <c r="G41" s="26"/>
      <c r="H41" s="26"/>
      <c r="I41" s="26"/>
      <c r="J41" s="26"/>
      <c r="K41" s="26"/>
      <c r="L41" s="26">
        <v>2</v>
      </c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34"/>
      <c r="AJ41" s="7"/>
    </row>
    <row r="42" spans="2:36" ht="15" customHeight="1" x14ac:dyDescent="0.25">
      <c r="B42" s="33">
        <v>33</v>
      </c>
      <c r="C42" s="30" t="str">
        <f t="shared" si="0"/>
        <v>Waste/Walk - 33</v>
      </c>
      <c r="D42" s="25" t="s">
        <v>21</v>
      </c>
      <c r="E42" s="46" t="s">
        <v>55</v>
      </c>
      <c r="F42" s="26"/>
      <c r="G42" s="26"/>
      <c r="H42" s="26"/>
      <c r="I42" s="26"/>
      <c r="J42" s="26"/>
      <c r="K42" s="26"/>
      <c r="L42" s="26">
        <v>3</v>
      </c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34"/>
      <c r="AJ42" s="7"/>
    </row>
    <row r="43" spans="2:36" ht="15" customHeight="1" x14ac:dyDescent="0.25">
      <c r="B43" s="33">
        <v>34</v>
      </c>
      <c r="C43" s="30" t="str">
        <f t="shared" si="0"/>
        <v>Inspect/Test - 34</v>
      </c>
      <c r="D43" s="25" t="s">
        <v>23</v>
      </c>
      <c r="E43" s="46" t="s">
        <v>55</v>
      </c>
      <c r="F43" s="26"/>
      <c r="G43" s="26"/>
      <c r="H43" s="26"/>
      <c r="I43" s="26"/>
      <c r="J43" s="26"/>
      <c r="K43" s="26"/>
      <c r="L43" s="26">
        <v>4</v>
      </c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34"/>
      <c r="AJ43" s="7"/>
    </row>
    <row r="44" spans="2:36" ht="15" customHeight="1" x14ac:dyDescent="0.25">
      <c r="B44" s="33">
        <v>35</v>
      </c>
      <c r="C44" s="30" t="str">
        <f t="shared" si="0"/>
        <v>ENVA - 35</v>
      </c>
      <c r="D44" s="25" t="s">
        <v>26</v>
      </c>
      <c r="E44" s="46" t="s">
        <v>55</v>
      </c>
      <c r="F44" s="26"/>
      <c r="G44" s="26"/>
      <c r="H44" s="26"/>
      <c r="I44" s="26"/>
      <c r="J44" s="26"/>
      <c r="K44" s="26"/>
      <c r="L44" s="26">
        <v>5</v>
      </c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34"/>
      <c r="AJ44" s="7"/>
    </row>
    <row r="45" spans="2:36" ht="15" customHeight="1" x14ac:dyDescent="0.25">
      <c r="B45" s="33">
        <v>36</v>
      </c>
      <c r="C45" s="30" t="str">
        <f t="shared" si="0"/>
        <v>VA - 36</v>
      </c>
      <c r="D45" s="25" t="s">
        <v>12</v>
      </c>
      <c r="E45" s="46" t="s">
        <v>55</v>
      </c>
      <c r="F45" s="26"/>
      <c r="G45" s="26"/>
      <c r="H45" s="26"/>
      <c r="I45" s="26"/>
      <c r="J45" s="26"/>
      <c r="K45" s="26"/>
      <c r="L45" s="26"/>
      <c r="M45" s="26">
        <v>1</v>
      </c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34"/>
      <c r="AJ45" s="7"/>
    </row>
    <row r="46" spans="2:36" ht="15" customHeight="1" x14ac:dyDescent="0.25">
      <c r="B46" s="33">
        <v>37</v>
      </c>
      <c r="C46" s="30" t="str">
        <f t="shared" si="0"/>
        <v>ENVA - 37</v>
      </c>
      <c r="D46" s="25" t="s">
        <v>26</v>
      </c>
      <c r="E46" s="46" t="s">
        <v>55</v>
      </c>
      <c r="F46" s="26"/>
      <c r="G46" s="26"/>
      <c r="H46" s="26"/>
      <c r="I46" s="26"/>
      <c r="J46" s="26"/>
      <c r="K46" s="26"/>
      <c r="L46" s="26"/>
      <c r="M46" s="26">
        <v>2</v>
      </c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34"/>
      <c r="AJ46" s="7"/>
    </row>
    <row r="47" spans="2:36" ht="15" customHeight="1" x14ac:dyDescent="0.25">
      <c r="B47" s="33">
        <v>38</v>
      </c>
      <c r="C47" s="30" t="str">
        <f t="shared" si="0"/>
        <v>VA - 38</v>
      </c>
      <c r="D47" s="25" t="s">
        <v>12</v>
      </c>
      <c r="E47" s="46" t="s">
        <v>55</v>
      </c>
      <c r="F47" s="26"/>
      <c r="G47" s="26"/>
      <c r="H47" s="26"/>
      <c r="I47" s="26"/>
      <c r="J47" s="26"/>
      <c r="K47" s="26"/>
      <c r="L47" s="26"/>
      <c r="M47" s="26">
        <v>3</v>
      </c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34"/>
      <c r="AJ47" s="7"/>
    </row>
    <row r="48" spans="2:36" ht="15" customHeight="1" x14ac:dyDescent="0.25">
      <c r="B48" s="33">
        <v>39</v>
      </c>
      <c r="C48" s="30" t="str">
        <f t="shared" si="0"/>
        <v>NVA - 39</v>
      </c>
      <c r="D48" s="25" t="s">
        <v>16</v>
      </c>
      <c r="E48" s="46" t="s">
        <v>55</v>
      </c>
      <c r="F48" s="26"/>
      <c r="G48" s="26"/>
      <c r="H48" s="26"/>
      <c r="I48" s="26"/>
      <c r="J48" s="26"/>
      <c r="K48" s="26"/>
      <c r="L48" s="26"/>
      <c r="M48" s="26">
        <v>4</v>
      </c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34"/>
      <c r="AJ48" s="7"/>
    </row>
    <row r="49" spans="2:41" ht="15" customHeight="1" x14ac:dyDescent="0.25">
      <c r="B49" s="33">
        <v>40</v>
      </c>
      <c r="C49" s="30" t="str">
        <f t="shared" si="0"/>
        <v>Waste/Walk - 40</v>
      </c>
      <c r="D49" s="25" t="s">
        <v>21</v>
      </c>
      <c r="E49" s="46" t="s">
        <v>55</v>
      </c>
      <c r="F49" s="26"/>
      <c r="G49" s="26"/>
      <c r="H49" s="26"/>
      <c r="I49" s="26"/>
      <c r="J49" s="26"/>
      <c r="K49" s="26"/>
      <c r="L49" s="26"/>
      <c r="M49" s="26">
        <v>5</v>
      </c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34"/>
      <c r="AJ49" s="7"/>
    </row>
    <row r="50" spans="2:41" ht="15" customHeight="1" x14ac:dyDescent="0.25">
      <c r="B50" s="33">
        <v>41</v>
      </c>
      <c r="C50" s="30" t="str">
        <f t="shared" si="0"/>
        <v>Inspect/Test - 41</v>
      </c>
      <c r="D50" s="25" t="s">
        <v>23</v>
      </c>
      <c r="E50" s="46" t="s">
        <v>55</v>
      </c>
      <c r="F50" s="26"/>
      <c r="G50" s="26"/>
      <c r="H50" s="26"/>
      <c r="I50" s="26"/>
      <c r="J50" s="26"/>
      <c r="K50" s="26"/>
      <c r="L50" s="26"/>
      <c r="M50" s="26"/>
      <c r="N50" s="26">
        <v>1</v>
      </c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34"/>
      <c r="AJ50" s="7"/>
    </row>
    <row r="51" spans="2:41" ht="15" customHeight="1" x14ac:dyDescent="0.25">
      <c r="B51" s="33">
        <v>42</v>
      </c>
      <c r="C51" s="30" t="str">
        <f>CONCATENATE(D51," - ",B51)</f>
        <v>VA - 42</v>
      </c>
      <c r="D51" s="25" t="s">
        <v>12</v>
      </c>
      <c r="E51" s="46" t="s">
        <v>55</v>
      </c>
      <c r="F51" s="26"/>
      <c r="G51" s="26"/>
      <c r="H51" s="26"/>
      <c r="I51" s="26"/>
      <c r="J51" s="26"/>
      <c r="K51" s="26"/>
      <c r="L51" s="26"/>
      <c r="M51" s="26"/>
      <c r="N51" s="26">
        <v>2</v>
      </c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34"/>
      <c r="AJ51" s="7"/>
      <c r="AK51" s="23"/>
      <c r="AL51" s="28"/>
      <c r="AM51" s="28"/>
      <c r="AN51" s="28"/>
      <c r="AO51" s="23"/>
    </row>
    <row r="52" spans="2:41" ht="15" customHeight="1" x14ac:dyDescent="0.25">
      <c r="B52" s="33">
        <v>43</v>
      </c>
      <c r="C52" s="30" t="str">
        <f t="shared" ref="C52:C91" si="1">CONCATENATE(D52," - ",B52)</f>
        <v>NVA - 43</v>
      </c>
      <c r="D52" s="25" t="s">
        <v>16</v>
      </c>
      <c r="E52" s="46" t="s">
        <v>55</v>
      </c>
      <c r="F52" s="26"/>
      <c r="G52" s="26"/>
      <c r="H52" s="26"/>
      <c r="I52" s="26"/>
      <c r="J52" s="26"/>
      <c r="K52" s="26"/>
      <c r="L52" s="26"/>
      <c r="M52" s="26"/>
      <c r="N52" s="26">
        <v>3</v>
      </c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34"/>
      <c r="AJ52" s="7"/>
      <c r="AL52" s="17"/>
      <c r="AM52" s="17"/>
    </row>
    <row r="53" spans="2:41" ht="15" customHeight="1" x14ac:dyDescent="0.25">
      <c r="B53" s="33">
        <v>44</v>
      </c>
      <c r="C53" s="30" t="str">
        <f t="shared" si="1"/>
        <v>Waste/Walk - 44</v>
      </c>
      <c r="D53" s="25" t="s">
        <v>21</v>
      </c>
      <c r="E53" s="46" t="s">
        <v>55</v>
      </c>
      <c r="F53" s="26"/>
      <c r="G53" s="26"/>
      <c r="H53" s="26"/>
      <c r="I53" s="26"/>
      <c r="J53" s="26"/>
      <c r="K53" s="26"/>
      <c r="L53" s="26"/>
      <c r="M53" s="26"/>
      <c r="N53" s="26">
        <v>4</v>
      </c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34"/>
      <c r="AJ53" s="7"/>
    </row>
    <row r="54" spans="2:41" ht="15" customHeight="1" x14ac:dyDescent="0.25">
      <c r="B54" s="33">
        <v>45</v>
      </c>
      <c r="C54" s="30" t="str">
        <f t="shared" si="1"/>
        <v>Inspect/Test - 45</v>
      </c>
      <c r="D54" s="25" t="s">
        <v>23</v>
      </c>
      <c r="E54" s="46" t="s">
        <v>55</v>
      </c>
      <c r="F54" s="26"/>
      <c r="G54" s="26"/>
      <c r="H54" s="26"/>
      <c r="I54" s="26"/>
      <c r="J54" s="26"/>
      <c r="K54" s="26"/>
      <c r="L54" s="26"/>
      <c r="M54" s="26"/>
      <c r="N54" s="26">
        <v>5</v>
      </c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34"/>
      <c r="AJ54" s="7"/>
    </row>
    <row r="55" spans="2:41" ht="15" customHeight="1" x14ac:dyDescent="0.25">
      <c r="B55" s="33">
        <v>46</v>
      </c>
      <c r="C55" s="30" t="str">
        <f t="shared" si="1"/>
        <v>ENVA - 46</v>
      </c>
      <c r="D55" s="25" t="s">
        <v>26</v>
      </c>
      <c r="E55" s="46" t="s">
        <v>55</v>
      </c>
      <c r="F55" s="26"/>
      <c r="G55" s="26"/>
      <c r="H55" s="26"/>
      <c r="I55" s="26"/>
      <c r="J55" s="26"/>
      <c r="K55" s="26"/>
      <c r="L55" s="26"/>
      <c r="M55" s="26"/>
      <c r="N55" s="26"/>
      <c r="O55" s="26">
        <v>1</v>
      </c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34"/>
      <c r="AJ55" s="7"/>
    </row>
    <row r="56" spans="2:41" ht="15" customHeight="1" x14ac:dyDescent="0.25">
      <c r="B56" s="33">
        <v>47</v>
      </c>
      <c r="C56" s="30" t="str">
        <f t="shared" si="1"/>
        <v>VA - 47</v>
      </c>
      <c r="D56" s="25" t="s">
        <v>12</v>
      </c>
      <c r="E56" s="46" t="s">
        <v>55</v>
      </c>
      <c r="F56" s="26"/>
      <c r="G56" s="26"/>
      <c r="H56" s="26"/>
      <c r="I56" s="26"/>
      <c r="J56" s="26"/>
      <c r="K56" s="26"/>
      <c r="L56" s="26"/>
      <c r="M56" s="26"/>
      <c r="N56" s="26"/>
      <c r="O56" s="26">
        <v>2</v>
      </c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34"/>
      <c r="AJ56" s="7"/>
    </row>
    <row r="57" spans="2:41" ht="15" customHeight="1" x14ac:dyDescent="0.25">
      <c r="B57" s="33">
        <v>48</v>
      </c>
      <c r="C57" s="30" t="str">
        <f t="shared" si="1"/>
        <v>NVA - 48</v>
      </c>
      <c r="D57" s="25" t="s">
        <v>16</v>
      </c>
      <c r="E57" s="46" t="s">
        <v>55</v>
      </c>
      <c r="F57" s="26"/>
      <c r="G57" s="26"/>
      <c r="H57" s="26"/>
      <c r="I57" s="26"/>
      <c r="J57" s="26"/>
      <c r="K57" s="26"/>
      <c r="L57" s="26"/>
      <c r="M57" s="26"/>
      <c r="N57" s="26"/>
      <c r="O57" s="26">
        <v>3</v>
      </c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34"/>
      <c r="AJ57" s="7"/>
    </row>
    <row r="58" spans="2:41" ht="15" customHeight="1" x14ac:dyDescent="0.25">
      <c r="B58" s="33">
        <v>49</v>
      </c>
      <c r="C58" s="30" t="str">
        <f t="shared" si="1"/>
        <v>Waste/Walk - 49</v>
      </c>
      <c r="D58" s="25" t="s">
        <v>21</v>
      </c>
      <c r="E58" s="46" t="s">
        <v>55</v>
      </c>
      <c r="F58" s="26"/>
      <c r="G58" s="26"/>
      <c r="H58" s="26"/>
      <c r="I58" s="26"/>
      <c r="J58" s="26"/>
      <c r="K58" s="26"/>
      <c r="L58" s="26"/>
      <c r="M58" s="26"/>
      <c r="N58" s="26"/>
      <c r="O58" s="26">
        <v>4</v>
      </c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34"/>
      <c r="AJ58" s="7"/>
    </row>
    <row r="59" spans="2:41" ht="15" customHeight="1" x14ac:dyDescent="0.25">
      <c r="B59" s="33">
        <v>50</v>
      </c>
      <c r="C59" s="30" t="str">
        <f t="shared" si="1"/>
        <v>Inspect/Test - 50</v>
      </c>
      <c r="D59" s="25" t="s">
        <v>23</v>
      </c>
      <c r="E59" s="46" t="s">
        <v>55</v>
      </c>
      <c r="F59" s="26"/>
      <c r="G59" s="26"/>
      <c r="H59" s="26"/>
      <c r="I59" s="26"/>
      <c r="J59" s="26"/>
      <c r="K59" s="26"/>
      <c r="L59" s="26"/>
      <c r="M59" s="26"/>
      <c r="N59" s="26"/>
      <c r="O59" s="26">
        <v>5</v>
      </c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34"/>
      <c r="AJ59" s="7"/>
    </row>
    <row r="60" spans="2:41" ht="15" customHeight="1" x14ac:dyDescent="0.25">
      <c r="B60" s="33">
        <v>51</v>
      </c>
      <c r="C60" s="30" t="str">
        <f t="shared" si="1"/>
        <v>ENVA - 51</v>
      </c>
      <c r="D60" s="25" t="s">
        <v>26</v>
      </c>
      <c r="E60" s="46" t="s">
        <v>55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>
        <v>1</v>
      </c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34"/>
      <c r="AJ60" s="7"/>
    </row>
    <row r="61" spans="2:41" ht="15" customHeight="1" x14ac:dyDescent="0.25">
      <c r="B61" s="33">
        <v>52</v>
      </c>
      <c r="C61" s="30" t="str">
        <f t="shared" si="1"/>
        <v>VA - 52</v>
      </c>
      <c r="D61" s="25" t="s">
        <v>12</v>
      </c>
      <c r="E61" s="46" t="s">
        <v>55</v>
      </c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>
        <v>2</v>
      </c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34"/>
      <c r="AJ61" s="7"/>
    </row>
    <row r="62" spans="2:41" ht="15" customHeight="1" x14ac:dyDescent="0.25">
      <c r="B62" s="33">
        <v>53</v>
      </c>
      <c r="C62" s="30" t="str">
        <f t="shared" si="1"/>
        <v>NVA - 53</v>
      </c>
      <c r="D62" s="25" t="s">
        <v>16</v>
      </c>
      <c r="E62" s="46" t="s">
        <v>55</v>
      </c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>
        <v>3</v>
      </c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34"/>
      <c r="AJ62" s="7"/>
    </row>
    <row r="63" spans="2:41" ht="15" customHeight="1" x14ac:dyDescent="0.25">
      <c r="B63" s="33">
        <v>54</v>
      </c>
      <c r="C63" s="30" t="str">
        <f t="shared" si="1"/>
        <v>Waste/Walk - 54</v>
      </c>
      <c r="D63" s="25" t="s">
        <v>21</v>
      </c>
      <c r="E63" s="46" t="s">
        <v>55</v>
      </c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>
        <v>4</v>
      </c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34"/>
      <c r="AJ63" s="7"/>
    </row>
    <row r="64" spans="2:41" ht="15" customHeight="1" x14ac:dyDescent="0.25">
      <c r="B64" s="33">
        <v>55</v>
      </c>
      <c r="C64" s="30" t="str">
        <f t="shared" si="1"/>
        <v>Inspect/Test - 55</v>
      </c>
      <c r="D64" s="25" t="s">
        <v>23</v>
      </c>
      <c r="E64" s="46" t="s">
        <v>55</v>
      </c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>
        <v>5</v>
      </c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34"/>
      <c r="AJ64" s="7"/>
    </row>
    <row r="65" spans="2:36" ht="15" customHeight="1" x14ac:dyDescent="0.25">
      <c r="B65" s="33">
        <v>56</v>
      </c>
      <c r="C65" s="30" t="str">
        <f t="shared" si="1"/>
        <v>ENVA - 56</v>
      </c>
      <c r="D65" s="25" t="s">
        <v>26</v>
      </c>
      <c r="E65" s="46" t="s">
        <v>55</v>
      </c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34"/>
      <c r="AJ65" s="7"/>
    </row>
    <row r="66" spans="2:36" ht="15" customHeight="1" x14ac:dyDescent="0.25">
      <c r="B66" s="33">
        <v>57</v>
      </c>
      <c r="C66" s="30" t="str">
        <f t="shared" si="1"/>
        <v>VA - 57</v>
      </c>
      <c r="D66" s="25" t="s">
        <v>12</v>
      </c>
      <c r="E66" s="46" t="s">
        <v>55</v>
      </c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34"/>
      <c r="AJ66" s="7"/>
    </row>
    <row r="67" spans="2:36" ht="15" customHeight="1" x14ac:dyDescent="0.25">
      <c r="B67" s="33">
        <v>58</v>
      </c>
      <c r="C67" s="30" t="str">
        <f t="shared" si="1"/>
        <v>NVA - 58</v>
      </c>
      <c r="D67" s="25" t="s">
        <v>16</v>
      </c>
      <c r="E67" s="46" t="s">
        <v>55</v>
      </c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34"/>
      <c r="AJ67" s="7"/>
    </row>
    <row r="68" spans="2:36" ht="15" customHeight="1" x14ac:dyDescent="0.25">
      <c r="B68" s="33">
        <v>59</v>
      </c>
      <c r="C68" s="30" t="str">
        <f t="shared" si="1"/>
        <v>Waste/Walk - 59</v>
      </c>
      <c r="D68" s="25" t="s">
        <v>21</v>
      </c>
      <c r="E68" s="46" t="s">
        <v>55</v>
      </c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34"/>
      <c r="AJ68" s="7"/>
    </row>
    <row r="69" spans="2:36" ht="15" customHeight="1" x14ac:dyDescent="0.25">
      <c r="B69" s="33">
        <v>60</v>
      </c>
      <c r="C69" s="30" t="str">
        <f t="shared" si="1"/>
        <v>Inspect/Test - 60</v>
      </c>
      <c r="D69" s="25" t="s">
        <v>23</v>
      </c>
      <c r="E69" s="46" t="s">
        <v>55</v>
      </c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34"/>
      <c r="AJ69" s="7"/>
    </row>
    <row r="70" spans="2:36" ht="15" customHeight="1" x14ac:dyDescent="0.25">
      <c r="B70" s="33">
        <v>61</v>
      </c>
      <c r="C70" s="30" t="str">
        <f t="shared" si="1"/>
        <v>ENVA - 61</v>
      </c>
      <c r="D70" s="25" t="s">
        <v>26</v>
      </c>
      <c r="E70" s="46" t="s">
        <v>55</v>
      </c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34"/>
      <c r="AJ70" s="7"/>
    </row>
    <row r="71" spans="2:36" ht="15" customHeight="1" x14ac:dyDescent="0.25">
      <c r="B71" s="33">
        <v>62</v>
      </c>
      <c r="C71" s="30" t="str">
        <f t="shared" si="1"/>
        <v>VA - 62</v>
      </c>
      <c r="D71" s="25" t="s">
        <v>12</v>
      </c>
      <c r="E71" s="46" t="s">
        <v>55</v>
      </c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34"/>
      <c r="AJ71" s="7"/>
    </row>
    <row r="72" spans="2:36" ht="15" customHeight="1" x14ac:dyDescent="0.25">
      <c r="B72" s="33">
        <v>63</v>
      </c>
      <c r="C72" s="30" t="str">
        <f t="shared" si="1"/>
        <v>NVA - 63</v>
      </c>
      <c r="D72" s="25" t="s">
        <v>16</v>
      </c>
      <c r="E72" s="46" t="s">
        <v>55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34"/>
      <c r="AJ72" s="7"/>
    </row>
    <row r="73" spans="2:36" ht="15" customHeight="1" x14ac:dyDescent="0.25">
      <c r="B73" s="33">
        <v>64</v>
      </c>
      <c r="C73" s="30" t="str">
        <f t="shared" si="1"/>
        <v>Waste/Walk - 64</v>
      </c>
      <c r="D73" s="25" t="s">
        <v>21</v>
      </c>
      <c r="E73" s="46" t="s">
        <v>55</v>
      </c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34"/>
      <c r="AJ73" s="7"/>
    </row>
    <row r="74" spans="2:36" ht="15" customHeight="1" x14ac:dyDescent="0.25">
      <c r="B74" s="33">
        <v>65</v>
      </c>
      <c r="C74" s="30" t="str">
        <f t="shared" si="1"/>
        <v>Inspect/Test - 65</v>
      </c>
      <c r="D74" s="25" t="s">
        <v>23</v>
      </c>
      <c r="E74" s="46" t="s">
        <v>55</v>
      </c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34"/>
      <c r="AJ74" s="7"/>
    </row>
    <row r="75" spans="2:36" ht="15" customHeight="1" x14ac:dyDescent="0.25">
      <c r="B75" s="33">
        <v>66</v>
      </c>
      <c r="C75" s="30" t="str">
        <f t="shared" si="1"/>
        <v>ENVA - 66</v>
      </c>
      <c r="D75" s="25" t="s">
        <v>26</v>
      </c>
      <c r="E75" s="46" t="s">
        <v>55</v>
      </c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34"/>
      <c r="AJ75" s="7"/>
    </row>
    <row r="76" spans="2:36" ht="15" customHeight="1" x14ac:dyDescent="0.25">
      <c r="B76" s="33">
        <v>67</v>
      </c>
      <c r="C76" s="30" t="str">
        <f t="shared" si="1"/>
        <v>VA - 67</v>
      </c>
      <c r="D76" s="25" t="s">
        <v>12</v>
      </c>
      <c r="E76" s="46" t="s">
        <v>55</v>
      </c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34"/>
      <c r="AJ76" s="7"/>
    </row>
    <row r="77" spans="2:36" ht="15" customHeight="1" x14ac:dyDescent="0.25">
      <c r="B77" s="33">
        <v>68</v>
      </c>
      <c r="C77" s="30" t="str">
        <f t="shared" si="1"/>
        <v>NVA - 68</v>
      </c>
      <c r="D77" s="25" t="s">
        <v>16</v>
      </c>
      <c r="E77" s="46" t="s">
        <v>55</v>
      </c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34"/>
      <c r="AJ77" s="7"/>
    </row>
    <row r="78" spans="2:36" ht="15" customHeight="1" x14ac:dyDescent="0.25">
      <c r="B78" s="33">
        <v>69</v>
      </c>
      <c r="C78" s="30" t="str">
        <f t="shared" si="1"/>
        <v>Waste/Walk - 69</v>
      </c>
      <c r="D78" s="25" t="s">
        <v>21</v>
      </c>
      <c r="E78" s="46" t="s">
        <v>55</v>
      </c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34"/>
      <c r="AJ78" s="7"/>
    </row>
    <row r="79" spans="2:36" ht="15" customHeight="1" x14ac:dyDescent="0.25">
      <c r="B79" s="33">
        <v>70</v>
      </c>
      <c r="C79" s="30" t="str">
        <f t="shared" si="1"/>
        <v>Inspect/Test - 70</v>
      </c>
      <c r="D79" s="25" t="s">
        <v>23</v>
      </c>
      <c r="E79" s="46" t="s">
        <v>55</v>
      </c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34"/>
      <c r="AJ79" s="7"/>
    </row>
    <row r="80" spans="2:36" ht="15" customHeight="1" x14ac:dyDescent="0.25">
      <c r="B80" s="33">
        <v>71</v>
      </c>
      <c r="C80" s="30" t="str">
        <f t="shared" si="1"/>
        <v>ENVA - 71</v>
      </c>
      <c r="D80" s="25" t="s">
        <v>26</v>
      </c>
      <c r="E80" s="46" t="s">
        <v>55</v>
      </c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34"/>
      <c r="AJ80" s="7"/>
    </row>
    <row r="81" spans="2:36" ht="15" customHeight="1" x14ac:dyDescent="0.25">
      <c r="B81" s="33">
        <v>72</v>
      </c>
      <c r="C81" s="30" t="str">
        <f t="shared" si="1"/>
        <v>VA - 72</v>
      </c>
      <c r="D81" s="25" t="s">
        <v>12</v>
      </c>
      <c r="E81" s="46" t="s">
        <v>55</v>
      </c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34"/>
      <c r="AJ81" s="7"/>
    </row>
    <row r="82" spans="2:36" ht="15" customHeight="1" x14ac:dyDescent="0.25">
      <c r="B82" s="33">
        <v>73</v>
      </c>
      <c r="C82" s="30" t="str">
        <f t="shared" si="1"/>
        <v>NVA - 73</v>
      </c>
      <c r="D82" s="25" t="s">
        <v>16</v>
      </c>
      <c r="E82" s="46" t="s">
        <v>55</v>
      </c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34"/>
      <c r="AJ82" s="7"/>
    </row>
    <row r="83" spans="2:36" ht="15" customHeight="1" x14ac:dyDescent="0.25">
      <c r="B83" s="33">
        <v>74</v>
      </c>
      <c r="C83" s="30" t="str">
        <f t="shared" si="1"/>
        <v>Waste/Walk - 74</v>
      </c>
      <c r="D83" s="25" t="s">
        <v>21</v>
      </c>
      <c r="E83" s="46" t="s">
        <v>55</v>
      </c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34"/>
      <c r="AJ83" s="7"/>
    </row>
    <row r="84" spans="2:36" ht="15" customHeight="1" x14ac:dyDescent="0.25">
      <c r="B84" s="33">
        <v>75</v>
      </c>
      <c r="C84" s="30" t="str">
        <f t="shared" si="1"/>
        <v>Inspect/Test - 75</v>
      </c>
      <c r="D84" s="25" t="s">
        <v>23</v>
      </c>
      <c r="E84" s="46" t="s">
        <v>55</v>
      </c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34"/>
      <c r="AJ84" s="7"/>
    </row>
    <row r="85" spans="2:36" ht="15" customHeight="1" x14ac:dyDescent="0.25">
      <c r="B85" s="33">
        <v>76</v>
      </c>
      <c r="C85" s="30" t="str">
        <f t="shared" si="1"/>
        <v>ENVA - 76</v>
      </c>
      <c r="D85" s="25" t="s">
        <v>26</v>
      </c>
      <c r="E85" s="46" t="s">
        <v>55</v>
      </c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34"/>
      <c r="AJ85" s="7"/>
    </row>
    <row r="86" spans="2:36" ht="15" customHeight="1" x14ac:dyDescent="0.25">
      <c r="B86" s="33">
        <v>77</v>
      </c>
      <c r="C86" s="30" t="str">
        <f t="shared" si="1"/>
        <v>VA - 77</v>
      </c>
      <c r="D86" s="25" t="s">
        <v>12</v>
      </c>
      <c r="E86" s="46" t="s">
        <v>55</v>
      </c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34"/>
      <c r="AJ86" s="7"/>
    </row>
    <row r="87" spans="2:36" ht="15" customHeight="1" x14ac:dyDescent="0.25">
      <c r="B87" s="33">
        <v>78</v>
      </c>
      <c r="C87" s="30" t="str">
        <f t="shared" si="1"/>
        <v>ENVA - 78</v>
      </c>
      <c r="D87" s="25" t="s">
        <v>26</v>
      </c>
      <c r="E87" s="46" t="s">
        <v>55</v>
      </c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34"/>
      <c r="AJ87" s="7"/>
    </row>
    <row r="88" spans="2:36" ht="15" customHeight="1" x14ac:dyDescent="0.25">
      <c r="B88" s="33">
        <v>79</v>
      </c>
      <c r="C88" s="30" t="str">
        <f t="shared" si="1"/>
        <v>VA - 79</v>
      </c>
      <c r="D88" s="25" t="s">
        <v>12</v>
      </c>
      <c r="E88" s="46" t="s">
        <v>55</v>
      </c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34"/>
      <c r="AJ88" s="7"/>
    </row>
    <row r="89" spans="2:36" ht="15" customHeight="1" x14ac:dyDescent="0.25">
      <c r="B89" s="33">
        <v>80</v>
      </c>
      <c r="C89" s="30" t="str">
        <f t="shared" si="1"/>
        <v>NVA - 80</v>
      </c>
      <c r="D89" s="25" t="s">
        <v>16</v>
      </c>
      <c r="E89" s="46" t="s">
        <v>55</v>
      </c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34"/>
      <c r="AJ89" s="7"/>
    </row>
    <row r="90" spans="2:36" ht="15" customHeight="1" x14ac:dyDescent="0.25">
      <c r="B90" s="33">
        <v>81</v>
      </c>
      <c r="C90" s="30" t="str">
        <f t="shared" si="1"/>
        <v>Waste/Walk - 81</v>
      </c>
      <c r="D90" s="25" t="s">
        <v>21</v>
      </c>
      <c r="E90" s="46" t="s">
        <v>55</v>
      </c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34"/>
      <c r="AJ90" s="7"/>
    </row>
    <row r="91" spans="2:36" ht="15" customHeight="1" x14ac:dyDescent="0.25">
      <c r="B91" s="33">
        <v>82</v>
      </c>
      <c r="C91" s="30" t="str">
        <f t="shared" si="1"/>
        <v>Inspect/Test - 82</v>
      </c>
      <c r="D91" s="25" t="s">
        <v>23</v>
      </c>
      <c r="E91" s="46" t="s">
        <v>55</v>
      </c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34"/>
      <c r="AJ91" s="7"/>
    </row>
    <row r="92" spans="2:36" ht="15" customHeight="1" x14ac:dyDescent="0.25">
      <c r="B92" s="33">
        <v>83</v>
      </c>
      <c r="C92" s="30" t="str">
        <f t="shared" si="0"/>
        <v>&lt;Select&gt; - 83</v>
      </c>
      <c r="D92" s="25" t="s">
        <v>4</v>
      </c>
      <c r="E92" s="46" t="s">
        <v>55</v>
      </c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34"/>
      <c r="AJ92" s="7"/>
    </row>
    <row r="93" spans="2:36" ht="15" customHeight="1" x14ac:dyDescent="0.25">
      <c r="B93" s="33">
        <v>84</v>
      </c>
      <c r="C93" s="30" t="str">
        <f t="shared" si="0"/>
        <v>&lt;Select&gt; - 84</v>
      </c>
      <c r="D93" s="25" t="s">
        <v>4</v>
      </c>
      <c r="E93" s="46" t="s">
        <v>55</v>
      </c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34"/>
      <c r="AJ93" s="7"/>
    </row>
    <row r="94" spans="2:36" ht="15" customHeight="1" x14ac:dyDescent="0.25">
      <c r="B94" s="33">
        <v>85</v>
      </c>
      <c r="C94" s="30" t="str">
        <f t="shared" si="0"/>
        <v>&lt;Select&gt; - 85</v>
      </c>
      <c r="D94" s="25" t="s">
        <v>4</v>
      </c>
      <c r="E94" s="46" t="s">
        <v>55</v>
      </c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34"/>
      <c r="AJ94" s="7"/>
    </row>
    <row r="95" spans="2:36" ht="15" customHeight="1" x14ac:dyDescent="0.25">
      <c r="B95" s="33">
        <v>86</v>
      </c>
      <c r="C95" s="30" t="str">
        <f t="shared" si="0"/>
        <v>&lt;Select&gt; - 86</v>
      </c>
      <c r="D95" s="25" t="s">
        <v>4</v>
      </c>
      <c r="E95" s="46" t="s">
        <v>55</v>
      </c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34"/>
      <c r="AJ95" s="7"/>
    </row>
    <row r="96" spans="2:36" ht="15" customHeight="1" x14ac:dyDescent="0.25">
      <c r="B96" s="33">
        <v>87</v>
      </c>
      <c r="C96" s="30" t="str">
        <f t="shared" si="0"/>
        <v>&lt;Select&gt; - 87</v>
      </c>
      <c r="D96" s="25" t="s">
        <v>4</v>
      </c>
      <c r="E96" s="46" t="s">
        <v>55</v>
      </c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34"/>
      <c r="AJ96" s="7"/>
    </row>
    <row r="97" spans="2:40" ht="15" customHeight="1" x14ac:dyDescent="0.25">
      <c r="B97" s="33">
        <v>88</v>
      </c>
      <c r="C97" s="30" t="str">
        <f t="shared" si="0"/>
        <v>&lt;Select&gt; - 88</v>
      </c>
      <c r="D97" s="25" t="s">
        <v>4</v>
      </c>
      <c r="E97" s="46" t="s">
        <v>55</v>
      </c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34"/>
      <c r="AJ97" s="7"/>
    </row>
    <row r="98" spans="2:40" ht="15" customHeight="1" x14ac:dyDescent="0.25">
      <c r="B98" s="33">
        <v>89</v>
      </c>
      <c r="C98" s="30" t="str">
        <f t="shared" si="0"/>
        <v>&lt;Select&gt; - 89</v>
      </c>
      <c r="D98" s="25" t="s">
        <v>4</v>
      </c>
      <c r="E98" s="46" t="s">
        <v>55</v>
      </c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34"/>
      <c r="AJ98" s="7"/>
    </row>
    <row r="99" spans="2:40" ht="15" customHeight="1" x14ac:dyDescent="0.25">
      <c r="B99" s="33">
        <v>90</v>
      </c>
      <c r="C99" s="30" t="str">
        <f t="shared" si="0"/>
        <v>&lt;Select&gt; - 90</v>
      </c>
      <c r="D99" s="25" t="s">
        <v>4</v>
      </c>
      <c r="E99" s="46" t="s">
        <v>55</v>
      </c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34"/>
      <c r="AJ99" s="7"/>
    </row>
    <row r="100" spans="2:40" ht="15" customHeight="1" x14ac:dyDescent="0.25">
      <c r="B100" s="33">
        <v>91</v>
      </c>
      <c r="C100" s="30" t="str">
        <f t="shared" si="0"/>
        <v>&lt;Select&gt; - 91</v>
      </c>
      <c r="D100" s="25" t="s">
        <v>4</v>
      </c>
      <c r="E100" s="46" t="s">
        <v>55</v>
      </c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34"/>
      <c r="AJ100" s="7"/>
    </row>
    <row r="101" spans="2:40" ht="15" customHeight="1" x14ac:dyDescent="0.25">
      <c r="B101" s="33">
        <v>92</v>
      </c>
      <c r="C101" s="30" t="str">
        <f t="shared" si="0"/>
        <v>&lt;Select&gt; - 92</v>
      </c>
      <c r="D101" s="25" t="s">
        <v>4</v>
      </c>
      <c r="E101" s="46" t="s">
        <v>55</v>
      </c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34"/>
      <c r="AJ101" s="7"/>
    </row>
    <row r="102" spans="2:40" ht="15" customHeight="1" x14ac:dyDescent="0.25">
      <c r="B102" s="33">
        <v>93</v>
      </c>
      <c r="C102" s="30" t="str">
        <f t="shared" si="0"/>
        <v>&lt;Select&gt; - 93</v>
      </c>
      <c r="D102" s="25" t="s">
        <v>4</v>
      </c>
      <c r="E102" s="46" t="s">
        <v>55</v>
      </c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34"/>
      <c r="AJ102" s="7"/>
    </row>
    <row r="103" spans="2:40" ht="15" customHeight="1" x14ac:dyDescent="0.25">
      <c r="B103" s="33">
        <v>94</v>
      </c>
      <c r="C103" s="30" t="str">
        <f t="shared" si="0"/>
        <v>&lt;Select&gt; - 94</v>
      </c>
      <c r="D103" s="25" t="s">
        <v>4</v>
      </c>
      <c r="E103" s="46" t="s">
        <v>55</v>
      </c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34"/>
      <c r="AJ103" s="7"/>
    </row>
    <row r="104" spans="2:40" ht="15" customHeight="1" x14ac:dyDescent="0.25">
      <c r="B104" s="33">
        <v>95</v>
      </c>
      <c r="C104" s="30" t="str">
        <f t="shared" si="0"/>
        <v>&lt;Select&gt; - 95</v>
      </c>
      <c r="D104" s="25" t="s">
        <v>4</v>
      </c>
      <c r="E104" s="46" t="s">
        <v>55</v>
      </c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34"/>
      <c r="AJ104" s="7"/>
    </row>
    <row r="105" spans="2:40" ht="15" customHeight="1" x14ac:dyDescent="0.25">
      <c r="B105" s="33">
        <v>96</v>
      </c>
      <c r="C105" s="30" t="str">
        <f>CONCATENATE(D105," - ",B105)</f>
        <v>&lt;Select&gt; - 96</v>
      </c>
      <c r="D105" s="25" t="s">
        <v>4</v>
      </c>
      <c r="E105" s="46" t="s">
        <v>55</v>
      </c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34"/>
      <c r="AJ105" s="7"/>
    </row>
    <row r="106" spans="2:40" ht="15" customHeight="1" x14ac:dyDescent="0.25">
      <c r="B106" s="33">
        <v>97</v>
      </c>
      <c r="C106" s="30" t="str">
        <f t="shared" si="0"/>
        <v>&lt;Select&gt; - 97</v>
      </c>
      <c r="D106" s="25" t="s">
        <v>4</v>
      </c>
      <c r="E106" s="46" t="s">
        <v>55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34"/>
      <c r="AJ106" s="7"/>
    </row>
    <row r="107" spans="2:40" ht="15" customHeight="1" x14ac:dyDescent="0.25">
      <c r="B107" s="33">
        <v>98</v>
      </c>
      <c r="C107" s="30" t="str">
        <f t="shared" si="0"/>
        <v>&lt;Select&gt; - 98</v>
      </c>
      <c r="D107" s="25" t="s">
        <v>4</v>
      </c>
      <c r="E107" s="46" t="s">
        <v>55</v>
      </c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34"/>
      <c r="AJ107" s="7"/>
    </row>
    <row r="108" spans="2:40" ht="15" customHeight="1" x14ac:dyDescent="0.25">
      <c r="B108" s="33">
        <v>99</v>
      </c>
      <c r="C108" s="30" t="str">
        <f t="shared" si="0"/>
        <v>&lt;Select&gt; - 99</v>
      </c>
      <c r="D108" s="25" t="s">
        <v>4</v>
      </c>
      <c r="E108" s="46" t="s">
        <v>55</v>
      </c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34"/>
      <c r="AJ108" s="7"/>
    </row>
    <row r="109" spans="2:40" ht="15" customHeight="1" x14ac:dyDescent="0.25">
      <c r="B109" s="33">
        <v>100</v>
      </c>
      <c r="C109" s="30" t="str">
        <f t="shared" si="0"/>
        <v>&lt;Select&gt; - 100</v>
      </c>
      <c r="D109" s="25" t="s">
        <v>4</v>
      </c>
      <c r="E109" s="46" t="s">
        <v>55</v>
      </c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34"/>
      <c r="AJ109" s="7"/>
    </row>
    <row r="110" spans="2:40" ht="15" customHeight="1" x14ac:dyDescent="0.25">
      <c r="B110" s="33">
        <v>101</v>
      </c>
      <c r="C110" s="30" t="str">
        <f t="shared" si="0"/>
        <v>&lt;Select&gt; - 101</v>
      </c>
      <c r="D110" s="25" t="s">
        <v>4</v>
      </c>
      <c r="E110" s="46" t="s">
        <v>55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34"/>
      <c r="AJ110" s="7"/>
    </row>
    <row r="111" spans="2:40" ht="15" customHeight="1" thickBot="1" x14ac:dyDescent="0.3">
      <c r="B111" s="33">
        <v>102</v>
      </c>
      <c r="C111" s="35" t="str">
        <f t="shared" si="0"/>
        <v>&lt;Select&gt; - 102</v>
      </c>
      <c r="D111" s="36" t="s">
        <v>4</v>
      </c>
      <c r="E111" s="46" t="s">
        <v>55</v>
      </c>
      <c r="F111" s="26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8"/>
      <c r="AJ111" s="7"/>
      <c r="AN111" s="8"/>
    </row>
    <row r="112" spans="2:40" ht="58.5" customHeight="1" x14ac:dyDescent="0.25">
      <c r="B112" s="6"/>
    </row>
    <row r="113" spans="2:35" ht="18.75" customHeight="1" x14ac:dyDescent="0.25">
      <c r="B113" s="6"/>
      <c r="D113" s="19" t="s">
        <v>27</v>
      </c>
      <c r="E113" s="18"/>
      <c r="F113" s="20">
        <f t="shared" ref="F113:AI113" si="2">IF(SUM(F10:F111)=0,"",SUM(F10:F111))</f>
        <v>15</v>
      </c>
      <c r="G113" s="20">
        <f t="shared" si="2"/>
        <v>15</v>
      </c>
      <c r="H113" s="20">
        <f t="shared" si="2"/>
        <v>15</v>
      </c>
      <c r="I113" s="20">
        <f t="shared" si="2"/>
        <v>15</v>
      </c>
      <c r="J113" s="20">
        <f t="shared" si="2"/>
        <v>15</v>
      </c>
      <c r="K113" s="20">
        <f t="shared" si="2"/>
        <v>15</v>
      </c>
      <c r="L113" s="20">
        <f t="shared" si="2"/>
        <v>15</v>
      </c>
      <c r="M113" s="20">
        <f t="shared" si="2"/>
        <v>15</v>
      </c>
      <c r="N113" s="20">
        <f t="shared" si="2"/>
        <v>15</v>
      </c>
      <c r="O113" s="20">
        <f t="shared" si="2"/>
        <v>15</v>
      </c>
      <c r="P113" s="20">
        <f t="shared" si="2"/>
        <v>15</v>
      </c>
      <c r="Q113" s="20" t="str">
        <f t="shared" si="2"/>
        <v/>
      </c>
      <c r="R113" s="20" t="str">
        <f t="shared" si="2"/>
        <v/>
      </c>
      <c r="S113" s="20" t="str">
        <f t="shared" si="2"/>
        <v/>
      </c>
      <c r="T113" s="20" t="str">
        <f t="shared" si="2"/>
        <v/>
      </c>
      <c r="U113" s="20" t="str">
        <f t="shared" si="2"/>
        <v/>
      </c>
      <c r="V113" s="20" t="str">
        <f t="shared" si="2"/>
        <v/>
      </c>
      <c r="W113" s="20" t="str">
        <f t="shared" si="2"/>
        <v/>
      </c>
      <c r="X113" s="20" t="str">
        <f t="shared" si="2"/>
        <v/>
      </c>
      <c r="Y113" s="20" t="str">
        <f t="shared" si="2"/>
        <v/>
      </c>
      <c r="Z113" s="20" t="str">
        <f t="shared" si="2"/>
        <v/>
      </c>
      <c r="AA113" s="20" t="str">
        <f t="shared" si="2"/>
        <v/>
      </c>
      <c r="AB113" s="20" t="str">
        <f t="shared" si="2"/>
        <v/>
      </c>
      <c r="AC113" s="20" t="str">
        <f t="shared" si="2"/>
        <v/>
      </c>
      <c r="AD113" s="20" t="str">
        <f t="shared" si="2"/>
        <v/>
      </c>
      <c r="AE113" s="20" t="str">
        <f t="shared" si="2"/>
        <v/>
      </c>
      <c r="AF113" s="20" t="str">
        <f t="shared" si="2"/>
        <v/>
      </c>
      <c r="AG113" s="20" t="str">
        <f t="shared" si="2"/>
        <v/>
      </c>
      <c r="AH113" s="20" t="str">
        <f t="shared" si="2"/>
        <v/>
      </c>
      <c r="AI113" s="20" t="str">
        <f t="shared" si="2"/>
        <v/>
      </c>
    </row>
    <row r="114" spans="2:35" ht="20.25" customHeight="1" x14ac:dyDescent="0.25">
      <c r="B114" s="6"/>
      <c r="D114" s="19" t="s">
        <v>28</v>
      </c>
      <c r="E114" s="21"/>
      <c r="F114" s="22">
        <f t="shared" ref="F114:AI114" si="3">IF(F113="","",SUMIF($D:$D, $AK$4,F:F))</f>
        <v>1</v>
      </c>
      <c r="G114" s="22">
        <f t="shared" si="3"/>
        <v>1</v>
      </c>
      <c r="H114" s="22">
        <f t="shared" si="3"/>
        <v>1</v>
      </c>
      <c r="I114" s="22">
        <f t="shared" si="3"/>
        <v>1</v>
      </c>
      <c r="J114" s="22">
        <f t="shared" si="3"/>
        <v>1</v>
      </c>
      <c r="K114" s="22">
        <f t="shared" si="3"/>
        <v>1</v>
      </c>
      <c r="L114" s="22">
        <f t="shared" si="3"/>
        <v>1</v>
      </c>
      <c r="M114" s="22">
        <f t="shared" si="3"/>
        <v>4</v>
      </c>
      <c r="N114" s="22">
        <f t="shared" si="3"/>
        <v>2</v>
      </c>
      <c r="O114" s="22">
        <f t="shared" si="3"/>
        <v>2</v>
      </c>
      <c r="P114" s="22">
        <f t="shared" si="3"/>
        <v>2</v>
      </c>
      <c r="Q114" s="22" t="str">
        <f t="shared" si="3"/>
        <v/>
      </c>
      <c r="R114" s="22" t="str">
        <f t="shared" si="3"/>
        <v/>
      </c>
      <c r="S114" s="22" t="str">
        <f t="shared" si="3"/>
        <v/>
      </c>
      <c r="T114" s="22" t="str">
        <f t="shared" si="3"/>
        <v/>
      </c>
      <c r="U114" s="22" t="str">
        <f t="shared" si="3"/>
        <v/>
      </c>
      <c r="V114" s="22" t="str">
        <f t="shared" si="3"/>
        <v/>
      </c>
      <c r="W114" s="22" t="str">
        <f t="shared" si="3"/>
        <v/>
      </c>
      <c r="X114" s="22" t="str">
        <f t="shared" si="3"/>
        <v/>
      </c>
      <c r="Y114" s="22" t="str">
        <f t="shared" si="3"/>
        <v/>
      </c>
      <c r="Z114" s="22" t="str">
        <f t="shared" si="3"/>
        <v/>
      </c>
      <c r="AA114" s="22" t="str">
        <f t="shared" si="3"/>
        <v/>
      </c>
      <c r="AB114" s="22" t="str">
        <f t="shared" si="3"/>
        <v/>
      </c>
      <c r="AC114" s="22" t="str">
        <f t="shared" si="3"/>
        <v/>
      </c>
      <c r="AD114" s="22" t="str">
        <f t="shared" si="3"/>
        <v/>
      </c>
      <c r="AE114" s="22" t="str">
        <f t="shared" si="3"/>
        <v/>
      </c>
      <c r="AF114" s="22" t="str">
        <f t="shared" si="3"/>
        <v/>
      </c>
      <c r="AG114" s="22" t="str">
        <f t="shared" si="3"/>
        <v/>
      </c>
      <c r="AH114" s="22" t="str">
        <f t="shared" si="3"/>
        <v/>
      </c>
      <c r="AI114" s="22" t="str">
        <f t="shared" si="3"/>
        <v/>
      </c>
    </row>
    <row r="115" spans="2:35" ht="28.5" customHeight="1" x14ac:dyDescent="0.25">
      <c r="B115" s="6"/>
      <c r="D115" s="19" t="s">
        <v>29</v>
      </c>
      <c r="E115" s="21"/>
      <c r="F115" s="22">
        <f t="shared" ref="F115:AI115" si="4">IF(F113="","",SUMIF($D:$D, $AK$5,F:F))</f>
        <v>2</v>
      </c>
      <c r="G115" s="22">
        <f t="shared" si="4"/>
        <v>2</v>
      </c>
      <c r="H115" s="22">
        <f t="shared" si="4"/>
        <v>2</v>
      </c>
      <c r="I115" s="22">
        <f t="shared" si="4"/>
        <v>2</v>
      </c>
      <c r="J115" s="22">
        <f t="shared" si="4"/>
        <v>2</v>
      </c>
      <c r="K115" s="22">
        <f t="shared" si="4"/>
        <v>2</v>
      </c>
      <c r="L115" s="22">
        <f t="shared" si="4"/>
        <v>2</v>
      </c>
      <c r="M115" s="22">
        <f t="shared" si="4"/>
        <v>4</v>
      </c>
      <c r="N115" s="22">
        <f t="shared" si="4"/>
        <v>3</v>
      </c>
      <c r="O115" s="22">
        <f t="shared" si="4"/>
        <v>3</v>
      </c>
      <c r="P115" s="22">
        <f t="shared" si="4"/>
        <v>3</v>
      </c>
      <c r="Q115" s="22" t="str">
        <f t="shared" si="4"/>
        <v/>
      </c>
      <c r="R115" s="22" t="str">
        <f t="shared" si="4"/>
        <v/>
      </c>
      <c r="S115" s="22" t="str">
        <f t="shared" si="4"/>
        <v/>
      </c>
      <c r="T115" s="22" t="str">
        <f t="shared" si="4"/>
        <v/>
      </c>
      <c r="U115" s="22" t="str">
        <f t="shared" si="4"/>
        <v/>
      </c>
      <c r="V115" s="22" t="str">
        <f t="shared" si="4"/>
        <v/>
      </c>
      <c r="W115" s="22" t="str">
        <f t="shared" si="4"/>
        <v/>
      </c>
      <c r="X115" s="22" t="str">
        <f t="shared" si="4"/>
        <v/>
      </c>
      <c r="Y115" s="22" t="str">
        <f t="shared" si="4"/>
        <v/>
      </c>
      <c r="Z115" s="22" t="str">
        <f t="shared" si="4"/>
        <v/>
      </c>
      <c r="AA115" s="22" t="str">
        <f t="shared" si="4"/>
        <v/>
      </c>
      <c r="AB115" s="22" t="str">
        <f t="shared" si="4"/>
        <v/>
      </c>
      <c r="AC115" s="22" t="str">
        <f t="shared" si="4"/>
        <v/>
      </c>
      <c r="AD115" s="22" t="str">
        <f t="shared" si="4"/>
        <v/>
      </c>
      <c r="AE115" s="22" t="str">
        <f t="shared" si="4"/>
        <v/>
      </c>
      <c r="AF115" s="22" t="str">
        <f t="shared" si="4"/>
        <v/>
      </c>
      <c r="AG115" s="22" t="str">
        <f t="shared" si="4"/>
        <v/>
      </c>
      <c r="AH115" s="22" t="str">
        <f t="shared" si="4"/>
        <v/>
      </c>
      <c r="AI115" s="22" t="str">
        <f t="shared" si="4"/>
        <v/>
      </c>
    </row>
    <row r="116" spans="2:35" ht="42" customHeight="1" x14ac:dyDescent="0.25">
      <c r="B116" s="6"/>
      <c r="D116" s="19" t="s">
        <v>30</v>
      </c>
      <c r="E116" s="21"/>
      <c r="F116" s="22">
        <f t="shared" ref="F116:AI116" si="5">IF(F113="","",SUMIF($D:$D, $AK$8,F:F))</f>
        <v>5</v>
      </c>
      <c r="G116" s="22">
        <f t="shared" si="5"/>
        <v>5</v>
      </c>
      <c r="H116" s="22">
        <f t="shared" si="5"/>
        <v>5</v>
      </c>
      <c r="I116" s="22">
        <f t="shared" si="5"/>
        <v>5</v>
      </c>
      <c r="J116" s="22">
        <f t="shared" si="5"/>
        <v>5</v>
      </c>
      <c r="K116" s="22">
        <f t="shared" si="5"/>
        <v>5</v>
      </c>
      <c r="L116" s="22">
        <f t="shared" si="5"/>
        <v>5</v>
      </c>
      <c r="M116" s="22">
        <f t="shared" si="5"/>
        <v>2</v>
      </c>
      <c r="N116" s="22">
        <f t="shared" si="5"/>
        <v>0</v>
      </c>
      <c r="O116" s="22">
        <f t="shared" si="5"/>
        <v>1</v>
      </c>
      <c r="P116" s="22">
        <f t="shared" si="5"/>
        <v>1</v>
      </c>
      <c r="Q116" s="22" t="str">
        <f t="shared" si="5"/>
        <v/>
      </c>
      <c r="R116" s="22" t="str">
        <f t="shared" si="5"/>
        <v/>
      </c>
      <c r="S116" s="22" t="str">
        <f t="shared" si="5"/>
        <v/>
      </c>
      <c r="T116" s="22" t="str">
        <f t="shared" si="5"/>
        <v/>
      </c>
      <c r="U116" s="22" t="str">
        <f t="shared" si="5"/>
        <v/>
      </c>
      <c r="V116" s="22" t="str">
        <f t="shared" si="5"/>
        <v/>
      </c>
      <c r="W116" s="22" t="str">
        <f t="shared" si="5"/>
        <v/>
      </c>
      <c r="X116" s="22" t="str">
        <f t="shared" si="5"/>
        <v/>
      </c>
      <c r="Y116" s="22" t="str">
        <f t="shared" si="5"/>
        <v/>
      </c>
      <c r="Z116" s="22" t="str">
        <f t="shared" si="5"/>
        <v/>
      </c>
      <c r="AA116" s="22" t="str">
        <f t="shared" si="5"/>
        <v/>
      </c>
      <c r="AB116" s="22" t="str">
        <f t="shared" si="5"/>
        <v/>
      </c>
      <c r="AC116" s="22" t="str">
        <f t="shared" si="5"/>
        <v/>
      </c>
      <c r="AD116" s="22" t="str">
        <f t="shared" si="5"/>
        <v/>
      </c>
      <c r="AE116" s="22" t="str">
        <f t="shared" si="5"/>
        <v/>
      </c>
      <c r="AF116" s="22" t="str">
        <f t="shared" si="5"/>
        <v/>
      </c>
      <c r="AG116" s="22" t="str">
        <f t="shared" si="5"/>
        <v/>
      </c>
      <c r="AH116" s="22" t="str">
        <f t="shared" si="5"/>
        <v/>
      </c>
      <c r="AI116" s="22" t="str">
        <f t="shared" si="5"/>
        <v/>
      </c>
    </row>
    <row r="117" spans="2:35" ht="31.5" customHeight="1" x14ac:dyDescent="0.25">
      <c r="B117" s="6"/>
      <c r="D117" s="19" t="s">
        <v>31</v>
      </c>
      <c r="E117" s="21"/>
      <c r="F117" s="22">
        <f t="shared" ref="F117:AI117" si="6">IF(F113="","",SUMIF($D:$D,$AK$6,F:F))</f>
        <v>3</v>
      </c>
      <c r="G117" s="22">
        <f t="shared" si="6"/>
        <v>3</v>
      </c>
      <c r="H117" s="22">
        <f t="shared" si="6"/>
        <v>3</v>
      </c>
      <c r="I117" s="22">
        <f t="shared" si="6"/>
        <v>3</v>
      </c>
      <c r="J117" s="22">
        <f t="shared" si="6"/>
        <v>3</v>
      </c>
      <c r="K117" s="22">
        <f t="shared" si="6"/>
        <v>3</v>
      </c>
      <c r="L117" s="22">
        <f t="shared" si="6"/>
        <v>3</v>
      </c>
      <c r="M117" s="22">
        <f t="shared" si="6"/>
        <v>5</v>
      </c>
      <c r="N117" s="22">
        <f t="shared" si="6"/>
        <v>4</v>
      </c>
      <c r="O117" s="22">
        <f t="shared" si="6"/>
        <v>4</v>
      </c>
      <c r="P117" s="22">
        <f t="shared" si="6"/>
        <v>4</v>
      </c>
      <c r="Q117" s="22" t="str">
        <f t="shared" si="6"/>
        <v/>
      </c>
      <c r="R117" s="22" t="str">
        <f t="shared" si="6"/>
        <v/>
      </c>
      <c r="S117" s="22" t="str">
        <f t="shared" si="6"/>
        <v/>
      </c>
      <c r="T117" s="22" t="str">
        <f t="shared" si="6"/>
        <v/>
      </c>
      <c r="U117" s="22" t="str">
        <f t="shared" si="6"/>
        <v/>
      </c>
      <c r="V117" s="22" t="str">
        <f t="shared" si="6"/>
        <v/>
      </c>
      <c r="W117" s="22" t="str">
        <f t="shared" si="6"/>
        <v/>
      </c>
      <c r="X117" s="22" t="str">
        <f t="shared" si="6"/>
        <v/>
      </c>
      <c r="Y117" s="22" t="str">
        <f t="shared" si="6"/>
        <v/>
      </c>
      <c r="Z117" s="22" t="str">
        <f t="shared" si="6"/>
        <v/>
      </c>
      <c r="AA117" s="22" t="str">
        <f t="shared" si="6"/>
        <v/>
      </c>
      <c r="AB117" s="22" t="str">
        <f t="shared" si="6"/>
        <v/>
      </c>
      <c r="AC117" s="22" t="str">
        <f t="shared" si="6"/>
        <v/>
      </c>
      <c r="AD117" s="22" t="str">
        <f t="shared" si="6"/>
        <v/>
      </c>
      <c r="AE117" s="22" t="str">
        <f t="shared" si="6"/>
        <v/>
      </c>
      <c r="AF117" s="22" t="str">
        <f t="shared" si="6"/>
        <v/>
      </c>
      <c r="AG117" s="22" t="str">
        <f t="shared" si="6"/>
        <v/>
      </c>
      <c r="AH117" s="22" t="str">
        <f t="shared" si="6"/>
        <v/>
      </c>
      <c r="AI117" s="22" t="str">
        <f t="shared" si="6"/>
        <v/>
      </c>
    </row>
    <row r="118" spans="2:35" ht="39" customHeight="1" x14ac:dyDescent="0.25">
      <c r="B118" s="6"/>
      <c r="D118" s="21" t="s">
        <v>32</v>
      </c>
      <c r="E118" s="21"/>
      <c r="F118" s="22">
        <f>IF(F113="","",AVERAGE(F113:AI113))</f>
        <v>15</v>
      </c>
      <c r="G118" s="22">
        <f t="shared" ref="G118:L118" si="7">IF(G113="","",F118)</f>
        <v>15</v>
      </c>
      <c r="H118" s="22">
        <f t="shared" si="7"/>
        <v>15</v>
      </c>
      <c r="I118" s="22">
        <f t="shared" si="7"/>
        <v>15</v>
      </c>
      <c r="J118" s="22">
        <f t="shared" si="7"/>
        <v>15</v>
      </c>
      <c r="K118" s="22">
        <f t="shared" si="7"/>
        <v>15</v>
      </c>
      <c r="L118" s="22">
        <f t="shared" si="7"/>
        <v>15</v>
      </c>
      <c r="M118" s="22">
        <f t="shared" ref="M118:AD118" si="8">IF(M113="","",L118)</f>
        <v>15</v>
      </c>
      <c r="N118" s="22">
        <f t="shared" si="8"/>
        <v>15</v>
      </c>
      <c r="O118" s="22">
        <f t="shared" si="8"/>
        <v>15</v>
      </c>
      <c r="P118" s="22">
        <f t="shared" si="8"/>
        <v>15</v>
      </c>
      <c r="Q118" s="22" t="str">
        <f t="shared" si="8"/>
        <v/>
      </c>
      <c r="R118" s="22" t="str">
        <f t="shared" si="8"/>
        <v/>
      </c>
      <c r="S118" s="22" t="str">
        <f t="shared" si="8"/>
        <v/>
      </c>
      <c r="T118" s="22" t="str">
        <f t="shared" si="8"/>
        <v/>
      </c>
      <c r="U118" s="22" t="str">
        <f t="shared" si="8"/>
        <v/>
      </c>
      <c r="V118" s="22" t="str">
        <f t="shared" si="8"/>
        <v/>
      </c>
      <c r="W118" s="22" t="str">
        <f t="shared" si="8"/>
        <v/>
      </c>
      <c r="X118" s="22" t="str">
        <f t="shared" si="8"/>
        <v/>
      </c>
      <c r="Y118" s="22" t="str">
        <f t="shared" si="8"/>
        <v/>
      </c>
      <c r="Z118" s="22" t="str">
        <f t="shared" si="8"/>
        <v/>
      </c>
      <c r="AA118" s="22" t="str">
        <f t="shared" si="8"/>
        <v/>
      </c>
      <c r="AB118" s="22" t="str">
        <f t="shared" si="8"/>
        <v/>
      </c>
      <c r="AC118" s="22" t="str">
        <f t="shared" si="8"/>
        <v/>
      </c>
      <c r="AD118" s="22" t="str">
        <f t="shared" si="8"/>
        <v/>
      </c>
      <c r="AE118" s="22" t="str">
        <f t="shared" ref="AE118:AI119" si="9">IF(AE113="","",AD118)</f>
        <v/>
      </c>
      <c r="AF118" s="22" t="str">
        <f t="shared" si="9"/>
        <v/>
      </c>
      <c r="AG118" s="22" t="str">
        <f t="shared" si="9"/>
        <v/>
      </c>
      <c r="AH118" s="22" t="str">
        <f t="shared" si="9"/>
        <v/>
      </c>
      <c r="AI118" s="22" t="str">
        <f t="shared" si="9"/>
        <v/>
      </c>
    </row>
    <row r="119" spans="2:35" ht="37.5" customHeight="1" x14ac:dyDescent="0.25">
      <c r="B119" s="6"/>
      <c r="D119" s="21" t="s">
        <v>22</v>
      </c>
      <c r="F119" s="22">
        <f>IF(D7="","",D7)</f>
        <v>5</v>
      </c>
      <c r="G119" s="22">
        <f t="shared" ref="G119:AD119" si="10">IF(G114="","",F119)</f>
        <v>5</v>
      </c>
      <c r="H119" s="22">
        <f t="shared" si="10"/>
        <v>5</v>
      </c>
      <c r="I119" s="22">
        <f t="shared" si="10"/>
        <v>5</v>
      </c>
      <c r="J119" s="22">
        <f t="shared" si="10"/>
        <v>5</v>
      </c>
      <c r="K119" s="22">
        <f t="shared" si="10"/>
        <v>5</v>
      </c>
      <c r="L119" s="22">
        <f t="shared" si="10"/>
        <v>5</v>
      </c>
      <c r="M119" s="22">
        <f t="shared" si="10"/>
        <v>5</v>
      </c>
      <c r="N119" s="22">
        <f t="shared" si="10"/>
        <v>5</v>
      </c>
      <c r="O119" s="22">
        <f t="shared" si="10"/>
        <v>5</v>
      </c>
      <c r="P119" s="22">
        <f t="shared" si="10"/>
        <v>5</v>
      </c>
      <c r="Q119" s="22" t="str">
        <f t="shared" si="10"/>
        <v/>
      </c>
      <c r="R119" s="22" t="str">
        <f t="shared" si="10"/>
        <v/>
      </c>
      <c r="S119" s="22" t="str">
        <f t="shared" si="10"/>
        <v/>
      </c>
      <c r="T119" s="22" t="str">
        <f t="shared" si="10"/>
        <v/>
      </c>
      <c r="U119" s="22" t="str">
        <f t="shared" si="10"/>
        <v/>
      </c>
      <c r="V119" s="22" t="str">
        <f t="shared" si="10"/>
        <v/>
      </c>
      <c r="W119" s="22" t="str">
        <f t="shared" si="10"/>
        <v/>
      </c>
      <c r="X119" s="22" t="str">
        <f t="shared" si="10"/>
        <v/>
      </c>
      <c r="Y119" s="22" t="str">
        <f t="shared" si="10"/>
        <v/>
      </c>
      <c r="Z119" s="22" t="str">
        <f t="shared" si="10"/>
        <v/>
      </c>
      <c r="AA119" s="22" t="str">
        <f t="shared" si="10"/>
        <v/>
      </c>
      <c r="AB119" s="22" t="str">
        <f t="shared" si="10"/>
        <v/>
      </c>
      <c r="AC119" s="22" t="str">
        <f t="shared" si="10"/>
        <v/>
      </c>
      <c r="AD119" s="22" t="str">
        <f t="shared" si="10"/>
        <v/>
      </c>
      <c r="AE119" s="22" t="str">
        <f t="shared" si="9"/>
        <v/>
      </c>
      <c r="AF119" s="22" t="str">
        <f t="shared" si="9"/>
        <v/>
      </c>
      <c r="AG119" s="22" t="str">
        <f t="shared" si="9"/>
        <v/>
      </c>
      <c r="AH119" s="22" t="str">
        <f t="shared" si="9"/>
        <v/>
      </c>
      <c r="AI119" s="22" t="str">
        <f t="shared" si="9"/>
        <v/>
      </c>
    </row>
    <row r="120" spans="2:35" x14ac:dyDescent="0.25">
      <c r="B120" s="6"/>
    </row>
    <row r="121" spans="2:35" x14ac:dyDescent="0.25">
      <c r="B121" s="6"/>
    </row>
    <row r="122" spans="2:35" x14ac:dyDescent="0.25">
      <c r="B122" s="6"/>
    </row>
    <row r="123" spans="2:35" x14ac:dyDescent="0.25">
      <c r="B123" s="6"/>
    </row>
    <row r="124" spans="2:35" x14ac:dyDescent="0.25">
      <c r="B124" s="6"/>
    </row>
    <row r="125" spans="2:35" x14ac:dyDescent="0.25">
      <c r="B125" s="6"/>
    </row>
    <row r="126" spans="2:35" x14ac:dyDescent="0.25">
      <c r="B126" s="6"/>
    </row>
    <row r="127" spans="2:35" x14ac:dyDescent="0.25">
      <c r="B127" s="6"/>
    </row>
    <row r="128" spans="2:35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</sheetData>
  <mergeCells count="20">
    <mergeCell ref="B1:M1"/>
    <mergeCell ref="B2:M2"/>
    <mergeCell ref="K3:M3"/>
    <mergeCell ref="K4:M4"/>
    <mergeCell ref="G3:H3"/>
    <mergeCell ref="D4:E4"/>
    <mergeCell ref="I3:J3"/>
    <mergeCell ref="I4:J4"/>
    <mergeCell ref="G4:H4"/>
    <mergeCell ref="AE6:AI7"/>
    <mergeCell ref="Z6:AD7"/>
    <mergeCell ref="U6:Y7"/>
    <mergeCell ref="P6:T7"/>
    <mergeCell ref="K6:O7"/>
    <mergeCell ref="F6:J7"/>
    <mergeCell ref="B6:C6"/>
    <mergeCell ref="D3:E3"/>
    <mergeCell ref="B8:C8"/>
    <mergeCell ref="B4:C4"/>
    <mergeCell ref="B3:C3"/>
  </mergeCells>
  <conditionalFormatting sqref="C1:C50 C106:C1048576 C92:C104">
    <cfRule type="containsText" dxfId="30" priority="22" operator="containsText" text="Waste/Walk">
      <formula>NOT(ISERROR(SEARCH("Waste/Walk",C1)))</formula>
    </cfRule>
    <cfRule type="containsText" dxfId="29" priority="23" operator="containsText" text="Inspect/Test">
      <formula>NOT(ISERROR(SEARCH("Inspect/Test",C1)))</formula>
    </cfRule>
    <cfRule type="containsText" dxfId="28" priority="24" operator="containsText" text="ENVA">
      <formula>NOT(ISERROR(SEARCH("ENVA",C1)))</formula>
    </cfRule>
    <cfRule type="containsText" dxfId="27" priority="25" operator="containsText" text="NVA">
      <formula>NOT(ISERROR(SEARCH("NVA",C1)))</formula>
    </cfRule>
    <cfRule type="containsText" dxfId="26" priority="26" operator="containsText" text="VA">
      <formula>NOT(ISERROR(SEARCH("VA",C1)))</formula>
    </cfRule>
  </conditionalFormatting>
  <conditionalFormatting sqref="D105">
    <cfRule type="cellIs" dxfId="25" priority="17" operator="equal">
      <formula>$AK$7</formula>
    </cfRule>
    <cfRule type="cellIs" dxfId="24" priority="18" operator="equal">
      <formula>$AK$8</formula>
    </cfRule>
    <cfRule type="cellIs" dxfId="23" priority="19" operator="equal">
      <formula>$AK$5</formula>
    </cfRule>
    <cfRule type="cellIs" dxfId="22" priority="20" operator="equal">
      <formula>$AK$6</formula>
    </cfRule>
    <cfRule type="cellIs" dxfId="21" priority="21" operator="equal">
      <formula>$AK$4</formula>
    </cfRule>
  </conditionalFormatting>
  <conditionalFormatting sqref="C105">
    <cfRule type="containsText" dxfId="20" priority="12" operator="containsText" text="Waste/Walk">
      <formula>NOT(ISERROR(SEARCH("Waste/Walk",C105)))</formula>
    </cfRule>
    <cfRule type="containsText" dxfId="19" priority="13" operator="containsText" text="Inspect/Test">
      <formula>NOT(ISERROR(SEARCH("Inspect/Test",C105)))</formula>
    </cfRule>
    <cfRule type="containsText" dxfId="18" priority="14" operator="containsText" text="ENVA">
      <formula>NOT(ISERROR(SEARCH("ENVA",C105)))</formula>
    </cfRule>
    <cfRule type="containsText" dxfId="17" priority="15" operator="containsText" text="NVA">
      <formula>NOT(ISERROR(SEARCH("NVA",C105)))</formula>
    </cfRule>
    <cfRule type="containsText" dxfId="16" priority="16" operator="containsText" text="VA">
      <formula>NOT(ISERROR(SEARCH("VA",C105)))</formula>
    </cfRule>
  </conditionalFormatting>
  <conditionalFormatting sqref="D51:D91">
    <cfRule type="cellIs" dxfId="15" priority="7" operator="equal">
      <formula>$AK$7</formula>
    </cfRule>
    <cfRule type="cellIs" dxfId="14" priority="8" operator="equal">
      <formula>$AK$8</formula>
    </cfRule>
    <cfRule type="cellIs" dxfId="13" priority="9" operator="equal">
      <formula>$AK$5</formula>
    </cfRule>
    <cfRule type="cellIs" dxfId="12" priority="10" operator="equal">
      <formula>$AK$6</formula>
    </cfRule>
    <cfRule type="cellIs" dxfId="11" priority="11" operator="equal">
      <formula>$AK$4</formula>
    </cfRule>
  </conditionalFormatting>
  <conditionalFormatting sqref="C51:C91">
    <cfRule type="containsText" dxfId="10" priority="2" operator="containsText" text="Waste/Walk">
      <formula>NOT(ISERROR(SEARCH("Waste/Walk",C51)))</formula>
    </cfRule>
    <cfRule type="containsText" dxfId="9" priority="3" operator="containsText" text="Inspect/Test">
      <formula>NOT(ISERROR(SEARCH("Inspect/Test",C51)))</formula>
    </cfRule>
    <cfRule type="containsText" dxfId="8" priority="4" operator="containsText" text="ENVA">
      <formula>NOT(ISERROR(SEARCH("ENVA",C51)))</formula>
    </cfRule>
    <cfRule type="containsText" dxfId="7" priority="5" operator="containsText" text="NVA">
      <formula>NOT(ISERROR(SEARCH("NVA",C51)))</formula>
    </cfRule>
    <cfRule type="containsText" dxfId="6" priority="6" operator="containsText" text="VA">
      <formula>NOT(ISERROR(SEARCH("VA",C51)))</formula>
    </cfRule>
  </conditionalFormatting>
  <conditionalFormatting sqref="D10:D111">
    <cfRule type="cellIs" dxfId="5" priority="27" operator="equal">
      <formula>$AK$7</formula>
    </cfRule>
    <cfRule type="cellIs" dxfId="4" priority="28" operator="equal">
      <formula>$AK$8</formula>
    </cfRule>
    <cfRule type="cellIs" dxfId="3" priority="47" operator="equal">
      <formula>$AK$5</formula>
    </cfRule>
    <cfRule type="cellIs" dxfId="2" priority="48" operator="equal">
      <formula>$AK$6</formula>
    </cfRule>
    <cfRule type="cellIs" dxfId="1" priority="49" operator="equal">
      <formula>$AK$4</formula>
    </cfRule>
  </conditionalFormatting>
  <conditionalFormatting sqref="F10:AI111">
    <cfRule type="expression" dxfId="0" priority="1">
      <formula>$B:$B=VA</formula>
    </cfRule>
  </conditionalFormatting>
  <dataValidations count="5">
    <dataValidation type="list" allowBlank="1" showInputMessage="1" showErrorMessage="1" sqref="D10:D111">
      <formula1>$AK$3:$AK$8</formula1>
    </dataValidation>
    <dataValidation type="list" allowBlank="1" showInputMessage="1" showErrorMessage="1" sqref="G4:H4">
      <formula1>$AM$3:$AM$6</formula1>
    </dataValidation>
    <dataValidation type="list" allowBlank="1" showInputMessage="1" showErrorMessage="1" sqref="D6">
      <formula1>$AL$3:$AL$5</formula1>
    </dataValidation>
    <dataValidation type="list" allowBlank="1" showInputMessage="1" showErrorMessage="1" sqref="K4">
      <formula1>$AN$3:$AN$6</formula1>
    </dataValidation>
    <dataValidation type="list" allowBlank="1" showInputMessage="1" showErrorMessage="1" sqref="E10:E111">
      <formula1>$AO$3:$AO$4</formula1>
    </dataValidation>
  </dataValidations>
  <pageMargins left="0.17499999999999999" right="0.70866141732283472" top="0.33750000000000002" bottom="0.74803149606299213" header="0.31496062992125984" footer="0.31496062992125984"/>
  <pageSetup paperSize="9" scale="24" orientation="landscape" r:id="rId1"/>
  <customProperties>
    <customPr name="DVSECTIONID" r:id="rId2"/>
  </customProperties>
  <drawing r:id="rId3"/>
  <legacyDrawing r:id="rId4"/>
  <controls>
    <mc:AlternateContent xmlns:mc="http://schemas.openxmlformats.org/markup-compatibility/2006">
      <mc:Choice Requires="x14">
        <control shapeId="1001339" r:id="rId5" name="divide">
          <controlPr defaultSize="0" autoLine="0" r:id="rId6">
            <anchor moveWithCells="1">
              <from>
                <xdr:col>1</xdr:col>
                <xdr:colOff>2200275</xdr:colOff>
                <xdr:row>8</xdr:row>
                <xdr:rowOff>66675</xdr:rowOff>
              </from>
              <to>
                <xdr:col>4</xdr:col>
                <xdr:colOff>114300</xdr:colOff>
                <xdr:row>8</xdr:row>
                <xdr:rowOff>504825</xdr:rowOff>
              </to>
            </anchor>
          </controlPr>
        </control>
      </mc:Choice>
      <mc:Fallback>
        <control shapeId="1001339" r:id="rId5" name="divi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H50:AA68"/>
  <sheetViews>
    <sheetView showGridLines="0" showRowColHeaders="0" tabSelected="1" zoomScale="80" zoomScaleNormal="80" workbookViewId="0">
      <selection activeCell="B35" sqref="B35"/>
    </sheetView>
  </sheetViews>
  <sheetFormatPr baseColWidth="10" defaultColWidth="9.140625" defaultRowHeight="15" x14ac:dyDescent="0.25"/>
  <cols>
    <col min="1" max="1" width="4.7109375" customWidth="1"/>
  </cols>
  <sheetData>
    <row r="50" spans="8:27" ht="15.75" thickBot="1" x14ac:dyDescent="0.3"/>
    <row r="51" spans="8:27" x14ac:dyDescent="0.25">
      <c r="H51" s="88"/>
      <c r="I51" s="89"/>
      <c r="J51" s="89"/>
      <c r="K51" s="89"/>
      <c r="L51" s="89"/>
      <c r="M51" s="92" t="s">
        <v>33</v>
      </c>
      <c r="N51" s="92"/>
      <c r="O51" s="92"/>
      <c r="P51" s="92"/>
      <c r="Q51" s="92"/>
      <c r="R51" s="92" t="s">
        <v>34</v>
      </c>
      <c r="S51" s="92"/>
      <c r="T51" s="92"/>
      <c r="U51" s="92"/>
      <c r="V51" s="92"/>
      <c r="W51" s="92" t="s">
        <v>35</v>
      </c>
      <c r="X51" s="92"/>
      <c r="Y51" s="92"/>
      <c r="Z51" s="92"/>
      <c r="AA51" s="94"/>
    </row>
    <row r="52" spans="8:27" x14ac:dyDescent="0.25">
      <c r="H52" s="90"/>
      <c r="I52" s="91"/>
      <c r="J52" s="91"/>
      <c r="K52" s="91"/>
      <c r="L52" s="91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5"/>
    </row>
    <row r="53" spans="8:27" x14ac:dyDescent="0.25">
      <c r="H53" s="90" t="s">
        <v>22</v>
      </c>
      <c r="I53" s="91"/>
      <c r="J53" s="91"/>
      <c r="K53" s="91"/>
      <c r="L53" s="91"/>
      <c r="M53" s="91">
        <v>35</v>
      </c>
      <c r="N53" s="91"/>
      <c r="O53" s="91"/>
      <c r="P53" s="91"/>
      <c r="Q53" s="91"/>
      <c r="R53" s="91">
        <v>25</v>
      </c>
      <c r="S53" s="91"/>
      <c r="T53" s="91"/>
      <c r="U53" s="91"/>
      <c r="V53" s="91"/>
      <c r="W53" s="91">
        <v>35</v>
      </c>
      <c r="X53" s="91"/>
      <c r="Y53" s="91"/>
      <c r="Z53" s="91"/>
      <c r="AA53" s="98"/>
    </row>
    <row r="54" spans="8:27" x14ac:dyDescent="0.25">
      <c r="H54" s="90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8"/>
    </row>
    <row r="55" spans="8:27" x14ac:dyDescent="0.25">
      <c r="H55" s="90" t="s">
        <v>36</v>
      </c>
      <c r="I55" s="91"/>
      <c r="J55" s="91"/>
      <c r="K55" s="91"/>
      <c r="L55" s="91"/>
      <c r="M55" s="91">
        <v>5</v>
      </c>
      <c r="N55" s="91"/>
      <c r="O55" s="91"/>
      <c r="P55" s="91"/>
      <c r="Q55" s="91"/>
      <c r="R55" s="91">
        <v>5</v>
      </c>
      <c r="S55" s="91"/>
      <c r="T55" s="91"/>
      <c r="U55" s="91"/>
      <c r="V55" s="91"/>
      <c r="W55" s="91">
        <v>4</v>
      </c>
      <c r="X55" s="91"/>
      <c r="Y55" s="91"/>
      <c r="Z55" s="91"/>
      <c r="AA55" s="98"/>
    </row>
    <row r="56" spans="8:27" x14ac:dyDescent="0.25">
      <c r="H56" s="90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8"/>
    </row>
    <row r="57" spans="8:27" x14ac:dyDescent="0.25">
      <c r="H57" s="90" t="s">
        <v>37</v>
      </c>
      <c r="I57" s="91"/>
      <c r="J57" s="91"/>
      <c r="K57" s="91"/>
      <c r="L57" s="91"/>
      <c r="M57" s="91">
        <v>111</v>
      </c>
      <c r="N57" s="91"/>
      <c r="O57" s="91"/>
      <c r="P57" s="91"/>
      <c r="Q57" s="91"/>
      <c r="R57" s="91">
        <v>111</v>
      </c>
      <c r="S57" s="91"/>
      <c r="T57" s="91"/>
      <c r="U57" s="91"/>
      <c r="V57" s="91"/>
      <c r="W57" s="91">
        <v>111</v>
      </c>
      <c r="X57" s="91"/>
      <c r="Y57" s="91"/>
      <c r="Z57" s="91"/>
      <c r="AA57" s="98"/>
    </row>
    <row r="58" spans="8:27" x14ac:dyDescent="0.25">
      <c r="H58" s="90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8"/>
    </row>
    <row r="59" spans="8:27" x14ac:dyDescent="0.25">
      <c r="H59" s="90" t="s">
        <v>38</v>
      </c>
      <c r="I59" s="91"/>
      <c r="J59" s="91"/>
      <c r="K59" s="91"/>
      <c r="L59" s="91"/>
      <c r="M59" s="99">
        <f>M57/M55</f>
        <v>22.2</v>
      </c>
      <c r="N59" s="99"/>
      <c r="O59" s="99"/>
      <c r="P59" s="99"/>
      <c r="Q59" s="99"/>
      <c r="R59" s="99">
        <f>R57/R55</f>
        <v>22.2</v>
      </c>
      <c r="S59" s="99"/>
      <c r="T59" s="99"/>
      <c r="U59" s="99"/>
      <c r="V59" s="99"/>
      <c r="W59" s="99">
        <f>W57/W55</f>
        <v>27.75</v>
      </c>
      <c r="X59" s="99"/>
      <c r="Y59" s="99"/>
      <c r="Z59" s="99"/>
      <c r="AA59" s="100"/>
    </row>
    <row r="60" spans="8:27" x14ac:dyDescent="0.25">
      <c r="H60" s="90"/>
      <c r="I60" s="91"/>
      <c r="J60" s="91"/>
      <c r="K60" s="91"/>
      <c r="L60" s="91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100"/>
    </row>
    <row r="61" spans="8:27" x14ac:dyDescent="0.25">
      <c r="H61" s="90" t="s">
        <v>39</v>
      </c>
      <c r="I61" s="91"/>
      <c r="J61" s="91"/>
      <c r="K61" s="91"/>
      <c r="L61" s="91"/>
      <c r="M61" s="103">
        <f>1-(M59/M53)</f>
        <v>0.36571428571428577</v>
      </c>
      <c r="N61" s="103"/>
      <c r="O61" s="103"/>
      <c r="P61" s="103"/>
      <c r="Q61" s="103"/>
      <c r="R61" s="103">
        <f>1-(R59/R53)</f>
        <v>0.11199999999999999</v>
      </c>
      <c r="S61" s="103"/>
      <c r="T61" s="103"/>
      <c r="U61" s="103"/>
      <c r="V61" s="103"/>
      <c r="W61" s="103">
        <f>1-(W59/W53)</f>
        <v>0.20714285714285718</v>
      </c>
      <c r="X61" s="103"/>
      <c r="Y61" s="103"/>
      <c r="Z61" s="103"/>
      <c r="AA61" s="104"/>
    </row>
    <row r="62" spans="8:27" x14ac:dyDescent="0.25">
      <c r="H62" s="90"/>
      <c r="I62" s="91"/>
      <c r="J62" s="91"/>
      <c r="K62" s="91"/>
      <c r="L62" s="91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4"/>
    </row>
    <row r="63" spans="8:27" x14ac:dyDescent="0.25">
      <c r="H63" s="107"/>
      <c r="I63" s="108"/>
      <c r="J63" s="108"/>
      <c r="K63" s="108"/>
      <c r="L63" s="108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6"/>
    </row>
    <row r="64" spans="8:27" x14ac:dyDescent="0.25">
      <c r="H64" s="107"/>
      <c r="I64" s="108"/>
      <c r="J64" s="108"/>
      <c r="K64" s="108"/>
      <c r="L64" s="108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6"/>
    </row>
    <row r="65" spans="8:27" x14ac:dyDescent="0.25">
      <c r="H65" s="90" t="s">
        <v>40</v>
      </c>
      <c r="I65" s="91"/>
      <c r="J65" s="91"/>
      <c r="K65" s="91"/>
      <c r="L65" s="91"/>
      <c r="M65" s="96">
        <f>3600/M53</f>
        <v>102.85714285714286</v>
      </c>
      <c r="N65" s="96"/>
      <c r="O65" s="96"/>
      <c r="P65" s="96"/>
      <c r="Q65" s="96"/>
      <c r="R65" s="96">
        <f>3600/R53</f>
        <v>144</v>
      </c>
      <c r="S65" s="96"/>
      <c r="T65" s="96"/>
      <c r="U65" s="96"/>
      <c r="V65" s="96"/>
      <c r="W65" s="96">
        <f>3600/W53</f>
        <v>102.85714285714286</v>
      </c>
      <c r="X65" s="96"/>
      <c r="Y65" s="96"/>
      <c r="Z65" s="96"/>
      <c r="AA65" s="97"/>
    </row>
    <row r="66" spans="8:27" x14ac:dyDescent="0.25">
      <c r="H66" s="90"/>
      <c r="I66" s="91"/>
      <c r="J66" s="91"/>
      <c r="K66" s="91"/>
      <c r="L66" s="91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7"/>
    </row>
    <row r="67" spans="8:27" x14ac:dyDescent="0.25">
      <c r="H67" s="90" t="s">
        <v>41</v>
      </c>
      <c r="I67" s="91"/>
      <c r="J67" s="91"/>
      <c r="K67" s="91"/>
      <c r="L67" s="91"/>
      <c r="M67" s="96">
        <f>M65/M55</f>
        <v>20.571428571428573</v>
      </c>
      <c r="N67" s="96"/>
      <c r="O67" s="96"/>
      <c r="P67" s="96"/>
      <c r="Q67" s="96"/>
      <c r="R67" s="96">
        <f>R65/R55</f>
        <v>28.8</v>
      </c>
      <c r="S67" s="96"/>
      <c r="T67" s="96"/>
      <c r="U67" s="96"/>
      <c r="V67" s="96"/>
      <c r="W67" s="96">
        <f>W65/W55</f>
        <v>25.714285714285715</v>
      </c>
      <c r="X67" s="96"/>
      <c r="Y67" s="96"/>
      <c r="Z67" s="96"/>
      <c r="AA67" s="97"/>
    </row>
    <row r="68" spans="8:27" ht="15.75" thickBot="1" x14ac:dyDescent="0.3">
      <c r="H68" s="109"/>
      <c r="I68" s="110"/>
      <c r="J68" s="110"/>
      <c r="K68" s="110"/>
      <c r="L68" s="110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2"/>
    </row>
  </sheetData>
  <mergeCells count="36">
    <mergeCell ref="H61:L62"/>
    <mergeCell ref="H63:L64"/>
    <mergeCell ref="H65:L66"/>
    <mergeCell ref="H67:L68"/>
    <mergeCell ref="H53:L54"/>
    <mergeCell ref="H55:L56"/>
    <mergeCell ref="M55:Q56"/>
    <mergeCell ref="R55:V56"/>
    <mergeCell ref="W55:AA56"/>
    <mergeCell ref="H57:L58"/>
    <mergeCell ref="H59:L60"/>
    <mergeCell ref="M67:Q68"/>
    <mergeCell ref="R67:V68"/>
    <mergeCell ref="W67:AA68"/>
    <mergeCell ref="M61:Q62"/>
    <mergeCell ref="R61:V62"/>
    <mergeCell ref="W61:AA62"/>
    <mergeCell ref="M63:Q64"/>
    <mergeCell ref="R63:V64"/>
    <mergeCell ref="W63:AA64"/>
    <mergeCell ref="H51:L52"/>
    <mergeCell ref="M51:Q52"/>
    <mergeCell ref="R51:V52"/>
    <mergeCell ref="W51:AA52"/>
    <mergeCell ref="M65:Q66"/>
    <mergeCell ref="R65:V66"/>
    <mergeCell ref="W65:AA66"/>
    <mergeCell ref="M57:Q58"/>
    <mergeCell ref="R57:V58"/>
    <mergeCell ref="W57:AA58"/>
    <mergeCell ref="M59:Q60"/>
    <mergeCell ref="R59:V60"/>
    <mergeCell ref="W59:AA60"/>
    <mergeCell ref="M53:Q54"/>
    <mergeCell ref="R53:V54"/>
    <mergeCell ref="W53:AA54"/>
  </mergeCells>
  <pageMargins left="0.51181102362204722" right="0.51181102362204722" top="0.74803149606299213" bottom="0.74803149606299213" header="0.31496062992125984" footer="0.31496062992125984"/>
  <pageSetup paperSize="9" scale="80" fitToWidth="0" orientation="landscape" r:id="rId1"/>
  <customProperties>
    <customPr name="DVSECTION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V36"/>
  <sheetViews>
    <sheetView workbookViewId="0">
      <selection activeCell="AH11" sqref="AH11"/>
    </sheetView>
  </sheetViews>
  <sheetFormatPr baseColWidth="10" defaultColWidth="9.140625" defaultRowHeight="15" x14ac:dyDescent="0.25"/>
  <sheetData>
    <row r="1" spans="1:256" ht="14.45" x14ac:dyDescent="0.3">
      <c r="A1">
        <f>IF('Yamazumi Data'!4:4,"AAAAAD82+wA=",0)</f>
        <v>0</v>
      </c>
      <c r="B1" t="e">
        <f>AND('Yamazumi Data'!B4,"AAAAAD82+wE=")</f>
        <v>#VALUE!</v>
      </c>
      <c r="C1" t="e">
        <f>AND('Yamazumi Data'!D4,"AAAAAD82+wI=")</f>
        <v>#VALUE!</v>
      </c>
      <c r="D1" t="e">
        <f>AND('Yamazumi Data'!F4,"AAAAAD82+wM=")</f>
        <v>#VALUE!</v>
      </c>
      <c r="E1" t="e">
        <f>AND('Yamazumi Data'!#REF!,"AAAAAD82+wQ=")</f>
        <v>#REF!</v>
      </c>
      <c r="F1" t="e">
        <f>AND('Yamazumi Data'!G4,"AAAAAD82+wU=")</f>
        <v>#VALUE!</v>
      </c>
      <c r="G1" t="e">
        <f>AND('Yamazumi Data'!#REF!,"AAAAAD82+wY=")</f>
        <v>#REF!</v>
      </c>
      <c r="H1" t="e">
        <f>AND('Yamazumi Data'!J4,"AAAAAD82+wc=")</f>
        <v>#VALUE!</v>
      </c>
      <c r="I1" t="e">
        <f>AND('Yamazumi Data'!#REF!,"AAAAAD82+wg=")</f>
        <v>#REF!</v>
      </c>
      <c r="J1" t="e">
        <f>AND('Yamazumi Data'!I4,"AAAAAD82+wk=")</f>
        <v>#VALUE!</v>
      </c>
      <c r="K1" t="e">
        <f>AND('Yamazumi Data'!M4,"AAAAAD82+wo=")</f>
        <v>#VALUE!</v>
      </c>
      <c r="L1" t="e">
        <f>AND('Yamazumi Data'!N4,"AAAAAD82+ws=")</f>
        <v>#VALUE!</v>
      </c>
      <c r="M1" t="e">
        <f>AND('Yamazumi Data'!K4,"AAAAAD82+ww=")</f>
        <v>#VALUE!</v>
      </c>
      <c r="N1" t="e">
        <f>AND('Yamazumi Data'!P4,"AAAAAD82+w0=")</f>
        <v>#VALUE!</v>
      </c>
      <c r="O1" t="e">
        <f>AND('Yamazumi Data'!Q4,"AAAAAD82+w4=")</f>
        <v>#VALUE!</v>
      </c>
      <c r="P1" t="e">
        <f>AND('Yamazumi Data'!#REF!,"AAAAAD82+w8=")</f>
        <v>#REF!</v>
      </c>
      <c r="Q1" t="e">
        <f>AND('Yamazumi Data'!#REF!,"AAAAAD82+xA=")</f>
        <v>#REF!</v>
      </c>
      <c r="R1" t="e">
        <f>AND('Yamazumi Data'!#REF!,"AAAAAD82+xE=")</f>
        <v>#REF!</v>
      </c>
      <c r="S1" t="e">
        <f>AND('Yamazumi Data'!R4,"AAAAAD82+xI=")</f>
        <v>#VALUE!</v>
      </c>
      <c r="T1" t="e">
        <f>AND('Yamazumi Data'!S4,"AAAAAD82+xM=")</f>
        <v>#VALUE!</v>
      </c>
      <c r="U1" t="e">
        <f>AND('Yamazumi Data'!T4,"AAAAAD82+xQ=")</f>
        <v>#VALUE!</v>
      </c>
      <c r="V1" t="e">
        <f>AND('Yamazumi Data'!U4,"AAAAAD82+xU=")</f>
        <v>#VALUE!</v>
      </c>
      <c r="W1" t="e">
        <f>AND('Yamazumi Data'!V4,"AAAAAD82+xY=")</f>
        <v>#VALUE!</v>
      </c>
      <c r="X1" t="e">
        <f>AND('Yamazumi Data'!AK4,"AAAAAD82+xc=")</f>
        <v>#VALUE!</v>
      </c>
      <c r="Y1">
        <f>IF('Yamazumi Data'!5:5,"AAAAAD82+xg=",0)</f>
        <v>0</v>
      </c>
      <c r="Z1" t="e">
        <f>AND('Yamazumi Data'!C5,"AAAAAD82+xk=")</f>
        <v>#VALUE!</v>
      </c>
      <c r="AA1" t="e">
        <f>AND('Yamazumi Data'!D5,"AAAAAD82+xo=")</f>
        <v>#VALUE!</v>
      </c>
      <c r="AB1" t="e">
        <f>AND('Yamazumi Data'!F5,"AAAAAD82+xs=")</f>
        <v>#VALUE!</v>
      </c>
      <c r="AC1" t="e">
        <f>AND('Yamazumi Data'!G5,"AAAAAD82+xw=")</f>
        <v>#VALUE!</v>
      </c>
      <c r="AD1" t="e">
        <f>AND('Yamazumi Data'!H5,"AAAAAD82+x0=")</f>
        <v>#VALUE!</v>
      </c>
      <c r="AE1" t="e">
        <f>AND('Yamazumi Data'!I5,"AAAAAD82+x4=")</f>
        <v>#VALUE!</v>
      </c>
      <c r="AF1" t="e">
        <f>AND('Yamazumi Data'!J5,"AAAAAD82+x8=")</f>
        <v>#VALUE!</v>
      </c>
      <c r="AG1" t="e">
        <f>AND('Yamazumi Data'!K5,"AAAAAD82+yA=")</f>
        <v>#VALUE!</v>
      </c>
      <c r="AH1" t="e">
        <f>AND('Yamazumi Data'!L5,"AAAAAD82+yE=")</f>
        <v>#VALUE!</v>
      </c>
      <c r="AI1" t="e">
        <f>AND('Yamazumi Data'!M5,"AAAAAD82+yI=")</f>
        <v>#VALUE!</v>
      </c>
      <c r="AJ1" t="e">
        <f>AND('Yamazumi Data'!N5,"AAAAAD82+yM=")</f>
        <v>#VALUE!</v>
      </c>
      <c r="AK1" t="e">
        <f>AND('Yamazumi Data'!O5,"AAAAAD82+yQ=")</f>
        <v>#VALUE!</v>
      </c>
      <c r="AL1" t="e">
        <f>AND('Yamazumi Data'!P5,"AAAAAD82+yU=")</f>
        <v>#VALUE!</v>
      </c>
      <c r="AM1" t="e">
        <f>AND('Yamazumi Data'!Q5,"AAAAAD82+yY=")</f>
        <v>#VALUE!</v>
      </c>
      <c r="AN1" t="e">
        <f>AND('Yamazumi Data'!#REF!,"AAAAAD82+yc=")</f>
        <v>#REF!</v>
      </c>
      <c r="AO1" t="e">
        <f>AND('Yamazumi Data'!#REF!,"AAAAAD82+yg=")</f>
        <v>#REF!</v>
      </c>
      <c r="AP1" t="e">
        <f>AND('Yamazumi Data'!#REF!,"AAAAAD82+yk=")</f>
        <v>#REF!</v>
      </c>
      <c r="AQ1" t="e">
        <f>AND('Yamazumi Data'!R5,"AAAAAD82+yo=")</f>
        <v>#VALUE!</v>
      </c>
      <c r="AR1" t="e">
        <f>AND('Yamazumi Data'!S5,"AAAAAD82+ys=")</f>
        <v>#VALUE!</v>
      </c>
      <c r="AS1" t="e">
        <f>AND('Yamazumi Data'!T5,"AAAAAD82+yw=")</f>
        <v>#VALUE!</v>
      </c>
      <c r="AT1" t="e">
        <f>AND('Yamazumi Data'!U5,"AAAAAD82+y0=")</f>
        <v>#VALUE!</v>
      </c>
      <c r="AU1" t="e">
        <f>AND('Yamazumi Data'!V5,"AAAAAD82+y4=")</f>
        <v>#VALUE!</v>
      </c>
      <c r="AV1" t="e">
        <f>AND('Yamazumi Data'!AK5,"AAAAAD82+y8=")</f>
        <v>#VALUE!</v>
      </c>
      <c r="AW1">
        <f>IF('Yamazumi Data'!6:6,"AAAAAD82+zA=",0)</f>
        <v>0</v>
      </c>
      <c r="AX1" t="e">
        <f>AND('Yamazumi Data'!B6,"AAAAAD82+zE=")</f>
        <v>#VALUE!</v>
      </c>
      <c r="AY1" t="e">
        <f>AND('Yamazumi Data'!D6,"AAAAAD82+zI=")</f>
        <v>#VALUE!</v>
      </c>
      <c r="AZ1" t="e">
        <f>AND('Yamazumi Data'!F6,"AAAAAD82+zM=")</f>
        <v>#VALUE!</v>
      </c>
      <c r="BA1" t="e">
        <f>AND('Yamazumi Data'!G6,"AAAAAD82+zQ=")</f>
        <v>#VALUE!</v>
      </c>
      <c r="BB1" t="e">
        <f>AND('Yamazumi Data'!H6,"AAAAAD82+zU=")</f>
        <v>#VALUE!</v>
      </c>
      <c r="BC1" t="e">
        <f>AND('Yamazumi Data'!I6,"AAAAAD82+zY=")</f>
        <v>#VALUE!</v>
      </c>
      <c r="BD1" t="e">
        <f>AND('Yamazumi Data'!J6,"AAAAAD82+zc=")</f>
        <v>#VALUE!</v>
      </c>
      <c r="BE1" t="e">
        <f>AND('Yamazumi Data'!K6,"AAAAAD82+zg=")</f>
        <v>#VALUE!</v>
      </c>
      <c r="BF1" t="e">
        <f>AND('Yamazumi Data'!L6,"AAAAAD82+zk=")</f>
        <v>#VALUE!</v>
      </c>
      <c r="BG1" t="e">
        <f>AND('Yamazumi Data'!M6,"AAAAAD82+zo=")</f>
        <v>#VALUE!</v>
      </c>
      <c r="BH1" t="e">
        <f>AND('Yamazumi Data'!N6,"AAAAAD82+zs=")</f>
        <v>#VALUE!</v>
      </c>
      <c r="BI1" t="e">
        <f>AND('Yamazumi Data'!O6,"AAAAAD82+zw=")</f>
        <v>#VALUE!</v>
      </c>
      <c r="BJ1" t="e">
        <f>AND('Yamazumi Data'!P6,"AAAAAD82+z0=")</f>
        <v>#VALUE!</v>
      </c>
      <c r="BK1" t="e">
        <f>AND('Yamazumi Data'!Q6,"AAAAAD82+z4=")</f>
        <v>#VALUE!</v>
      </c>
      <c r="BL1" t="e">
        <f>AND('Yamazumi Data'!#REF!,"AAAAAD82+z8=")</f>
        <v>#REF!</v>
      </c>
      <c r="BM1" t="e">
        <f>AND('Yamazumi Data'!#REF!,"AAAAAD82+0A=")</f>
        <v>#REF!</v>
      </c>
      <c r="BN1" t="e">
        <f>AND('Yamazumi Data'!#REF!,"AAAAAD82+0E=")</f>
        <v>#REF!</v>
      </c>
      <c r="BO1" t="e">
        <f>AND('Yamazumi Data'!R6,"AAAAAD82+0I=")</f>
        <v>#VALUE!</v>
      </c>
      <c r="BP1" t="e">
        <f>AND('Yamazumi Data'!S6,"AAAAAD82+0M=")</f>
        <v>#VALUE!</v>
      </c>
      <c r="BQ1" t="e">
        <f>AND('Yamazumi Data'!T6,"AAAAAD82+0Q=")</f>
        <v>#VALUE!</v>
      </c>
      <c r="BR1" t="e">
        <f>AND('Yamazumi Data'!U6,"AAAAAD82+0U=")</f>
        <v>#VALUE!</v>
      </c>
      <c r="BS1" t="e">
        <f>AND('Yamazumi Data'!V6,"AAAAAD82+0Y=")</f>
        <v>#VALUE!</v>
      </c>
      <c r="BT1" t="e">
        <f>AND('Yamazumi Data'!AK6,"AAAAAD82+0c=")</f>
        <v>#VALUE!</v>
      </c>
      <c r="BU1">
        <f>IF('Yamazumi Data'!8:8,"AAAAAD82+0g=",0)</f>
        <v>0</v>
      </c>
      <c r="BV1" t="e">
        <f>AND('Yamazumi Data'!B8,"AAAAAD82+0k=")</f>
        <v>#VALUE!</v>
      </c>
      <c r="BW1" t="e">
        <f>AND('Yamazumi Data'!D8,"AAAAAD82+0o=")</f>
        <v>#VALUE!</v>
      </c>
      <c r="BX1" t="e">
        <f>AND('Yamazumi Data'!F8,"AAAAAD82+0s=")</f>
        <v>#VALUE!</v>
      </c>
      <c r="BY1" t="e">
        <f>AND('Yamazumi Data'!G8,"AAAAAD82+0w=")</f>
        <v>#VALUE!</v>
      </c>
      <c r="BZ1" t="e">
        <f>AND('Yamazumi Data'!H8,"AAAAAD82+00=")</f>
        <v>#VALUE!</v>
      </c>
      <c r="CA1" t="e">
        <f>AND('Yamazumi Data'!I8,"AAAAAD82+04=")</f>
        <v>#VALUE!</v>
      </c>
      <c r="CB1" t="e">
        <f>AND('Yamazumi Data'!J8,"AAAAAD82+08=")</f>
        <v>#VALUE!</v>
      </c>
      <c r="CC1" t="e">
        <f>AND('Yamazumi Data'!K8,"AAAAAD82+1A=")</f>
        <v>#VALUE!</v>
      </c>
      <c r="CD1" t="e">
        <f>AND('Yamazumi Data'!L8,"AAAAAD82+1E=")</f>
        <v>#VALUE!</v>
      </c>
      <c r="CE1" t="e">
        <f>AND('Yamazumi Data'!M8,"AAAAAD82+1I=")</f>
        <v>#VALUE!</v>
      </c>
      <c r="CF1" t="e">
        <f>AND('Yamazumi Data'!N8,"AAAAAD82+1M=")</f>
        <v>#VALUE!</v>
      </c>
      <c r="CG1" t="e">
        <f>AND('Yamazumi Data'!O8,"AAAAAD82+1Q=")</f>
        <v>#VALUE!</v>
      </c>
      <c r="CH1" t="e">
        <f>AND('Yamazumi Data'!P8,"AAAAAD82+1U=")</f>
        <v>#VALUE!</v>
      </c>
      <c r="CI1" t="e">
        <f>AND('Yamazumi Data'!Q8,"AAAAAD82+1Y=")</f>
        <v>#VALUE!</v>
      </c>
      <c r="CJ1" t="e">
        <f>AND('Yamazumi Data'!#REF!,"AAAAAD82+1c=")</f>
        <v>#REF!</v>
      </c>
      <c r="CK1" t="e">
        <f>AND('Yamazumi Data'!#REF!,"AAAAAD82+1g=")</f>
        <v>#REF!</v>
      </c>
      <c r="CL1" t="e">
        <f>AND('Yamazumi Data'!#REF!,"AAAAAD82+1k=")</f>
        <v>#REF!</v>
      </c>
      <c r="CM1" t="e">
        <f>AND('Yamazumi Data'!R8,"AAAAAD82+1o=")</f>
        <v>#VALUE!</v>
      </c>
      <c r="CN1" t="e">
        <f>AND('Yamazumi Data'!S8,"AAAAAD82+1s=")</f>
        <v>#VALUE!</v>
      </c>
      <c r="CO1" t="e">
        <f>AND('Yamazumi Data'!T8,"AAAAAD82+1w=")</f>
        <v>#VALUE!</v>
      </c>
      <c r="CP1" t="e">
        <f>AND('Yamazumi Data'!U8,"AAAAAD82+10=")</f>
        <v>#VALUE!</v>
      </c>
      <c r="CQ1" t="e">
        <f>AND('Yamazumi Data'!V8,"AAAAAD82+14=")</f>
        <v>#VALUE!</v>
      </c>
      <c r="CR1" t="e">
        <f>AND('Yamazumi Data'!AK8,"AAAAAD82+18=")</f>
        <v>#VALUE!</v>
      </c>
      <c r="CS1">
        <f>IF('Yamazumi Data'!10:10,"AAAAAD82+2A=",0)</f>
        <v>0</v>
      </c>
      <c r="CT1" t="e">
        <f>AND('Yamazumi Data'!C10,"AAAAAD82+2E=")</f>
        <v>#VALUE!</v>
      </c>
      <c r="CU1" t="e">
        <f>AND('Yamazumi Data'!D10,"AAAAAD82+2I=")</f>
        <v>#VALUE!</v>
      </c>
      <c r="CV1" t="e">
        <f>AND('Yamazumi Data'!F10,"AAAAAD82+2M=")</f>
        <v>#VALUE!</v>
      </c>
      <c r="CW1" t="e">
        <f>AND('Yamazumi Data'!G10,"AAAAAD82+2Q=")</f>
        <v>#VALUE!</v>
      </c>
      <c r="CX1" t="e">
        <f>AND('Yamazumi Data'!H10,"AAAAAD82+2U=")</f>
        <v>#VALUE!</v>
      </c>
      <c r="CY1" t="e">
        <f>AND('Yamazumi Data'!I10,"AAAAAD82+2Y=")</f>
        <v>#VALUE!</v>
      </c>
      <c r="CZ1" t="e">
        <f>AND('Yamazumi Data'!J10,"AAAAAD82+2c=")</f>
        <v>#VALUE!</v>
      </c>
      <c r="DA1" t="e">
        <f>AND('Yamazumi Data'!K10,"AAAAAD82+2g=")</f>
        <v>#VALUE!</v>
      </c>
      <c r="DB1" t="e">
        <f>AND('Yamazumi Data'!L10,"AAAAAD82+2k=")</f>
        <v>#VALUE!</v>
      </c>
      <c r="DC1" t="e">
        <f>AND('Yamazumi Data'!M10,"AAAAAD82+2o=")</f>
        <v>#VALUE!</v>
      </c>
      <c r="DD1" t="e">
        <f>AND('Yamazumi Data'!N10,"AAAAAD82+2s=")</f>
        <v>#VALUE!</v>
      </c>
      <c r="DE1" t="e">
        <f>AND('Yamazumi Data'!O10,"AAAAAD82+2w=")</f>
        <v>#VALUE!</v>
      </c>
      <c r="DF1" t="e">
        <f>AND('Yamazumi Data'!P10,"AAAAAD82+20=")</f>
        <v>#VALUE!</v>
      </c>
      <c r="DG1" t="e">
        <f>AND('Yamazumi Data'!Q10,"AAAAAD82+24=")</f>
        <v>#VALUE!</v>
      </c>
      <c r="DH1" t="e">
        <f>AND('Yamazumi Data'!#REF!,"AAAAAD82+28=")</f>
        <v>#REF!</v>
      </c>
      <c r="DI1" t="e">
        <f>AND('Yamazumi Data'!#REF!,"AAAAAD82+3A=")</f>
        <v>#REF!</v>
      </c>
      <c r="DJ1" t="e">
        <f>AND('Yamazumi Data'!#REF!,"AAAAAD82+3E=")</f>
        <v>#REF!</v>
      </c>
      <c r="DK1">
        <f>IF('Yamazumi Data'!11:11,"AAAAAD82+3I=",0)</f>
        <v>0</v>
      </c>
      <c r="DL1" t="e">
        <f>AND('Yamazumi Data'!C11,"AAAAAD82+3M=")</f>
        <v>#VALUE!</v>
      </c>
      <c r="DM1" t="e">
        <f>AND('Yamazumi Data'!D11,"AAAAAD82+3Q=")</f>
        <v>#VALUE!</v>
      </c>
      <c r="DN1" t="e">
        <f>AND('Yamazumi Data'!F11,"AAAAAD82+3U=")</f>
        <v>#VALUE!</v>
      </c>
      <c r="DO1" t="e">
        <f>AND('Yamazumi Data'!G11,"AAAAAD82+3Y=")</f>
        <v>#VALUE!</v>
      </c>
      <c r="DP1" t="e">
        <f>AND('Yamazumi Data'!H11,"AAAAAD82+3c=")</f>
        <v>#VALUE!</v>
      </c>
      <c r="DQ1" t="e">
        <f>AND('Yamazumi Data'!I11,"AAAAAD82+3g=")</f>
        <v>#VALUE!</v>
      </c>
      <c r="DR1" t="e">
        <f>AND('Yamazumi Data'!J11,"AAAAAD82+3k=")</f>
        <v>#VALUE!</v>
      </c>
      <c r="DS1" t="e">
        <f>AND('Yamazumi Data'!K11,"AAAAAD82+3o=")</f>
        <v>#VALUE!</v>
      </c>
      <c r="DT1" t="e">
        <f>AND('Yamazumi Data'!L11,"AAAAAD82+3s=")</f>
        <v>#VALUE!</v>
      </c>
      <c r="DU1" t="e">
        <f>AND('Yamazumi Data'!M11,"AAAAAD82+3w=")</f>
        <v>#VALUE!</v>
      </c>
      <c r="DV1" t="e">
        <f>AND('Yamazumi Data'!N11,"AAAAAD82+30=")</f>
        <v>#VALUE!</v>
      </c>
      <c r="DW1" t="e">
        <f>AND('Yamazumi Data'!O11,"AAAAAD82+34=")</f>
        <v>#VALUE!</v>
      </c>
      <c r="DX1" t="e">
        <f>AND('Yamazumi Data'!P11,"AAAAAD82+38=")</f>
        <v>#VALUE!</v>
      </c>
      <c r="DY1" t="e">
        <f>AND('Yamazumi Data'!Q11,"AAAAAD82+4A=")</f>
        <v>#VALUE!</v>
      </c>
      <c r="DZ1" t="e">
        <f>AND('Yamazumi Data'!#REF!,"AAAAAD82+4E=")</f>
        <v>#REF!</v>
      </c>
      <c r="EA1" t="e">
        <f>AND('Yamazumi Data'!#REF!,"AAAAAD82+4I=")</f>
        <v>#REF!</v>
      </c>
      <c r="EB1" t="e">
        <f>AND('Yamazumi Data'!#REF!,"AAAAAD82+4M=")</f>
        <v>#REF!</v>
      </c>
      <c r="EC1">
        <f>IF('Yamazumi Data'!12:12,"AAAAAD82+4Q=",0)</f>
        <v>0</v>
      </c>
      <c r="ED1" t="e">
        <f>AND('Yamazumi Data'!C12,"AAAAAD82+4U=")</f>
        <v>#VALUE!</v>
      </c>
      <c r="EE1" t="e">
        <f>AND('Yamazumi Data'!D12,"AAAAAD82+4Y=")</f>
        <v>#VALUE!</v>
      </c>
      <c r="EF1" t="e">
        <f>AND('Yamazumi Data'!F12,"AAAAAD82+4c=")</f>
        <v>#VALUE!</v>
      </c>
      <c r="EG1" t="e">
        <f>AND('Yamazumi Data'!G12,"AAAAAD82+4g=")</f>
        <v>#VALUE!</v>
      </c>
      <c r="EH1" t="e">
        <f>AND('Yamazumi Data'!H12,"AAAAAD82+4k=")</f>
        <v>#VALUE!</v>
      </c>
      <c r="EI1" t="e">
        <f>AND('Yamazumi Data'!I12,"AAAAAD82+4o=")</f>
        <v>#VALUE!</v>
      </c>
      <c r="EJ1" t="e">
        <f>AND('Yamazumi Data'!J12,"AAAAAD82+4s=")</f>
        <v>#VALUE!</v>
      </c>
      <c r="EK1" t="e">
        <f>AND('Yamazumi Data'!K12,"AAAAAD82+4w=")</f>
        <v>#VALUE!</v>
      </c>
      <c r="EL1" t="e">
        <f>AND('Yamazumi Data'!L12,"AAAAAD82+40=")</f>
        <v>#VALUE!</v>
      </c>
      <c r="EM1" t="e">
        <f>AND('Yamazumi Data'!M12,"AAAAAD82+44=")</f>
        <v>#VALUE!</v>
      </c>
      <c r="EN1" t="e">
        <f>AND('Yamazumi Data'!N12,"AAAAAD82+48=")</f>
        <v>#VALUE!</v>
      </c>
      <c r="EO1" t="e">
        <f>AND('Yamazumi Data'!O12,"AAAAAD82+5A=")</f>
        <v>#VALUE!</v>
      </c>
      <c r="EP1" t="e">
        <f>AND('Yamazumi Data'!P12,"AAAAAD82+5E=")</f>
        <v>#VALUE!</v>
      </c>
      <c r="EQ1" t="e">
        <f>AND('Yamazumi Data'!Q12,"AAAAAD82+5I=")</f>
        <v>#VALUE!</v>
      </c>
      <c r="ER1" t="e">
        <f>AND('Yamazumi Data'!#REF!,"AAAAAD82+5M=")</f>
        <v>#REF!</v>
      </c>
      <c r="ES1" t="e">
        <f>AND('Yamazumi Data'!#REF!,"AAAAAD82+5Q=")</f>
        <v>#REF!</v>
      </c>
      <c r="ET1" t="e">
        <f>AND('Yamazumi Data'!#REF!,"AAAAAD82+5U=")</f>
        <v>#REF!</v>
      </c>
      <c r="EU1">
        <f>IF('Yamazumi Data'!13:13,"AAAAAD82+5Y=",0)</f>
        <v>0</v>
      </c>
      <c r="EV1" t="e">
        <f>AND('Yamazumi Data'!C13,"AAAAAD82+5c=")</f>
        <v>#VALUE!</v>
      </c>
      <c r="EW1" t="e">
        <f>AND('Yamazumi Data'!D13,"AAAAAD82+5g=")</f>
        <v>#VALUE!</v>
      </c>
      <c r="EX1" t="e">
        <f>AND('Yamazumi Data'!F13,"AAAAAD82+5k=")</f>
        <v>#VALUE!</v>
      </c>
      <c r="EY1" t="e">
        <f>AND('Yamazumi Data'!G13,"AAAAAD82+5o=")</f>
        <v>#VALUE!</v>
      </c>
      <c r="EZ1" t="e">
        <f>AND('Yamazumi Data'!H13,"AAAAAD82+5s=")</f>
        <v>#VALUE!</v>
      </c>
      <c r="FA1" t="e">
        <f>AND('Yamazumi Data'!I13,"AAAAAD82+5w=")</f>
        <v>#VALUE!</v>
      </c>
      <c r="FB1" t="e">
        <f>AND('Yamazumi Data'!J13,"AAAAAD82+50=")</f>
        <v>#VALUE!</v>
      </c>
      <c r="FC1" t="e">
        <f>AND('Yamazumi Data'!K13,"AAAAAD82+54=")</f>
        <v>#VALUE!</v>
      </c>
      <c r="FD1" t="e">
        <f>AND('Yamazumi Data'!L13,"AAAAAD82+58=")</f>
        <v>#VALUE!</v>
      </c>
      <c r="FE1" t="e">
        <f>AND('Yamazumi Data'!M13,"AAAAAD82+6A=")</f>
        <v>#VALUE!</v>
      </c>
      <c r="FF1" t="e">
        <f>AND('Yamazumi Data'!N13,"AAAAAD82+6E=")</f>
        <v>#VALUE!</v>
      </c>
      <c r="FG1" t="e">
        <f>AND('Yamazumi Data'!O13,"AAAAAD82+6I=")</f>
        <v>#VALUE!</v>
      </c>
      <c r="FH1" t="e">
        <f>AND('Yamazumi Data'!P13,"AAAAAD82+6M=")</f>
        <v>#VALUE!</v>
      </c>
      <c r="FI1" t="e">
        <f>AND('Yamazumi Data'!Q13,"AAAAAD82+6Q=")</f>
        <v>#VALUE!</v>
      </c>
      <c r="FJ1" t="e">
        <f>AND('Yamazumi Data'!#REF!,"AAAAAD82+6U=")</f>
        <v>#REF!</v>
      </c>
      <c r="FK1" t="e">
        <f>AND('Yamazumi Data'!#REF!,"AAAAAD82+6Y=")</f>
        <v>#REF!</v>
      </c>
      <c r="FL1" t="e">
        <f>AND('Yamazumi Data'!#REF!,"AAAAAD82+6c=")</f>
        <v>#REF!</v>
      </c>
      <c r="FM1">
        <f>IF('Yamazumi Data'!14:14,"AAAAAD82+6g=",0)</f>
        <v>0</v>
      </c>
      <c r="FN1" t="e">
        <f>AND('Yamazumi Data'!C14,"AAAAAD82+6k=")</f>
        <v>#VALUE!</v>
      </c>
      <c r="FO1" t="e">
        <f>AND('Yamazumi Data'!D14,"AAAAAD82+6o=")</f>
        <v>#VALUE!</v>
      </c>
      <c r="FP1" t="e">
        <f>AND('Yamazumi Data'!F14,"AAAAAD82+6s=")</f>
        <v>#VALUE!</v>
      </c>
      <c r="FQ1" t="e">
        <f>AND('Yamazumi Data'!G14,"AAAAAD82+6w=")</f>
        <v>#VALUE!</v>
      </c>
      <c r="FR1" t="e">
        <f>AND('Yamazumi Data'!H14,"AAAAAD82+60=")</f>
        <v>#VALUE!</v>
      </c>
      <c r="FS1" t="e">
        <f>AND('Yamazumi Data'!I14,"AAAAAD82+64=")</f>
        <v>#VALUE!</v>
      </c>
      <c r="FT1" t="e">
        <f>AND('Yamazumi Data'!J14,"AAAAAD82+68=")</f>
        <v>#VALUE!</v>
      </c>
      <c r="FU1" t="e">
        <f>AND('Yamazumi Data'!K14,"AAAAAD82+7A=")</f>
        <v>#VALUE!</v>
      </c>
      <c r="FV1" t="e">
        <f>AND('Yamazumi Data'!L14,"AAAAAD82+7E=")</f>
        <v>#VALUE!</v>
      </c>
      <c r="FW1" t="e">
        <f>AND('Yamazumi Data'!M14,"AAAAAD82+7I=")</f>
        <v>#VALUE!</v>
      </c>
      <c r="FX1" t="e">
        <f>AND('Yamazumi Data'!N14,"AAAAAD82+7M=")</f>
        <v>#VALUE!</v>
      </c>
      <c r="FY1" t="e">
        <f>AND('Yamazumi Data'!O14,"AAAAAD82+7Q=")</f>
        <v>#VALUE!</v>
      </c>
      <c r="FZ1" t="e">
        <f>AND('Yamazumi Data'!P14,"AAAAAD82+7U=")</f>
        <v>#VALUE!</v>
      </c>
      <c r="GA1" t="e">
        <f>AND('Yamazumi Data'!Q14,"AAAAAD82+7Y=")</f>
        <v>#VALUE!</v>
      </c>
      <c r="GB1" t="e">
        <f>AND('Yamazumi Data'!#REF!,"AAAAAD82+7c=")</f>
        <v>#REF!</v>
      </c>
      <c r="GC1" t="e">
        <f>AND('Yamazumi Data'!#REF!,"AAAAAD82+7g=")</f>
        <v>#REF!</v>
      </c>
      <c r="GD1" t="e">
        <f>AND('Yamazumi Data'!#REF!,"AAAAAD82+7k=")</f>
        <v>#REF!</v>
      </c>
      <c r="GE1">
        <f>IF('Yamazumi Data'!15:15,"AAAAAD82+7o=",0)</f>
        <v>0</v>
      </c>
      <c r="GF1" t="e">
        <f>AND('Yamazumi Data'!C15,"AAAAAD82+7s=")</f>
        <v>#VALUE!</v>
      </c>
      <c r="GG1" t="e">
        <f>AND('Yamazumi Data'!D15,"AAAAAD82+7w=")</f>
        <v>#VALUE!</v>
      </c>
      <c r="GH1" t="e">
        <f>AND('Yamazumi Data'!F15,"AAAAAD82+70=")</f>
        <v>#VALUE!</v>
      </c>
      <c r="GI1" t="e">
        <f>AND('Yamazumi Data'!G15,"AAAAAD82+74=")</f>
        <v>#VALUE!</v>
      </c>
      <c r="GJ1" t="e">
        <f>AND('Yamazumi Data'!H15,"AAAAAD82+78=")</f>
        <v>#VALUE!</v>
      </c>
      <c r="GK1" t="e">
        <f>AND('Yamazumi Data'!I15,"AAAAAD82+8A=")</f>
        <v>#VALUE!</v>
      </c>
      <c r="GL1" t="e">
        <f>AND('Yamazumi Data'!J15,"AAAAAD82+8E=")</f>
        <v>#VALUE!</v>
      </c>
      <c r="GM1" t="e">
        <f>AND('Yamazumi Data'!K15,"AAAAAD82+8I=")</f>
        <v>#VALUE!</v>
      </c>
      <c r="GN1" t="e">
        <f>AND('Yamazumi Data'!L15,"AAAAAD82+8M=")</f>
        <v>#VALUE!</v>
      </c>
      <c r="GO1" t="e">
        <f>AND('Yamazumi Data'!M15,"AAAAAD82+8Q=")</f>
        <v>#VALUE!</v>
      </c>
      <c r="GP1" t="e">
        <f>AND('Yamazumi Data'!N15,"AAAAAD82+8U=")</f>
        <v>#VALUE!</v>
      </c>
      <c r="GQ1" t="e">
        <f>AND('Yamazumi Data'!O15,"AAAAAD82+8Y=")</f>
        <v>#VALUE!</v>
      </c>
      <c r="GR1" t="e">
        <f>AND('Yamazumi Data'!P15,"AAAAAD82+8c=")</f>
        <v>#VALUE!</v>
      </c>
      <c r="GS1" t="e">
        <f>AND('Yamazumi Data'!Q15,"AAAAAD82+8g=")</f>
        <v>#VALUE!</v>
      </c>
      <c r="GT1" t="e">
        <f>AND('Yamazumi Data'!#REF!,"AAAAAD82+8k=")</f>
        <v>#REF!</v>
      </c>
      <c r="GU1" t="e">
        <f>AND('Yamazumi Data'!#REF!,"AAAAAD82+8o=")</f>
        <v>#REF!</v>
      </c>
      <c r="GV1" t="e">
        <f>AND('Yamazumi Data'!#REF!,"AAAAAD82+8s=")</f>
        <v>#REF!</v>
      </c>
      <c r="GW1">
        <f>IF('Yamazumi Data'!16:16,"AAAAAD82+8w=",0)</f>
        <v>0</v>
      </c>
      <c r="GX1" t="e">
        <f>AND('Yamazumi Data'!C16,"AAAAAD82+80=")</f>
        <v>#VALUE!</v>
      </c>
      <c r="GY1" t="e">
        <f>AND('Yamazumi Data'!D16,"AAAAAD82+84=")</f>
        <v>#VALUE!</v>
      </c>
      <c r="GZ1" t="e">
        <f>AND('Yamazumi Data'!F16,"AAAAAD82+88=")</f>
        <v>#VALUE!</v>
      </c>
      <c r="HA1" t="e">
        <f>AND('Yamazumi Data'!G16,"AAAAAD82+9A=")</f>
        <v>#VALUE!</v>
      </c>
      <c r="HB1" t="e">
        <f>AND('Yamazumi Data'!H16,"AAAAAD82+9E=")</f>
        <v>#VALUE!</v>
      </c>
      <c r="HC1" t="e">
        <f>AND('Yamazumi Data'!I16,"AAAAAD82+9I=")</f>
        <v>#VALUE!</v>
      </c>
      <c r="HD1" t="e">
        <f>AND('Yamazumi Data'!J16,"AAAAAD82+9M=")</f>
        <v>#VALUE!</v>
      </c>
      <c r="HE1" t="e">
        <f>AND('Yamazumi Data'!K16,"AAAAAD82+9Q=")</f>
        <v>#VALUE!</v>
      </c>
      <c r="HF1" t="e">
        <f>AND('Yamazumi Data'!L16,"AAAAAD82+9U=")</f>
        <v>#VALUE!</v>
      </c>
      <c r="HG1" t="e">
        <f>AND('Yamazumi Data'!M16,"AAAAAD82+9Y=")</f>
        <v>#VALUE!</v>
      </c>
      <c r="HH1" t="e">
        <f>AND('Yamazumi Data'!N16,"AAAAAD82+9c=")</f>
        <v>#VALUE!</v>
      </c>
      <c r="HI1" t="e">
        <f>AND('Yamazumi Data'!O16,"AAAAAD82+9g=")</f>
        <v>#VALUE!</v>
      </c>
      <c r="HJ1" t="e">
        <f>AND('Yamazumi Data'!P16,"AAAAAD82+9k=")</f>
        <v>#VALUE!</v>
      </c>
      <c r="HK1" t="e">
        <f>AND('Yamazumi Data'!Q16,"AAAAAD82+9o=")</f>
        <v>#VALUE!</v>
      </c>
      <c r="HL1" t="e">
        <f>AND('Yamazumi Data'!#REF!,"AAAAAD82+9s=")</f>
        <v>#REF!</v>
      </c>
      <c r="HM1" t="e">
        <f>AND('Yamazumi Data'!#REF!,"AAAAAD82+9w=")</f>
        <v>#REF!</v>
      </c>
      <c r="HN1" t="e">
        <f>AND('Yamazumi Data'!#REF!,"AAAAAD82+90=")</f>
        <v>#REF!</v>
      </c>
      <c r="HO1">
        <f>IF('Yamazumi Data'!17:17,"AAAAAD82+94=",0)</f>
        <v>0</v>
      </c>
      <c r="HP1" t="e">
        <f>AND('Yamazumi Data'!C17,"AAAAAD82+98=")</f>
        <v>#VALUE!</v>
      </c>
      <c r="HQ1" t="e">
        <f>AND('Yamazumi Data'!D17,"AAAAAD82++A=")</f>
        <v>#VALUE!</v>
      </c>
      <c r="HR1" t="e">
        <f>AND('Yamazumi Data'!F17,"AAAAAD82++E=")</f>
        <v>#VALUE!</v>
      </c>
      <c r="HS1" t="e">
        <f>AND('Yamazumi Data'!G17,"AAAAAD82++I=")</f>
        <v>#VALUE!</v>
      </c>
      <c r="HT1" t="e">
        <f>AND('Yamazumi Data'!H17,"AAAAAD82++M=")</f>
        <v>#VALUE!</v>
      </c>
      <c r="HU1" t="e">
        <f>AND('Yamazumi Data'!I17,"AAAAAD82++Q=")</f>
        <v>#VALUE!</v>
      </c>
      <c r="HV1" t="e">
        <f>AND('Yamazumi Data'!J17,"AAAAAD82++U=")</f>
        <v>#VALUE!</v>
      </c>
      <c r="HW1" t="e">
        <f>AND('Yamazumi Data'!K17,"AAAAAD82++Y=")</f>
        <v>#VALUE!</v>
      </c>
      <c r="HX1" t="e">
        <f>AND('Yamazumi Data'!L17,"AAAAAD82++c=")</f>
        <v>#VALUE!</v>
      </c>
      <c r="HY1" t="e">
        <f>AND('Yamazumi Data'!M17,"AAAAAD82++g=")</f>
        <v>#VALUE!</v>
      </c>
      <c r="HZ1" t="e">
        <f>AND('Yamazumi Data'!N17,"AAAAAD82++k=")</f>
        <v>#VALUE!</v>
      </c>
      <c r="IA1" t="e">
        <f>AND('Yamazumi Data'!O17,"AAAAAD82++o=")</f>
        <v>#VALUE!</v>
      </c>
      <c r="IB1" t="e">
        <f>AND('Yamazumi Data'!P17,"AAAAAD82++s=")</f>
        <v>#VALUE!</v>
      </c>
      <c r="IC1" t="e">
        <f>AND('Yamazumi Data'!Q17,"AAAAAD82++w=")</f>
        <v>#VALUE!</v>
      </c>
      <c r="ID1" t="e">
        <f>AND('Yamazumi Data'!#REF!,"AAAAAD82++0=")</f>
        <v>#REF!</v>
      </c>
      <c r="IE1" t="e">
        <f>AND('Yamazumi Data'!#REF!,"AAAAAD82++4=")</f>
        <v>#REF!</v>
      </c>
      <c r="IF1" t="e">
        <f>AND('Yamazumi Data'!#REF!,"AAAAAD82++8=")</f>
        <v>#REF!</v>
      </c>
      <c r="IG1">
        <f>IF('Yamazumi Data'!18:18,"AAAAAD82+/A=",0)</f>
        <v>0</v>
      </c>
      <c r="IH1" t="e">
        <f>AND('Yamazumi Data'!C18,"AAAAAD82+/E=")</f>
        <v>#VALUE!</v>
      </c>
      <c r="II1" t="e">
        <f>AND('Yamazumi Data'!D18,"AAAAAD82+/I=")</f>
        <v>#VALUE!</v>
      </c>
      <c r="IJ1" t="e">
        <f>AND('Yamazumi Data'!F18,"AAAAAD82+/M=")</f>
        <v>#VALUE!</v>
      </c>
      <c r="IK1" t="e">
        <f>AND('Yamazumi Data'!G18,"AAAAAD82+/Q=")</f>
        <v>#VALUE!</v>
      </c>
      <c r="IL1" t="e">
        <f>AND('Yamazumi Data'!H18,"AAAAAD82+/U=")</f>
        <v>#VALUE!</v>
      </c>
      <c r="IM1" t="e">
        <f>AND('Yamazumi Data'!I18,"AAAAAD82+/Y=")</f>
        <v>#VALUE!</v>
      </c>
      <c r="IN1" t="e">
        <f>AND('Yamazumi Data'!J18,"AAAAAD82+/c=")</f>
        <v>#VALUE!</v>
      </c>
      <c r="IO1" t="e">
        <f>AND('Yamazumi Data'!K18,"AAAAAD82+/g=")</f>
        <v>#VALUE!</v>
      </c>
      <c r="IP1" t="e">
        <f>AND('Yamazumi Data'!L18,"AAAAAD82+/k=")</f>
        <v>#VALUE!</v>
      </c>
      <c r="IQ1" t="e">
        <f>AND('Yamazumi Data'!M18,"AAAAAD82+/o=")</f>
        <v>#VALUE!</v>
      </c>
      <c r="IR1" t="e">
        <f>AND('Yamazumi Data'!N18,"AAAAAD82+/s=")</f>
        <v>#VALUE!</v>
      </c>
      <c r="IS1" t="e">
        <f>AND('Yamazumi Data'!O18,"AAAAAD82+/w=")</f>
        <v>#VALUE!</v>
      </c>
      <c r="IT1" t="e">
        <f>AND('Yamazumi Data'!P18,"AAAAAD82+/0=")</f>
        <v>#VALUE!</v>
      </c>
      <c r="IU1" t="e">
        <f>AND('Yamazumi Data'!Q18,"AAAAAD82+/4=")</f>
        <v>#VALUE!</v>
      </c>
      <c r="IV1" t="e">
        <f>AND('Yamazumi Data'!#REF!,"AAAAAD82+/8=")</f>
        <v>#REF!</v>
      </c>
    </row>
    <row r="2" spans="1:256" ht="14.45" x14ac:dyDescent="0.3">
      <c r="A2" t="e">
        <f>AND('Yamazumi Data'!#REF!,"AAAAAHa+5wA=")</f>
        <v>#REF!</v>
      </c>
      <c r="B2" t="e">
        <f>AND('Yamazumi Data'!#REF!,"AAAAAHa+5wE=")</f>
        <v>#REF!</v>
      </c>
      <c r="C2" t="e">
        <f>IF('Yamazumi Data'!19:19,"AAAAAHa+5wI=",0)</f>
        <v>#VALUE!</v>
      </c>
      <c r="D2" t="e">
        <f>AND('Yamazumi Data'!C19,"AAAAAHa+5wM=")</f>
        <v>#VALUE!</v>
      </c>
      <c r="E2" t="e">
        <f>AND('Yamazumi Data'!D19,"AAAAAHa+5wQ=")</f>
        <v>#VALUE!</v>
      </c>
      <c r="F2" t="e">
        <f>AND('Yamazumi Data'!F19,"AAAAAHa+5wU=")</f>
        <v>#VALUE!</v>
      </c>
      <c r="G2" t="e">
        <f>AND('Yamazumi Data'!G19,"AAAAAHa+5wY=")</f>
        <v>#VALUE!</v>
      </c>
      <c r="H2" t="e">
        <f>AND('Yamazumi Data'!H19,"AAAAAHa+5wc=")</f>
        <v>#VALUE!</v>
      </c>
      <c r="I2" t="e">
        <f>AND('Yamazumi Data'!I19,"AAAAAHa+5wg=")</f>
        <v>#VALUE!</v>
      </c>
      <c r="J2" t="e">
        <f>AND('Yamazumi Data'!J19,"AAAAAHa+5wk=")</f>
        <v>#VALUE!</v>
      </c>
      <c r="K2" t="e">
        <f>AND('Yamazumi Data'!K19,"AAAAAHa+5wo=")</f>
        <v>#VALUE!</v>
      </c>
      <c r="L2" t="e">
        <f>AND('Yamazumi Data'!L19,"AAAAAHa+5ws=")</f>
        <v>#VALUE!</v>
      </c>
      <c r="M2" t="e">
        <f>AND('Yamazumi Data'!M19,"AAAAAHa+5ww=")</f>
        <v>#VALUE!</v>
      </c>
      <c r="N2" t="e">
        <f>AND('Yamazumi Data'!N19,"AAAAAHa+5w0=")</f>
        <v>#VALUE!</v>
      </c>
      <c r="O2" t="e">
        <f>AND('Yamazumi Data'!O19,"AAAAAHa+5w4=")</f>
        <v>#VALUE!</v>
      </c>
      <c r="P2" t="e">
        <f>AND('Yamazumi Data'!P19,"AAAAAHa+5w8=")</f>
        <v>#VALUE!</v>
      </c>
      <c r="Q2" t="e">
        <f>AND('Yamazumi Data'!Q19,"AAAAAHa+5xA=")</f>
        <v>#VALUE!</v>
      </c>
      <c r="R2" t="e">
        <f>AND('Yamazumi Data'!#REF!,"AAAAAHa+5xE=")</f>
        <v>#REF!</v>
      </c>
      <c r="S2" t="e">
        <f>AND('Yamazumi Data'!#REF!,"AAAAAHa+5xI=")</f>
        <v>#REF!</v>
      </c>
      <c r="T2" t="e">
        <f>AND('Yamazumi Data'!#REF!,"AAAAAHa+5xM=")</f>
        <v>#REF!</v>
      </c>
      <c r="U2">
        <f>IF('Yamazumi Data'!20:20,"AAAAAHa+5xQ=",0)</f>
        <v>0</v>
      </c>
      <c r="V2" t="e">
        <f>AND('Yamazumi Data'!C20,"AAAAAHa+5xU=")</f>
        <v>#VALUE!</v>
      </c>
      <c r="W2" t="e">
        <f>AND('Yamazumi Data'!D20,"AAAAAHa+5xY=")</f>
        <v>#VALUE!</v>
      </c>
      <c r="X2" t="e">
        <f>AND('Yamazumi Data'!F20,"AAAAAHa+5xc=")</f>
        <v>#VALUE!</v>
      </c>
      <c r="Y2" t="e">
        <f>AND('Yamazumi Data'!G20,"AAAAAHa+5xg=")</f>
        <v>#VALUE!</v>
      </c>
      <c r="Z2" t="e">
        <f>AND('Yamazumi Data'!H20,"AAAAAHa+5xk=")</f>
        <v>#VALUE!</v>
      </c>
      <c r="AA2" t="e">
        <f>AND('Yamazumi Data'!I20,"AAAAAHa+5xo=")</f>
        <v>#VALUE!</v>
      </c>
      <c r="AB2" t="e">
        <f>AND('Yamazumi Data'!J20,"AAAAAHa+5xs=")</f>
        <v>#VALUE!</v>
      </c>
      <c r="AC2" t="e">
        <f>AND('Yamazumi Data'!K20,"AAAAAHa+5xw=")</f>
        <v>#VALUE!</v>
      </c>
      <c r="AD2" t="e">
        <f>AND('Yamazumi Data'!L20,"AAAAAHa+5x0=")</f>
        <v>#VALUE!</v>
      </c>
      <c r="AE2" t="e">
        <f>AND('Yamazumi Data'!M20,"AAAAAHa+5x4=")</f>
        <v>#VALUE!</v>
      </c>
      <c r="AF2" t="e">
        <f>AND('Yamazumi Data'!N20,"AAAAAHa+5x8=")</f>
        <v>#VALUE!</v>
      </c>
      <c r="AG2" t="e">
        <f>AND('Yamazumi Data'!O20,"AAAAAHa+5yA=")</f>
        <v>#VALUE!</v>
      </c>
      <c r="AH2" t="e">
        <f>AND('Yamazumi Data'!P20,"AAAAAHa+5yE=")</f>
        <v>#VALUE!</v>
      </c>
      <c r="AI2" t="e">
        <f>AND('Yamazumi Data'!Q20,"AAAAAHa+5yI=")</f>
        <v>#VALUE!</v>
      </c>
      <c r="AJ2" t="e">
        <f>AND('Yamazumi Data'!#REF!,"AAAAAHa+5yM=")</f>
        <v>#REF!</v>
      </c>
      <c r="AK2" t="e">
        <f>AND('Yamazumi Data'!#REF!,"AAAAAHa+5yQ=")</f>
        <v>#REF!</v>
      </c>
      <c r="AL2" t="e">
        <f>AND('Yamazumi Data'!#REF!,"AAAAAHa+5yU=")</f>
        <v>#REF!</v>
      </c>
      <c r="AM2">
        <f>IF('Yamazumi Data'!21:21,"AAAAAHa+5yY=",0)</f>
        <v>0</v>
      </c>
      <c r="AN2" t="e">
        <f>AND('Yamazumi Data'!C21,"AAAAAHa+5yc=")</f>
        <v>#VALUE!</v>
      </c>
      <c r="AO2" t="e">
        <f>AND('Yamazumi Data'!D21,"AAAAAHa+5yg=")</f>
        <v>#VALUE!</v>
      </c>
      <c r="AP2" t="e">
        <f>AND('Yamazumi Data'!F21,"AAAAAHa+5yk=")</f>
        <v>#VALUE!</v>
      </c>
      <c r="AQ2" t="e">
        <f>AND('Yamazumi Data'!G21,"AAAAAHa+5yo=")</f>
        <v>#VALUE!</v>
      </c>
      <c r="AR2" t="e">
        <f>AND('Yamazumi Data'!H21,"AAAAAHa+5ys=")</f>
        <v>#VALUE!</v>
      </c>
      <c r="AS2" t="e">
        <f>AND('Yamazumi Data'!I21,"AAAAAHa+5yw=")</f>
        <v>#VALUE!</v>
      </c>
      <c r="AT2" t="e">
        <f>AND('Yamazumi Data'!J21,"AAAAAHa+5y0=")</f>
        <v>#VALUE!</v>
      </c>
      <c r="AU2" t="e">
        <f>AND('Yamazumi Data'!K21,"AAAAAHa+5y4=")</f>
        <v>#VALUE!</v>
      </c>
      <c r="AV2" t="e">
        <f>AND('Yamazumi Data'!L21,"AAAAAHa+5y8=")</f>
        <v>#VALUE!</v>
      </c>
      <c r="AW2" t="e">
        <f>AND('Yamazumi Data'!M21,"AAAAAHa+5zA=")</f>
        <v>#VALUE!</v>
      </c>
      <c r="AX2" t="e">
        <f>AND('Yamazumi Data'!N21,"AAAAAHa+5zE=")</f>
        <v>#VALUE!</v>
      </c>
      <c r="AY2" t="e">
        <f>AND('Yamazumi Data'!O21,"AAAAAHa+5zI=")</f>
        <v>#VALUE!</v>
      </c>
      <c r="AZ2" t="e">
        <f>AND('Yamazumi Data'!P21,"AAAAAHa+5zM=")</f>
        <v>#VALUE!</v>
      </c>
      <c r="BA2" t="e">
        <f>AND('Yamazumi Data'!Q21,"AAAAAHa+5zQ=")</f>
        <v>#VALUE!</v>
      </c>
      <c r="BB2" t="e">
        <f>AND('Yamazumi Data'!#REF!,"AAAAAHa+5zU=")</f>
        <v>#REF!</v>
      </c>
      <c r="BC2" t="e">
        <f>AND('Yamazumi Data'!#REF!,"AAAAAHa+5zY=")</f>
        <v>#REF!</v>
      </c>
      <c r="BD2" t="e">
        <f>AND('Yamazumi Data'!#REF!,"AAAAAHa+5zc=")</f>
        <v>#REF!</v>
      </c>
      <c r="BE2">
        <f>IF('Yamazumi Data'!22:22,"AAAAAHa+5zg=",0)</f>
        <v>0</v>
      </c>
      <c r="BF2" t="e">
        <f>AND('Yamazumi Data'!C22,"AAAAAHa+5zk=")</f>
        <v>#VALUE!</v>
      </c>
      <c r="BG2" t="e">
        <f>AND('Yamazumi Data'!D22,"AAAAAHa+5zo=")</f>
        <v>#VALUE!</v>
      </c>
      <c r="BH2" t="e">
        <f>AND('Yamazumi Data'!F22,"AAAAAHa+5zs=")</f>
        <v>#VALUE!</v>
      </c>
      <c r="BI2" t="e">
        <f>AND('Yamazumi Data'!G22,"AAAAAHa+5zw=")</f>
        <v>#VALUE!</v>
      </c>
      <c r="BJ2" t="e">
        <f>AND('Yamazumi Data'!H22,"AAAAAHa+5z0=")</f>
        <v>#VALUE!</v>
      </c>
      <c r="BK2" t="e">
        <f>AND('Yamazumi Data'!I22,"AAAAAHa+5z4=")</f>
        <v>#VALUE!</v>
      </c>
      <c r="BL2" t="e">
        <f>AND('Yamazumi Data'!J22,"AAAAAHa+5z8=")</f>
        <v>#VALUE!</v>
      </c>
      <c r="BM2" t="e">
        <f>AND('Yamazumi Data'!K22,"AAAAAHa+50A=")</f>
        <v>#VALUE!</v>
      </c>
      <c r="BN2" t="e">
        <f>AND('Yamazumi Data'!L22,"AAAAAHa+50E=")</f>
        <v>#VALUE!</v>
      </c>
      <c r="BO2" t="e">
        <f>AND('Yamazumi Data'!M22,"AAAAAHa+50I=")</f>
        <v>#VALUE!</v>
      </c>
      <c r="BP2" t="e">
        <f>AND('Yamazumi Data'!N22,"AAAAAHa+50M=")</f>
        <v>#VALUE!</v>
      </c>
      <c r="BQ2" t="e">
        <f>AND('Yamazumi Data'!O22,"AAAAAHa+50Q=")</f>
        <v>#VALUE!</v>
      </c>
      <c r="BR2" t="e">
        <f>AND('Yamazumi Data'!P22,"AAAAAHa+50U=")</f>
        <v>#VALUE!</v>
      </c>
      <c r="BS2" t="e">
        <f>AND('Yamazumi Data'!Q22,"AAAAAHa+50Y=")</f>
        <v>#VALUE!</v>
      </c>
      <c r="BT2" t="e">
        <f>AND('Yamazumi Data'!#REF!,"AAAAAHa+50c=")</f>
        <v>#REF!</v>
      </c>
      <c r="BU2" t="e">
        <f>AND('Yamazumi Data'!#REF!,"AAAAAHa+50g=")</f>
        <v>#REF!</v>
      </c>
      <c r="BV2" t="e">
        <f>AND('Yamazumi Data'!#REF!,"AAAAAHa+50k=")</f>
        <v>#REF!</v>
      </c>
      <c r="BW2">
        <f>IF('Yamazumi Data'!23:23,"AAAAAHa+50o=",0)</f>
        <v>0</v>
      </c>
      <c r="BX2" t="e">
        <f>AND('Yamazumi Data'!C23,"AAAAAHa+50s=")</f>
        <v>#VALUE!</v>
      </c>
      <c r="BY2" t="e">
        <f>AND('Yamazumi Data'!D23,"AAAAAHa+50w=")</f>
        <v>#VALUE!</v>
      </c>
      <c r="BZ2" t="e">
        <f>AND('Yamazumi Data'!F23,"AAAAAHa+500=")</f>
        <v>#VALUE!</v>
      </c>
      <c r="CA2" t="e">
        <f>AND('Yamazumi Data'!G23,"AAAAAHa+504=")</f>
        <v>#VALUE!</v>
      </c>
      <c r="CB2" t="e">
        <f>AND('Yamazumi Data'!H23,"AAAAAHa+508=")</f>
        <v>#VALUE!</v>
      </c>
      <c r="CC2" t="e">
        <f>AND('Yamazumi Data'!I23,"AAAAAHa+51A=")</f>
        <v>#VALUE!</v>
      </c>
      <c r="CD2" t="e">
        <f>AND('Yamazumi Data'!J23,"AAAAAHa+51E=")</f>
        <v>#VALUE!</v>
      </c>
      <c r="CE2" t="e">
        <f>AND('Yamazumi Data'!K23,"AAAAAHa+51I=")</f>
        <v>#VALUE!</v>
      </c>
      <c r="CF2" t="e">
        <f>AND('Yamazumi Data'!L23,"AAAAAHa+51M=")</f>
        <v>#VALUE!</v>
      </c>
      <c r="CG2" t="e">
        <f>AND('Yamazumi Data'!M23,"AAAAAHa+51Q=")</f>
        <v>#VALUE!</v>
      </c>
      <c r="CH2" t="e">
        <f>AND('Yamazumi Data'!N23,"AAAAAHa+51U=")</f>
        <v>#VALUE!</v>
      </c>
      <c r="CI2" t="e">
        <f>AND('Yamazumi Data'!O23,"AAAAAHa+51Y=")</f>
        <v>#VALUE!</v>
      </c>
      <c r="CJ2" t="e">
        <f>AND('Yamazumi Data'!P23,"AAAAAHa+51c=")</f>
        <v>#VALUE!</v>
      </c>
      <c r="CK2" t="e">
        <f>AND('Yamazumi Data'!Q23,"AAAAAHa+51g=")</f>
        <v>#VALUE!</v>
      </c>
      <c r="CL2" t="e">
        <f>AND('Yamazumi Data'!#REF!,"AAAAAHa+51k=")</f>
        <v>#REF!</v>
      </c>
      <c r="CM2" t="e">
        <f>AND('Yamazumi Data'!#REF!,"AAAAAHa+51o=")</f>
        <v>#REF!</v>
      </c>
      <c r="CN2" t="e">
        <f>AND('Yamazumi Data'!#REF!,"AAAAAHa+51s=")</f>
        <v>#REF!</v>
      </c>
      <c r="CO2">
        <f>IF('Yamazumi Data'!24:24,"AAAAAHa+51w=",0)</f>
        <v>0</v>
      </c>
      <c r="CP2" t="e">
        <f>AND('Yamazumi Data'!C24,"AAAAAHa+510=")</f>
        <v>#VALUE!</v>
      </c>
      <c r="CQ2" t="e">
        <f>AND('Yamazumi Data'!D24,"AAAAAHa+514=")</f>
        <v>#VALUE!</v>
      </c>
      <c r="CR2" t="e">
        <f>AND('Yamazumi Data'!F24,"AAAAAHa+518=")</f>
        <v>#VALUE!</v>
      </c>
      <c r="CS2" t="e">
        <f>AND('Yamazumi Data'!G24,"AAAAAHa+52A=")</f>
        <v>#VALUE!</v>
      </c>
      <c r="CT2" t="e">
        <f>AND('Yamazumi Data'!H24,"AAAAAHa+52E=")</f>
        <v>#VALUE!</v>
      </c>
      <c r="CU2" t="e">
        <f>AND('Yamazumi Data'!I24,"AAAAAHa+52I=")</f>
        <v>#VALUE!</v>
      </c>
      <c r="CV2" t="e">
        <f>AND('Yamazumi Data'!J24,"AAAAAHa+52M=")</f>
        <v>#VALUE!</v>
      </c>
      <c r="CW2" t="e">
        <f>AND('Yamazumi Data'!K24,"AAAAAHa+52Q=")</f>
        <v>#VALUE!</v>
      </c>
      <c r="CX2" t="e">
        <f>AND('Yamazumi Data'!L24,"AAAAAHa+52U=")</f>
        <v>#VALUE!</v>
      </c>
      <c r="CY2" t="e">
        <f>AND('Yamazumi Data'!M24,"AAAAAHa+52Y=")</f>
        <v>#VALUE!</v>
      </c>
      <c r="CZ2" t="e">
        <f>AND('Yamazumi Data'!N24,"AAAAAHa+52c=")</f>
        <v>#VALUE!</v>
      </c>
      <c r="DA2" t="e">
        <f>AND('Yamazumi Data'!O24,"AAAAAHa+52g=")</f>
        <v>#VALUE!</v>
      </c>
      <c r="DB2" t="e">
        <f>AND('Yamazumi Data'!P24,"AAAAAHa+52k=")</f>
        <v>#VALUE!</v>
      </c>
      <c r="DC2" t="e">
        <f>AND('Yamazumi Data'!Q24,"AAAAAHa+52o=")</f>
        <v>#VALUE!</v>
      </c>
      <c r="DD2" t="e">
        <f>AND('Yamazumi Data'!#REF!,"AAAAAHa+52s=")</f>
        <v>#REF!</v>
      </c>
      <c r="DE2" t="e">
        <f>AND('Yamazumi Data'!#REF!,"AAAAAHa+52w=")</f>
        <v>#REF!</v>
      </c>
      <c r="DF2" t="e">
        <f>AND('Yamazumi Data'!#REF!,"AAAAAHa+520=")</f>
        <v>#REF!</v>
      </c>
      <c r="DG2">
        <f>IF('Yamazumi Data'!25:25,"AAAAAHa+524=",0)</f>
        <v>0</v>
      </c>
      <c r="DH2" t="e">
        <f>AND('Yamazumi Data'!C25,"AAAAAHa+528=")</f>
        <v>#VALUE!</v>
      </c>
      <c r="DI2" t="e">
        <f>AND('Yamazumi Data'!D25,"AAAAAHa+53A=")</f>
        <v>#VALUE!</v>
      </c>
      <c r="DJ2" t="e">
        <f>AND('Yamazumi Data'!F25,"AAAAAHa+53E=")</f>
        <v>#VALUE!</v>
      </c>
      <c r="DK2" t="e">
        <f>AND('Yamazumi Data'!G25,"AAAAAHa+53I=")</f>
        <v>#VALUE!</v>
      </c>
      <c r="DL2" t="e">
        <f>AND('Yamazumi Data'!H25,"AAAAAHa+53M=")</f>
        <v>#VALUE!</v>
      </c>
      <c r="DM2" t="e">
        <f>AND('Yamazumi Data'!I25,"AAAAAHa+53Q=")</f>
        <v>#VALUE!</v>
      </c>
      <c r="DN2" t="e">
        <f>AND('Yamazumi Data'!J25,"AAAAAHa+53U=")</f>
        <v>#VALUE!</v>
      </c>
      <c r="DO2" t="e">
        <f>AND('Yamazumi Data'!K25,"AAAAAHa+53Y=")</f>
        <v>#VALUE!</v>
      </c>
      <c r="DP2" t="e">
        <f>AND('Yamazumi Data'!L25,"AAAAAHa+53c=")</f>
        <v>#VALUE!</v>
      </c>
      <c r="DQ2" t="e">
        <f>AND('Yamazumi Data'!M25,"AAAAAHa+53g=")</f>
        <v>#VALUE!</v>
      </c>
      <c r="DR2" t="e">
        <f>AND('Yamazumi Data'!N25,"AAAAAHa+53k=")</f>
        <v>#VALUE!</v>
      </c>
      <c r="DS2" t="e">
        <f>AND('Yamazumi Data'!O25,"AAAAAHa+53o=")</f>
        <v>#VALUE!</v>
      </c>
      <c r="DT2" t="e">
        <f>AND('Yamazumi Data'!P25,"AAAAAHa+53s=")</f>
        <v>#VALUE!</v>
      </c>
      <c r="DU2" t="e">
        <f>AND('Yamazumi Data'!Q25,"AAAAAHa+53w=")</f>
        <v>#VALUE!</v>
      </c>
      <c r="DV2" t="e">
        <f>AND('Yamazumi Data'!#REF!,"AAAAAHa+530=")</f>
        <v>#REF!</v>
      </c>
      <c r="DW2" t="e">
        <f>AND('Yamazumi Data'!#REF!,"AAAAAHa+534=")</f>
        <v>#REF!</v>
      </c>
      <c r="DX2" t="e">
        <f>AND('Yamazumi Data'!#REF!,"AAAAAHa+538=")</f>
        <v>#REF!</v>
      </c>
      <c r="DY2">
        <f>IF('Yamazumi Data'!26:26,"AAAAAHa+54A=",0)</f>
        <v>0</v>
      </c>
      <c r="DZ2" t="e">
        <f>AND('Yamazumi Data'!C26,"AAAAAHa+54E=")</f>
        <v>#VALUE!</v>
      </c>
      <c r="EA2" t="e">
        <f>AND('Yamazumi Data'!D26,"AAAAAHa+54I=")</f>
        <v>#VALUE!</v>
      </c>
      <c r="EB2" t="e">
        <f>AND('Yamazumi Data'!F26,"AAAAAHa+54M=")</f>
        <v>#VALUE!</v>
      </c>
      <c r="EC2" t="e">
        <f>AND('Yamazumi Data'!G26,"AAAAAHa+54Q=")</f>
        <v>#VALUE!</v>
      </c>
      <c r="ED2" t="e">
        <f>AND('Yamazumi Data'!H26,"AAAAAHa+54U=")</f>
        <v>#VALUE!</v>
      </c>
      <c r="EE2" t="e">
        <f>AND('Yamazumi Data'!I26,"AAAAAHa+54Y=")</f>
        <v>#VALUE!</v>
      </c>
      <c r="EF2" t="e">
        <f>AND('Yamazumi Data'!J26,"AAAAAHa+54c=")</f>
        <v>#VALUE!</v>
      </c>
      <c r="EG2" t="e">
        <f>AND('Yamazumi Data'!K26,"AAAAAHa+54g=")</f>
        <v>#VALUE!</v>
      </c>
      <c r="EH2" t="e">
        <f>AND('Yamazumi Data'!L26,"AAAAAHa+54k=")</f>
        <v>#VALUE!</v>
      </c>
      <c r="EI2" t="e">
        <f>AND('Yamazumi Data'!M26,"AAAAAHa+54o=")</f>
        <v>#VALUE!</v>
      </c>
      <c r="EJ2" t="e">
        <f>AND('Yamazumi Data'!N26,"AAAAAHa+54s=")</f>
        <v>#VALUE!</v>
      </c>
      <c r="EK2" t="e">
        <f>AND('Yamazumi Data'!O26,"AAAAAHa+54w=")</f>
        <v>#VALUE!</v>
      </c>
      <c r="EL2" t="e">
        <f>AND('Yamazumi Data'!P26,"AAAAAHa+540=")</f>
        <v>#VALUE!</v>
      </c>
      <c r="EM2" t="e">
        <f>AND('Yamazumi Data'!Q26,"AAAAAHa+544=")</f>
        <v>#VALUE!</v>
      </c>
      <c r="EN2" t="e">
        <f>AND('Yamazumi Data'!#REF!,"AAAAAHa+548=")</f>
        <v>#REF!</v>
      </c>
      <c r="EO2" t="e">
        <f>AND('Yamazumi Data'!#REF!,"AAAAAHa+55A=")</f>
        <v>#REF!</v>
      </c>
      <c r="EP2" t="e">
        <f>AND('Yamazumi Data'!#REF!,"AAAAAHa+55E=")</f>
        <v>#REF!</v>
      </c>
      <c r="EQ2">
        <f>IF('Yamazumi Data'!27:27,"AAAAAHa+55I=",0)</f>
        <v>0</v>
      </c>
      <c r="ER2" t="e">
        <f>AND('Yamazumi Data'!C27,"AAAAAHa+55M=")</f>
        <v>#VALUE!</v>
      </c>
      <c r="ES2" t="e">
        <f>AND('Yamazumi Data'!D27,"AAAAAHa+55Q=")</f>
        <v>#VALUE!</v>
      </c>
      <c r="ET2" t="e">
        <f>AND('Yamazumi Data'!F27,"AAAAAHa+55U=")</f>
        <v>#VALUE!</v>
      </c>
      <c r="EU2" t="e">
        <f>AND('Yamazumi Data'!G27,"AAAAAHa+55Y=")</f>
        <v>#VALUE!</v>
      </c>
      <c r="EV2" t="e">
        <f>AND('Yamazumi Data'!H27,"AAAAAHa+55c=")</f>
        <v>#VALUE!</v>
      </c>
      <c r="EW2" t="e">
        <f>AND('Yamazumi Data'!I27,"AAAAAHa+55g=")</f>
        <v>#VALUE!</v>
      </c>
      <c r="EX2" t="e">
        <f>AND('Yamazumi Data'!J27,"AAAAAHa+55k=")</f>
        <v>#VALUE!</v>
      </c>
      <c r="EY2" t="e">
        <f>AND('Yamazumi Data'!K27,"AAAAAHa+55o=")</f>
        <v>#VALUE!</v>
      </c>
      <c r="EZ2" t="e">
        <f>AND('Yamazumi Data'!M36,"AAAAAHa+55s=")</f>
        <v>#VALUE!</v>
      </c>
      <c r="FA2" t="e">
        <f>AND('Yamazumi Data'!M27,"AAAAAHa+55w=")</f>
        <v>#VALUE!</v>
      </c>
      <c r="FB2" t="e">
        <f>AND('Yamazumi Data'!N27,"AAAAAHa+550=")</f>
        <v>#VALUE!</v>
      </c>
      <c r="FC2" t="e">
        <f>AND('Yamazumi Data'!O27,"AAAAAHa+554=")</f>
        <v>#VALUE!</v>
      </c>
      <c r="FD2" t="e">
        <f>AND('Yamazumi Data'!P27,"AAAAAHa+558=")</f>
        <v>#VALUE!</v>
      </c>
      <c r="FE2" t="e">
        <f>AND('Yamazumi Data'!Q27,"AAAAAHa+56A=")</f>
        <v>#VALUE!</v>
      </c>
      <c r="FF2" t="e">
        <f>AND('Yamazumi Data'!#REF!,"AAAAAHa+56E=")</f>
        <v>#REF!</v>
      </c>
      <c r="FG2" t="e">
        <f>AND('Yamazumi Data'!#REF!,"AAAAAHa+56I=")</f>
        <v>#REF!</v>
      </c>
      <c r="FH2" t="e">
        <f>AND('Yamazumi Data'!#REF!,"AAAAAHa+56M=")</f>
        <v>#REF!</v>
      </c>
      <c r="FI2">
        <f>IF('Yamazumi Data'!28:28,"AAAAAHa+56Q=",0)</f>
        <v>0</v>
      </c>
      <c r="FJ2" t="e">
        <f>AND('Yamazumi Data'!C28,"AAAAAHa+56U=")</f>
        <v>#VALUE!</v>
      </c>
      <c r="FK2" t="e">
        <f>AND('Yamazumi Data'!D28,"AAAAAHa+56Y=")</f>
        <v>#VALUE!</v>
      </c>
      <c r="FL2" t="e">
        <f>AND('Yamazumi Data'!F28,"AAAAAHa+56c=")</f>
        <v>#VALUE!</v>
      </c>
      <c r="FM2" t="e">
        <f>AND('Yamazumi Data'!G28,"AAAAAHa+56g=")</f>
        <v>#VALUE!</v>
      </c>
      <c r="FN2" t="e">
        <f>AND('Yamazumi Data'!H28,"AAAAAHa+56k=")</f>
        <v>#VALUE!</v>
      </c>
      <c r="FO2" t="e">
        <f>AND('Yamazumi Data'!I28,"AAAAAHa+56o=")</f>
        <v>#VALUE!</v>
      </c>
      <c r="FP2" t="e">
        <f>AND('Yamazumi Data'!J28,"AAAAAHa+56s=")</f>
        <v>#VALUE!</v>
      </c>
      <c r="FQ2" t="e">
        <f>AND('Yamazumi Data'!K28,"AAAAAHa+56w=")</f>
        <v>#VALUE!</v>
      </c>
      <c r="FR2" t="e">
        <f>AND('Yamazumi Data'!L28,"AAAAAHa+560=")</f>
        <v>#VALUE!</v>
      </c>
      <c r="FS2" t="e">
        <f>AND('Yamazumi Data'!M28,"AAAAAHa+564=")</f>
        <v>#VALUE!</v>
      </c>
      <c r="FT2" t="e">
        <f>AND('Yamazumi Data'!N28,"AAAAAHa+568=")</f>
        <v>#VALUE!</v>
      </c>
      <c r="FU2" t="e">
        <f>AND('Yamazumi Data'!O28,"AAAAAHa+57A=")</f>
        <v>#VALUE!</v>
      </c>
      <c r="FV2" t="e">
        <f>AND('Yamazumi Data'!P28,"AAAAAHa+57E=")</f>
        <v>#VALUE!</v>
      </c>
      <c r="FW2" t="e">
        <f>AND('Yamazumi Data'!Q28,"AAAAAHa+57I=")</f>
        <v>#VALUE!</v>
      </c>
      <c r="FX2" t="e">
        <f>AND('Yamazumi Data'!#REF!,"AAAAAHa+57M=")</f>
        <v>#REF!</v>
      </c>
      <c r="FY2" t="e">
        <f>AND('Yamazumi Data'!#REF!,"AAAAAHa+57Q=")</f>
        <v>#REF!</v>
      </c>
      <c r="FZ2" t="e">
        <f>AND('Yamazumi Data'!#REF!,"AAAAAHa+57U=")</f>
        <v>#REF!</v>
      </c>
      <c r="GA2">
        <f>IF('Yamazumi Data'!29:29,"AAAAAHa+57Y=",0)</f>
        <v>0</v>
      </c>
      <c r="GB2" t="e">
        <f>AND('Yamazumi Data'!C29,"AAAAAHa+57c=")</f>
        <v>#VALUE!</v>
      </c>
      <c r="GC2" t="e">
        <f>AND('Yamazumi Data'!D29,"AAAAAHa+57g=")</f>
        <v>#VALUE!</v>
      </c>
      <c r="GD2" t="e">
        <f>AND('Yamazumi Data'!F29,"AAAAAHa+57k=")</f>
        <v>#VALUE!</v>
      </c>
      <c r="GE2" t="e">
        <f>AND('Yamazumi Data'!G29,"AAAAAHa+57o=")</f>
        <v>#VALUE!</v>
      </c>
      <c r="GF2" t="e">
        <f>AND('Yamazumi Data'!H29,"AAAAAHa+57s=")</f>
        <v>#VALUE!</v>
      </c>
      <c r="GG2" t="e">
        <f>AND('Yamazumi Data'!I29,"AAAAAHa+57w=")</f>
        <v>#VALUE!</v>
      </c>
      <c r="GH2" t="e">
        <f>AND('Yamazumi Data'!J29,"AAAAAHa+570=")</f>
        <v>#VALUE!</v>
      </c>
      <c r="GI2" t="e">
        <f>AND('Yamazumi Data'!K29,"AAAAAHa+574=")</f>
        <v>#VALUE!</v>
      </c>
      <c r="GJ2" t="e">
        <f>AND('Yamazumi Data'!L29,"AAAAAHa+578=")</f>
        <v>#VALUE!</v>
      </c>
      <c r="GK2" t="e">
        <f>AND('Yamazumi Data'!M29,"AAAAAHa+58A=")</f>
        <v>#VALUE!</v>
      </c>
      <c r="GL2" t="e">
        <f>AND('Yamazumi Data'!N29,"AAAAAHa+58E=")</f>
        <v>#VALUE!</v>
      </c>
      <c r="GM2" t="e">
        <f>AND('Yamazumi Data'!O29,"AAAAAHa+58I=")</f>
        <v>#VALUE!</v>
      </c>
      <c r="GN2" t="e">
        <f>AND('Yamazumi Data'!P29,"AAAAAHa+58M=")</f>
        <v>#VALUE!</v>
      </c>
      <c r="GO2" t="e">
        <f>AND('Yamazumi Data'!Q29,"AAAAAHa+58Q=")</f>
        <v>#VALUE!</v>
      </c>
      <c r="GP2" t="e">
        <f>AND('Yamazumi Data'!#REF!,"AAAAAHa+58U=")</f>
        <v>#REF!</v>
      </c>
      <c r="GQ2" t="e">
        <f>AND('Yamazumi Data'!#REF!,"AAAAAHa+58Y=")</f>
        <v>#REF!</v>
      </c>
      <c r="GR2" t="e">
        <f>AND('Yamazumi Data'!#REF!,"AAAAAHa+58c=")</f>
        <v>#REF!</v>
      </c>
      <c r="GS2">
        <f>IF('Yamazumi Data'!30:30,"AAAAAHa+58g=",0)</f>
        <v>0</v>
      </c>
      <c r="GT2" t="e">
        <f>AND('Yamazumi Data'!C30,"AAAAAHa+58k=")</f>
        <v>#VALUE!</v>
      </c>
      <c r="GU2" t="e">
        <f>AND('Yamazumi Data'!D30,"AAAAAHa+58o=")</f>
        <v>#VALUE!</v>
      </c>
      <c r="GV2" t="e">
        <f>AND('Yamazumi Data'!F30,"AAAAAHa+58s=")</f>
        <v>#VALUE!</v>
      </c>
      <c r="GW2" t="e">
        <f>AND('Yamazumi Data'!G30,"AAAAAHa+58w=")</f>
        <v>#VALUE!</v>
      </c>
      <c r="GX2" t="e">
        <f>AND('Yamazumi Data'!H30,"AAAAAHa+580=")</f>
        <v>#VALUE!</v>
      </c>
      <c r="GY2" t="e">
        <f>AND('Yamazumi Data'!I30,"AAAAAHa+584=")</f>
        <v>#VALUE!</v>
      </c>
      <c r="GZ2" t="e">
        <f>AND('Yamazumi Data'!J30,"AAAAAHa+588=")</f>
        <v>#VALUE!</v>
      </c>
      <c r="HA2" t="e">
        <f>AND('Yamazumi Data'!K30,"AAAAAHa+59A=")</f>
        <v>#VALUE!</v>
      </c>
      <c r="HB2" t="e">
        <f>AND('Yamazumi Data'!L30,"AAAAAHa+59E=")</f>
        <v>#VALUE!</v>
      </c>
      <c r="HC2" t="e">
        <f>AND('Yamazumi Data'!M30,"AAAAAHa+59I=")</f>
        <v>#VALUE!</v>
      </c>
      <c r="HD2" t="e">
        <f>AND('Yamazumi Data'!N30,"AAAAAHa+59M=")</f>
        <v>#VALUE!</v>
      </c>
      <c r="HE2" t="e">
        <f>AND('Yamazumi Data'!O30,"AAAAAHa+59Q=")</f>
        <v>#VALUE!</v>
      </c>
      <c r="HF2" t="e">
        <f>AND('Yamazumi Data'!P30,"AAAAAHa+59U=")</f>
        <v>#VALUE!</v>
      </c>
      <c r="HG2" t="e">
        <f>AND('Yamazumi Data'!Q30,"AAAAAHa+59Y=")</f>
        <v>#VALUE!</v>
      </c>
      <c r="HH2" t="e">
        <f>AND('Yamazumi Data'!#REF!,"AAAAAHa+59c=")</f>
        <v>#REF!</v>
      </c>
      <c r="HI2" t="e">
        <f>AND('Yamazumi Data'!#REF!,"AAAAAHa+59g=")</f>
        <v>#REF!</v>
      </c>
      <c r="HJ2" t="e">
        <f>AND('Yamazumi Data'!#REF!,"AAAAAHa+59k=")</f>
        <v>#REF!</v>
      </c>
      <c r="HK2">
        <f>IF('Yamazumi Data'!31:31,"AAAAAHa+59o=",0)</f>
        <v>0</v>
      </c>
      <c r="HL2" t="e">
        <f>AND('Yamazumi Data'!C31,"AAAAAHa+59s=")</f>
        <v>#VALUE!</v>
      </c>
      <c r="HM2" t="e">
        <f>AND('Yamazumi Data'!D31,"AAAAAHa+59w=")</f>
        <v>#VALUE!</v>
      </c>
      <c r="HN2" t="e">
        <f>AND('Yamazumi Data'!F31,"AAAAAHa+590=")</f>
        <v>#VALUE!</v>
      </c>
      <c r="HO2" t="e">
        <f>AND('Yamazumi Data'!G31,"AAAAAHa+594=")</f>
        <v>#VALUE!</v>
      </c>
      <c r="HP2" t="e">
        <f>AND('Yamazumi Data'!H31,"AAAAAHa+598=")</f>
        <v>#VALUE!</v>
      </c>
      <c r="HQ2" t="e">
        <f>AND('Yamazumi Data'!I31,"AAAAAHa+5+A=")</f>
        <v>#VALUE!</v>
      </c>
      <c r="HR2" t="e">
        <f>AND('Yamazumi Data'!J31,"AAAAAHa+5+E=")</f>
        <v>#VALUE!</v>
      </c>
      <c r="HS2" t="e">
        <f>AND('Yamazumi Data'!K31,"AAAAAHa+5+I=")</f>
        <v>#VALUE!</v>
      </c>
      <c r="HT2" t="e">
        <f>AND('Yamazumi Data'!L31,"AAAAAHa+5+M=")</f>
        <v>#VALUE!</v>
      </c>
      <c r="HU2" t="e">
        <f>AND('Yamazumi Data'!M31,"AAAAAHa+5+Q=")</f>
        <v>#VALUE!</v>
      </c>
      <c r="HV2" t="e">
        <f>AND('Yamazumi Data'!N31,"AAAAAHa+5+U=")</f>
        <v>#VALUE!</v>
      </c>
      <c r="HW2" t="e">
        <f>AND('Yamazumi Data'!O31,"AAAAAHa+5+Y=")</f>
        <v>#VALUE!</v>
      </c>
      <c r="HX2" t="e">
        <f>AND('Yamazumi Data'!P31,"AAAAAHa+5+c=")</f>
        <v>#VALUE!</v>
      </c>
      <c r="HY2" t="e">
        <f>AND('Yamazumi Data'!Q31,"AAAAAHa+5+g=")</f>
        <v>#VALUE!</v>
      </c>
      <c r="HZ2" t="e">
        <f>AND('Yamazumi Data'!#REF!,"AAAAAHa+5+k=")</f>
        <v>#REF!</v>
      </c>
      <c r="IA2" t="e">
        <f>AND('Yamazumi Data'!#REF!,"AAAAAHa+5+o=")</f>
        <v>#REF!</v>
      </c>
      <c r="IB2" t="e">
        <f>AND('Yamazumi Data'!#REF!,"AAAAAHa+5+s=")</f>
        <v>#REF!</v>
      </c>
      <c r="IC2">
        <f>IF('Yamazumi Data'!32:32,"AAAAAHa+5+w=",0)</f>
        <v>0</v>
      </c>
      <c r="ID2" t="e">
        <f>AND('Yamazumi Data'!C32,"AAAAAHa+5+0=")</f>
        <v>#VALUE!</v>
      </c>
      <c r="IE2" t="e">
        <f>AND('Yamazumi Data'!D32,"AAAAAHa+5+4=")</f>
        <v>#VALUE!</v>
      </c>
      <c r="IF2" t="e">
        <f>AND('Yamazumi Data'!F32,"AAAAAHa+5+8=")</f>
        <v>#VALUE!</v>
      </c>
      <c r="IG2" t="e">
        <f>AND('Yamazumi Data'!G32,"AAAAAHa+5/A=")</f>
        <v>#VALUE!</v>
      </c>
      <c r="IH2" t="e">
        <f>AND('Yamazumi Data'!H32,"AAAAAHa+5/E=")</f>
        <v>#VALUE!</v>
      </c>
      <c r="II2" t="e">
        <f>AND('Yamazumi Data'!I32,"AAAAAHa+5/I=")</f>
        <v>#VALUE!</v>
      </c>
      <c r="IJ2" t="e">
        <f>AND('Yamazumi Data'!J32,"AAAAAHa+5/M=")</f>
        <v>#VALUE!</v>
      </c>
      <c r="IK2" t="e">
        <f>AND('Yamazumi Data'!K32,"AAAAAHa+5/Q=")</f>
        <v>#VALUE!</v>
      </c>
      <c r="IL2" t="e">
        <f>AND('Yamazumi Data'!L32,"AAAAAHa+5/U=")</f>
        <v>#VALUE!</v>
      </c>
      <c r="IM2" t="e">
        <f>AND('Yamazumi Data'!M32,"AAAAAHa+5/Y=")</f>
        <v>#VALUE!</v>
      </c>
      <c r="IN2" t="e">
        <f>AND('Yamazumi Data'!N32,"AAAAAHa+5/c=")</f>
        <v>#VALUE!</v>
      </c>
      <c r="IO2" t="e">
        <f>AND('Yamazumi Data'!O32,"AAAAAHa+5/g=")</f>
        <v>#VALUE!</v>
      </c>
      <c r="IP2" t="e">
        <f>AND('Yamazumi Data'!P32,"AAAAAHa+5/k=")</f>
        <v>#VALUE!</v>
      </c>
      <c r="IQ2" t="e">
        <f>AND('Yamazumi Data'!Q32,"AAAAAHa+5/o=")</f>
        <v>#VALUE!</v>
      </c>
      <c r="IR2" t="e">
        <f>AND('Yamazumi Data'!#REF!,"AAAAAHa+5/s=")</f>
        <v>#REF!</v>
      </c>
      <c r="IS2" t="e">
        <f>AND('Yamazumi Data'!#REF!,"AAAAAHa+5/w=")</f>
        <v>#REF!</v>
      </c>
      <c r="IT2" t="e">
        <f>AND('Yamazumi Data'!#REF!,"AAAAAHa+5/0=")</f>
        <v>#REF!</v>
      </c>
      <c r="IU2">
        <f>IF('Yamazumi Data'!33:33,"AAAAAHa+5/4=",0)</f>
        <v>0</v>
      </c>
      <c r="IV2" t="e">
        <f>AND('Yamazumi Data'!C33,"AAAAAHa+5/8=")</f>
        <v>#VALUE!</v>
      </c>
    </row>
    <row r="3" spans="1:256" ht="14.45" x14ac:dyDescent="0.3">
      <c r="A3" t="e">
        <f>AND('Yamazumi Data'!D33,"AAAAAH+//AA=")</f>
        <v>#VALUE!</v>
      </c>
      <c r="B3" t="e">
        <f>AND('Yamazumi Data'!F33,"AAAAAH+//AE=")</f>
        <v>#VALUE!</v>
      </c>
      <c r="C3" t="e">
        <f>AND('Yamazumi Data'!G33,"AAAAAH+//AI=")</f>
        <v>#VALUE!</v>
      </c>
      <c r="D3" t="e">
        <f>AND('Yamazumi Data'!H33,"AAAAAH+//AM=")</f>
        <v>#VALUE!</v>
      </c>
      <c r="E3" t="e">
        <f>AND('Yamazumi Data'!I33,"AAAAAH+//AQ=")</f>
        <v>#VALUE!</v>
      </c>
      <c r="F3" t="e">
        <f>AND('Yamazumi Data'!J33,"AAAAAH+//AU=")</f>
        <v>#VALUE!</v>
      </c>
      <c r="G3" t="e">
        <f>AND('Yamazumi Data'!K33,"AAAAAH+//AY=")</f>
        <v>#VALUE!</v>
      </c>
      <c r="H3" t="e">
        <f>AND('Yamazumi Data'!L33,"AAAAAH+//Ac=")</f>
        <v>#VALUE!</v>
      </c>
      <c r="I3" t="e">
        <f>AND('Yamazumi Data'!M33,"AAAAAH+//Ag=")</f>
        <v>#VALUE!</v>
      </c>
      <c r="J3" t="e">
        <f>AND('Yamazumi Data'!N33,"AAAAAH+//Ak=")</f>
        <v>#VALUE!</v>
      </c>
      <c r="K3" t="e">
        <f>AND('Yamazumi Data'!O33,"AAAAAH+//Ao=")</f>
        <v>#VALUE!</v>
      </c>
      <c r="L3" t="e">
        <f>AND('Yamazumi Data'!P33,"AAAAAH+//As=")</f>
        <v>#VALUE!</v>
      </c>
      <c r="M3" t="e">
        <f>AND('Yamazumi Data'!Q33,"AAAAAH+//Aw=")</f>
        <v>#VALUE!</v>
      </c>
      <c r="N3" t="e">
        <f>AND('Yamazumi Data'!#REF!,"AAAAAH+//A0=")</f>
        <v>#REF!</v>
      </c>
      <c r="O3" t="e">
        <f>AND('Yamazumi Data'!#REF!,"AAAAAH+//A4=")</f>
        <v>#REF!</v>
      </c>
      <c r="P3" t="e">
        <f>AND('Yamazumi Data'!#REF!,"AAAAAH+//A8=")</f>
        <v>#REF!</v>
      </c>
      <c r="Q3">
        <f>IF('Yamazumi Data'!34:34,"AAAAAH+//BA=",0)</f>
        <v>0</v>
      </c>
      <c r="R3" t="e">
        <f>AND('Yamazumi Data'!C34,"AAAAAH+//BE=")</f>
        <v>#VALUE!</v>
      </c>
      <c r="S3" t="e">
        <f>AND('Yamazumi Data'!D34,"AAAAAH+//BI=")</f>
        <v>#VALUE!</v>
      </c>
      <c r="T3" t="e">
        <f>AND('Yamazumi Data'!F34,"AAAAAH+//BM=")</f>
        <v>#VALUE!</v>
      </c>
      <c r="U3" t="e">
        <f>AND('Yamazumi Data'!G34,"AAAAAH+//BQ=")</f>
        <v>#VALUE!</v>
      </c>
      <c r="V3" t="e">
        <f>AND('Yamazumi Data'!H34,"AAAAAH+//BU=")</f>
        <v>#VALUE!</v>
      </c>
      <c r="W3" t="e">
        <f>AND('Yamazumi Data'!I34,"AAAAAH+//BY=")</f>
        <v>#VALUE!</v>
      </c>
      <c r="X3" t="e">
        <f>AND('Yamazumi Data'!J34,"AAAAAH+//Bc=")</f>
        <v>#VALUE!</v>
      </c>
      <c r="Y3" t="e">
        <f>AND('Yamazumi Data'!K34,"AAAAAH+//Bg=")</f>
        <v>#VALUE!</v>
      </c>
      <c r="Z3" t="e">
        <f>AND('Yamazumi Data'!L34,"AAAAAH+//Bk=")</f>
        <v>#VALUE!</v>
      </c>
      <c r="AA3" t="e">
        <f>AND('Yamazumi Data'!M34,"AAAAAH+//Bo=")</f>
        <v>#VALUE!</v>
      </c>
      <c r="AB3" t="e">
        <f>AND('Yamazumi Data'!N34,"AAAAAH+//Bs=")</f>
        <v>#VALUE!</v>
      </c>
      <c r="AC3" t="e">
        <f>AND('Yamazumi Data'!O34,"AAAAAH+//Bw=")</f>
        <v>#VALUE!</v>
      </c>
      <c r="AD3" t="e">
        <f>AND('Yamazumi Data'!P34,"AAAAAH+//B0=")</f>
        <v>#VALUE!</v>
      </c>
      <c r="AE3" t="e">
        <f>AND('Yamazumi Data'!Q34,"AAAAAH+//B4=")</f>
        <v>#VALUE!</v>
      </c>
      <c r="AF3" t="e">
        <f>AND('Yamazumi Data'!#REF!,"AAAAAH+//B8=")</f>
        <v>#REF!</v>
      </c>
      <c r="AG3" t="e">
        <f>AND('Yamazumi Data'!#REF!,"AAAAAH+//CA=")</f>
        <v>#REF!</v>
      </c>
      <c r="AH3" t="e">
        <f>AND('Yamazumi Data'!#REF!,"AAAAAH+//CE=")</f>
        <v>#REF!</v>
      </c>
      <c r="AI3">
        <f>IF('Yamazumi Data'!35:35,"AAAAAH+//CI=",0)</f>
        <v>0</v>
      </c>
      <c r="AJ3" t="e">
        <f>AND('Yamazumi Data'!C35,"AAAAAH+//CM=")</f>
        <v>#VALUE!</v>
      </c>
      <c r="AK3" t="e">
        <f>AND('Yamazumi Data'!D35,"AAAAAH+//CQ=")</f>
        <v>#VALUE!</v>
      </c>
      <c r="AL3" t="e">
        <f>AND('Yamazumi Data'!F35,"AAAAAH+//CU=")</f>
        <v>#VALUE!</v>
      </c>
      <c r="AM3" t="e">
        <f>AND('Yamazumi Data'!G35,"AAAAAH+//CY=")</f>
        <v>#VALUE!</v>
      </c>
      <c r="AN3" t="e">
        <f>AND('Yamazumi Data'!H35,"AAAAAH+//Cc=")</f>
        <v>#VALUE!</v>
      </c>
      <c r="AO3" t="e">
        <f>AND('Yamazumi Data'!I35,"AAAAAH+//Cg=")</f>
        <v>#VALUE!</v>
      </c>
      <c r="AP3" t="e">
        <f>AND('Yamazumi Data'!J35,"AAAAAH+//Ck=")</f>
        <v>#VALUE!</v>
      </c>
      <c r="AQ3" t="e">
        <f>AND('Yamazumi Data'!K35,"AAAAAH+//Co=")</f>
        <v>#VALUE!</v>
      </c>
      <c r="AR3" t="e">
        <f>AND('Yamazumi Data'!L35,"AAAAAH+//Cs=")</f>
        <v>#VALUE!</v>
      </c>
      <c r="AS3" t="e">
        <f>AND('Yamazumi Data'!M35,"AAAAAH+//Cw=")</f>
        <v>#VALUE!</v>
      </c>
      <c r="AT3" t="e">
        <f>AND('Yamazumi Data'!N35,"AAAAAH+//C0=")</f>
        <v>#VALUE!</v>
      </c>
      <c r="AU3" t="e">
        <f>AND('Yamazumi Data'!O35,"AAAAAH+//C4=")</f>
        <v>#VALUE!</v>
      </c>
      <c r="AV3" t="e">
        <f>AND('Yamazumi Data'!P35,"AAAAAH+//C8=")</f>
        <v>#VALUE!</v>
      </c>
      <c r="AW3" t="e">
        <f>AND('Yamazumi Data'!Q35,"AAAAAH+//DA=")</f>
        <v>#VALUE!</v>
      </c>
      <c r="AX3" t="e">
        <f>AND('Yamazumi Data'!#REF!,"AAAAAH+//DE=")</f>
        <v>#REF!</v>
      </c>
      <c r="AY3" t="e">
        <f>AND('Yamazumi Data'!#REF!,"AAAAAH+//DI=")</f>
        <v>#REF!</v>
      </c>
      <c r="AZ3" t="e">
        <f>AND('Yamazumi Data'!#REF!,"AAAAAH+//DM=")</f>
        <v>#REF!</v>
      </c>
      <c r="BA3">
        <f>IF('Yamazumi Data'!36:36,"AAAAAH+//DQ=",0)</f>
        <v>0</v>
      </c>
      <c r="BB3" t="e">
        <f>AND('Yamazumi Data'!C36,"AAAAAH+//DU=")</f>
        <v>#VALUE!</v>
      </c>
      <c r="BC3" t="e">
        <f>AND('Yamazumi Data'!D36,"AAAAAH+//DY=")</f>
        <v>#VALUE!</v>
      </c>
      <c r="BD3" t="e">
        <f>AND('Yamazumi Data'!F36,"AAAAAH+//Dc=")</f>
        <v>#VALUE!</v>
      </c>
      <c r="BE3" t="e">
        <f>AND('Yamazumi Data'!G36,"AAAAAH+//Dg=")</f>
        <v>#VALUE!</v>
      </c>
      <c r="BF3" t="e">
        <f>AND('Yamazumi Data'!H36,"AAAAAH+//Dk=")</f>
        <v>#VALUE!</v>
      </c>
      <c r="BG3" t="e">
        <f>AND('Yamazumi Data'!I36,"AAAAAH+//Do=")</f>
        <v>#VALUE!</v>
      </c>
      <c r="BH3" t="e">
        <f>AND('Yamazumi Data'!J36,"AAAAAH+//Ds=")</f>
        <v>#VALUE!</v>
      </c>
      <c r="BI3" t="e">
        <f>AND('Yamazumi Data'!K36,"AAAAAH+//Dw=")</f>
        <v>#VALUE!</v>
      </c>
      <c r="BJ3" t="e">
        <f>AND('Yamazumi Data'!L36,"AAAAAH+//D0=")</f>
        <v>#VALUE!</v>
      </c>
      <c r="BK3" t="e">
        <f>AND('Yamazumi Data'!#REF!,"AAAAAH+//D4=")</f>
        <v>#REF!</v>
      </c>
      <c r="BL3" t="e">
        <f>AND('Yamazumi Data'!N36,"AAAAAH+//D8=")</f>
        <v>#VALUE!</v>
      </c>
      <c r="BM3" t="e">
        <f>AND('Yamazumi Data'!O36,"AAAAAH+//EA=")</f>
        <v>#VALUE!</v>
      </c>
      <c r="BN3" t="e">
        <f>AND('Yamazumi Data'!P36,"AAAAAH+//EE=")</f>
        <v>#VALUE!</v>
      </c>
      <c r="BO3" t="e">
        <f>AND('Yamazumi Data'!Q36,"AAAAAH+//EI=")</f>
        <v>#VALUE!</v>
      </c>
      <c r="BP3" t="e">
        <f>AND('Yamazumi Data'!#REF!,"AAAAAH+//EM=")</f>
        <v>#REF!</v>
      </c>
      <c r="BQ3" t="e">
        <f>AND('Yamazumi Data'!#REF!,"AAAAAH+//EQ=")</f>
        <v>#REF!</v>
      </c>
      <c r="BR3" t="e">
        <f>AND('Yamazumi Data'!#REF!,"AAAAAH+//EU=")</f>
        <v>#REF!</v>
      </c>
      <c r="BS3">
        <f>IF('Yamazumi Data'!37:37,"AAAAAH+//EY=",0)</f>
        <v>0</v>
      </c>
      <c r="BT3" t="e">
        <f>AND('Yamazumi Data'!C37,"AAAAAH+//Ec=")</f>
        <v>#VALUE!</v>
      </c>
      <c r="BU3" t="e">
        <f>AND('Yamazumi Data'!D37,"AAAAAH+//Eg=")</f>
        <v>#VALUE!</v>
      </c>
      <c r="BV3" t="e">
        <f>AND('Yamazumi Data'!F37,"AAAAAH+//Ek=")</f>
        <v>#VALUE!</v>
      </c>
      <c r="BW3" t="e">
        <f>AND('Yamazumi Data'!G37,"AAAAAH+//Eo=")</f>
        <v>#VALUE!</v>
      </c>
      <c r="BX3" t="e">
        <f>AND('Yamazumi Data'!H37,"AAAAAH+//Es=")</f>
        <v>#VALUE!</v>
      </c>
      <c r="BY3" t="e">
        <f>AND('Yamazumi Data'!I37,"AAAAAH+//Ew=")</f>
        <v>#VALUE!</v>
      </c>
      <c r="BZ3" t="e">
        <f>AND('Yamazumi Data'!J37,"AAAAAH+//E0=")</f>
        <v>#VALUE!</v>
      </c>
      <c r="CA3" t="e">
        <f>AND('Yamazumi Data'!K37,"AAAAAH+//E4=")</f>
        <v>#VALUE!</v>
      </c>
      <c r="CB3" t="e">
        <f>AND('Yamazumi Data'!L37,"AAAAAH+//E8=")</f>
        <v>#VALUE!</v>
      </c>
      <c r="CC3" t="e">
        <f>AND('Yamazumi Data'!M37,"AAAAAH+//FA=")</f>
        <v>#VALUE!</v>
      </c>
      <c r="CD3" t="e">
        <f>AND('Yamazumi Data'!N37,"AAAAAH+//FE=")</f>
        <v>#VALUE!</v>
      </c>
      <c r="CE3" t="e">
        <f>AND('Yamazumi Data'!O37,"AAAAAH+//FI=")</f>
        <v>#VALUE!</v>
      </c>
      <c r="CF3" t="e">
        <f>AND('Yamazumi Data'!P37,"AAAAAH+//FM=")</f>
        <v>#VALUE!</v>
      </c>
      <c r="CG3" t="e">
        <f>AND('Yamazumi Data'!Q37,"AAAAAH+//FQ=")</f>
        <v>#VALUE!</v>
      </c>
      <c r="CH3" t="e">
        <f>AND('Yamazumi Data'!#REF!,"AAAAAH+//FU=")</f>
        <v>#REF!</v>
      </c>
      <c r="CI3" t="e">
        <f>AND('Yamazumi Data'!#REF!,"AAAAAH+//FY=")</f>
        <v>#REF!</v>
      </c>
      <c r="CJ3" t="e">
        <f>AND('Yamazumi Data'!#REF!,"AAAAAH+//Fc=")</f>
        <v>#REF!</v>
      </c>
      <c r="CK3">
        <f>IF('Yamazumi Data'!38:38,"AAAAAH+//Fg=",0)</f>
        <v>0</v>
      </c>
      <c r="CL3" t="e">
        <f>AND('Yamazumi Data'!C38,"AAAAAH+//Fk=")</f>
        <v>#VALUE!</v>
      </c>
      <c r="CM3" t="e">
        <f>AND('Yamazumi Data'!D38,"AAAAAH+//Fo=")</f>
        <v>#VALUE!</v>
      </c>
      <c r="CN3" t="e">
        <f>AND('Yamazumi Data'!F38,"AAAAAH+//Fs=")</f>
        <v>#VALUE!</v>
      </c>
      <c r="CO3" t="e">
        <f>AND('Yamazumi Data'!G38,"AAAAAH+//Fw=")</f>
        <v>#VALUE!</v>
      </c>
      <c r="CP3" t="e">
        <f>AND('Yamazumi Data'!H38,"AAAAAH+//F0=")</f>
        <v>#VALUE!</v>
      </c>
      <c r="CQ3" t="e">
        <f>AND('Yamazumi Data'!I38,"AAAAAH+//F4=")</f>
        <v>#VALUE!</v>
      </c>
      <c r="CR3" t="e">
        <f>AND('Yamazumi Data'!J38,"AAAAAH+//F8=")</f>
        <v>#VALUE!</v>
      </c>
      <c r="CS3" t="e">
        <f>AND('Yamazumi Data'!K38,"AAAAAH+//GA=")</f>
        <v>#VALUE!</v>
      </c>
      <c r="CT3" t="e">
        <f>AND('Yamazumi Data'!L38,"AAAAAH+//GE=")</f>
        <v>#VALUE!</v>
      </c>
      <c r="CU3" t="e">
        <f>AND('Yamazumi Data'!M38,"AAAAAH+//GI=")</f>
        <v>#VALUE!</v>
      </c>
      <c r="CV3" t="e">
        <f>AND('Yamazumi Data'!N38,"AAAAAH+//GM=")</f>
        <v>#VALUE!</v>
      </c>
      <c r="CW3" t="e">
        <f>AND('Yamazumi Data'!O38,"AAAAAH+//GQ=")</f>
        <v>#VALUE!</v>
      </c>
      <c r="CX3" t="e">
        <f>AND('Yamazumi Data'!P38,"AAAAAH+//GU=")</f>
        <v>#VALUE!</v>
      </c>
      <c r="CY3" t="e">
        <f>AND('Yamazumi Data'!Q38,"AAAAAH+//GY=")</f>
        <v>#VALUE!</v>
      </c>
      <c r="CZ3" t="e">
        <f>AND('Yamazumi Data'!#REF!,"AAAAAH+//Gc=")</f>
        <v>#REF!</v>
      </c>
      <c r="DA3" t="e">
        <f>AND('Yamazumi Data'!#REF!,"AAAAAH+//Gg=")</f>
        <v>#REF!</v>
      </c>
      <c r="DB3" t="e">
        <f>AND('Yamazumi Data'!#REF!,"AAAAAH+//Gk=")</f>
        <v>#REF!</v>
      </c>
      <c r="DC3">
        <f>IF('Yamazumi Data'!39:39,"AAAAAH+//Go=",0)</f>
        <v>0</v>
      </c>
      <c r="DD3" t="e">
        <f>AND('Yamazumi Data'!C39,"AAAAAH+//Gs=")</f>
        <v>#VALUE!</v>
      </c>
      <c r="DE3" t="e">
        <f>AND('Yamazumi Data'!D39,"AAAAAH+//Gw=")</f>
        <v>#VALUE!</v>
      </c>
      <c r="DF3" t="e">
        <f>AND('Yamazumi Data'!F39,"AAAAAH+//G0=")</f>
        <v>#VALUE!</v>
      </c>
      <c r="DG3" t="e">
        <f>AND('Yamazumi Data'!G39,"AAAAAH+//G4=")</f>
        <v>#VALUE!</v>
      </c>
      <c r="DH3" t="e">
        <f>AND('Yamazumi Data'!H39,"AAAAAH+//G8=")</f>
        <v>#VALUE!</v>
      </c>
      <c r="DI3" t="e">
        <f>AND('Yamazumi Data'!I39,"AAAAAH+//HA=")</f>
        <v>#VALUE!</v>
      </c>
      <c r="DJ3" t="e">
        <f>AND('Yamazumi Data'!J39,"AAAAAH+//HE=")</f>
        <v>#VALUE!</v>
      </c>
      <c r="DK3" t="e">
        <f>AND('Yamazumi Data'!K39,"AAAAAH+//HI=")</f>
        <v>#VALUE!</v>
      </c>
      <c r="DL3" t="e">
        <f>AND('Yamazumi Data'!L39,"AAAAAH+//HM=")</f>
        <v>#VALUE!</v>
      </c>
      <c r="DM3" t="e">
        <f>AND('Yamazumi Data'!M39,"AAAAAH+//HQ=")</f>
        <v>#VALUE!</v>
      </c>
      <c r="DN3" t="e">
        <f>AND('Yamazumi Data'!N39,"AAAAAH+//HU=")</f>
        <v>#VALUE!</v>
      </c>
      <c r="DO3" t="e">
        <f>AND('Yamazumi Data'!O39,"AAAAAH+//HY=")</f>
        <v>#VALUE!</v>
      </c>
      <c r="DP3" t="e">
        <f>AND('Yamazumi Data'!P39,"AAAAAH+//Hc=")</f>
        <v>#VALUE!</v>
      </c>
      <c r="DQ3" t="e">
        <f>AND('Yamazumi Data'!Q39,"AAAAAH+//Hg=")</f>
        <v>#VALUE!</v>
      </c>
      <c r="DR3" t="e">
        <f>AND('Yamazumi Data'!#REF!,"AAAAAH+//Hk=")</f>
        <v>#REF!</v>
      </c>
      <c r="DS3" t="e">
        <f>AND('Yamazumi Data'!#REF!,"AAAAAH+//Ho=")</f>
        <v>#REF!</v>
      </c>
      <c r="DT3" t="e">
        <f>AND('Yamazumi Data'!#REF!,"AAAAAH+//Hs=")</f>
        <v>#REF!</v>
      </c>
      <c r="DU3">
        <f>IF('Yamazumi Data'!40:40,"AAAAAH+//Hw=",0)</f>
        <v>0</v>
      </c>
      <c r="DV3" t="e">
        <f>AND('Yamazumi Data'!C40,"AAAAAH+//H0=")</f>
        <v>#VALUE!</v>
      </c>
      <c r="DW3" t="e">
        <f>AND('Yamazumi Data'!D40,"AAAAAH+//H4=")</f>
        <v>#VALUE!</v>
      </c>
      <c r="DX3" t="e">
        <f>AND('Yamazumi Data'!F40,"AAAAAH+//H8=")</f>
        <v>#VALUE!</v>
      </c>
      <c r="DY3" t="e">
        <f>AND('Yamazumi Data'!G40,"AAAAAH+//IA=")</f>
        <v>#VALUE!</v>
      </c>
      <c r="DZ3" t="e">
        <f>AND('Yamazumi Data'!H40,"AAAAAH+//IE=")</f>
        <v>#VALUE!</v>
      </c>
      <c r="EA3" t="e">
        <f>AND('Yamazumi Data'!I40,"AAAAAH+//II=")</f>
        <v>#VALUE!</v>
      </c>
      <c r="EB3" t="e">
        <f>AND('Yamazumi Data'!J40,"AAAAAH+//IM=")</f>
        <v>#VALUE!</v>
      </c>
      <c r="EC3" t="e">
        <f>AND('Yamazumi Data'!K40,"AAAAAH+//IQ=")</f>
        <v>#VALUE!</v>
      </c>
      <c r="ED3" t="e">
        <f>AND('Yamazumi Data'!L40,"AAAAAH+//IU=")</f>
        <v>#VALUE!</v>
      </c>
      <c r="EE3" t="e">
        <f>AND('Yamazumi Data'!M40,"AAAAAH+//IY=")</f>
        <v>#VALUE!</v>
      </c>
      <c r="EF3" t="e">
        <f>AND('Yamazumi Data'!N40,"AAAAAH+//Ic=")</f>
        <v>#VALUE!</v>
      </c>
      <c r="EG3" t="e">
        <f>AND('Yamazumi Data'!O40,"AAAAAH+//Ig=")</f>
        <v>#VALUE!</v>
      </c>
      <c r="EH3" t="e">
        <f>AND('Yamazumi Data'!P40,"AAAAAH+//Ik=")</f>
        <v>#VALUE!</v>
      </c>
      <c r="EI3" t="e">
        <f>AND('Yamazumi Data'!Q40,"AAAAAH+//Io=")</f>
        <v>#VALUE!</v>
      </c>
      <c r="EJ3" t="e">
        <f>AND('Yamazumi Data'!#REF!,"AAAAAH+//Is=")</f>
        <v>#REF!</v>
      </c>
      <c r="EK3" t="e">
        <f>AND('Yamazumi Data'!#REF!,"AAAAAH+//Iw=")</f>
        <v>#REF!</v>
      </c>
      <c r="EL3" t="e">
        <f>AND('Yamazumi Data'!#REF!,"AAAAAH+//I0=")</f>
        <v>#REF!</v>
      </c>
      <c r="EM3">
        <f>IF('Yamazumi Data'!41:41,"AAAAAH+//I4=",0)</f>
        <v>0</v>
      </c>
      <c r="EN3" t="e">
        <f>AND('Yamazumi Data'!C41,"AAAAAH+//I8=")</f>
        <v>#VALUE!</v>
      </c>
      <c r="EO3" t="e">
        <f>AND('Yamazumi Data'!D41,"AAAAAH+//JA=")</f>
        <v>#VALUE!</v>
      </c>
      <c r="EP3" t="e">
        <f>AND('Yamazumi Data'!F41,"AAAAAH+//JE=")</f>
        <v>#VALUE!</v>
      </c>
      <c r="EQ3" t="e">
        <f>AND('Yamazumi Data'!G41,"AAAAAH+//JI=")</f>
        <v>#VALUE!</v>
      </c>
      <c r="ER3" t="e">
        <f>AND('Yamazumi Data'!H41,"AAAAAH+//JM=")</f>
        <v>#VALUE!</v>
      </c>
      <c r="ES3" t="e">
        <f>AND('Yamazumi Data'!I41,"AAAAAH+//JQ=")</f>
        <v>#VALUE!</v>
      </c>
      <c r="ET3" t="e">
        <f>AND('Yamazumi Data'!J41,"AAAAAH+//JU=")</f>
        <v>#VALUE!</v>
      </c>
      <c r="EU3" t="e">
        <f>AND('Yamazumi Data'!K41,"AAAAAH+//JY=")</f>
        <v>#VALUE!</v>
      </c>
      <c r="EV3" t="e">
        <f>AND('Yamazumi Data'!L41,"AAAAAH+//Jc=")</f>
        <v>#VALUE!</v>
      </c>
      <c r="EW3" t="e">
        <f>AND('Yamazumi Data'!M41,"AAAAAH+//Jg=")</f>
        <v>#VALUE!</v>
      </c>
      <c r="EX3" t="e">
        <f>AND('Yamazumi Data'!N41,"AAAAAH+//Jk=")</f>
        <v>#VALUE!</v>
      </c>
      <c r="EY3" t="e">
        <f>AND('Yamazumi Data'!O41,"AAAAAH+//Jo=")</f>
        <v>#VALUE!</v>
      </c>
      <c r="EZ3" t="e">
        <f>AND('Yamazumi Data'!P41,"AAAAAH+//Js=")</f>
        <v>#VALUE!</v>
      </c>
      <c r="FA3" t="e">
        <f>AND('Yamazumi Data'!Q41,"AAAAAH+//Jw=")</f>
        <v>#VALUE!</v>
      </c>
      <c r="FB3" t="e">
        <f>AND('Yamazumi Data'!#REF!,"AAAAAH+//J0=")</f>
        <v>#REF!</v>
      </c>
      <c r="FC3" t="e">
        <f>AND('Yamazumi Data'!#REF!,"AAAAAH+//J4=")</f>
        <v>#REF!</v>
      </c>
      <c r="FD3" t="e">
        <f>AND('Yamazumi Data'!#REF!,"AAAAAH+//J8=")</f>
        <v>#REF!</v>
      </c>
      <c r="FE3">
        <f>IF('Yamazumi Data'!42:42,"AAAAAH+//KA=",0)</f>
        <v>0</v>
      </c>
      <c r="FF3" t="e">
        <f>AND('Yamazumi Data'!C42,"AAAAAH+//KE=")</f>
        <v>#VALUE!</v>
      </c>
      <c r="FG3" t="e">
        <f>AND('Yamazumi Data'!D42,"AAAAAH+//KI=")</f>
        <v>#VALUE!</v>
      </c>
      <c r="FH3" t="e">
        <f>AND('Yamazumi Data'!F42,"AAAAAH+//KM=")</f>
        <v>#VALUE!</v>
      </c>
      <c r="FI3" t="e">
        <f>AND('Yamazumi Data'!G42,"AAAAAH+//KQ=")</f>
        <v>#VALUE!</v>
      </c>
      <c r="FJ3" t="e">
        <f>AND('Yamazumi Data'!H42,"AAAAAH+//KU=")</f>
        <v>#VALUE!</v>
      </c>
      <c r="FK3" t="e">
        <f>AND('Yamazumi Data'!I42,"AAAAAH+//KY=")</f>
        <v>#VALUE!</v>
      </c>
      <c r="FL3" t="e">
        <f>AND('Yamazumi Data'!J42,"AAAAAH+//Kc=")</f>
        <v>#VALUE!</v>
      </c>
      <c r="FM3" t="e">
        <f>AND('Yamazumi Data'!K42,"AAAAAH+//Kg=")</f>
        <v>#VALUE!</v>
      </c>
      <c r="FN3" t="e">
        <f>AND('Yamazumi Data'!L42,"AAAAAH+//Kk=")</f>
        <v>#VALUE!</v>
      </c>
      <c r="FO3" t="e">
        <f>AND('Yamazumi Data'!M42,"AAAAAH+//Ko=")</f>
        <v>#VALUE!</v>
      </c>
      <c r="FP3" t="e">
        <f>AND('Yamazumi Data'!N42,"AAAAAH+//Ks=")</f>
        <v>#VALUE!</v>
      </c>
      <c r="FQ3" t="e">
        <f>AND('Yamazumi Data'!O42,"AAAAAH+//Kw=")</f>
        <v>#VALUE!</v>
      </c>
      <c r="FR3" t="e">
        <f>AND('Yamazumi Data'!P42,"AAAAAH+//K0=")</f>
        <v>#VALUE!</v>
      </c>
      <c r="FS3" t="e">
        <f>AND('Yamazumi Data'!Q42,"AAAAAH+//K4=")</f>
        <v>#VALUE!</v>
      </c>
      <c r="FT3" t="e">
        <f>AND('Yamazumi Data'!#REF!,"AAAAAH+//K8=")</f>
        <v>#REF!</v>
      </c>
      <c r="FU3" t="e">
        <f>AND('Yamazumi Data'!#REF!,"AAAAAH+//LA=")</f>
        <v>#REF!</v>
      </c>
      <c r="FV3" t="e">
        <f>AND('Yamazumi Data'!#REF!,"AAAAAH+//LE=")</f>
        <v>#REF!</v>
      </c>
      <c r="FW3">
        <f>IF('Yamazumi Data'!43:43,"AAAAAH+//LI=",0)</f>
        <v>0</v>
      </c>
      <c r="FX3" t="e">
        <f>AND('Yamazumi Data'!C43,"AAAAAH+//LM=")</f>
        <v>#VALUE!</v>
      </c>
      <c r="FY3" t="e">
        <f>AND('Yamazumi Data'!D43,"AAAAAH+//LQ=")</f>
        <v>#VALUE!</v>
      </c>
      <c r="FZ3" t="e">
        <f>AND('Yamazumi Data'!F43,"AAAAAH+//LU=")</f>
        <v>#VALUE!</v>
      </c>
      <c r="GA3" t="e">
        <f>AND('Yamazumi Data'!G43,"AAAAAH+//LY=")</f>
        <v>#VALUE!</v>
      </c>
      <c r="GB3" t="e">
        <f>AND('Yamazumi Data'!H43,"AAAAAH+//Lc=")</f>
        <v>#VALUE!</v>
      </c>
      <c r="GC3" t="e">
        <f>AND('Yamazumi Data'!I43,"AAAAAH+//Lg=")</f>
        <v>#VALUE!</v>
      </c>
      <c r="GD3" t="e">
        <f>AND('Yamazumi Data'!J43,"AAAAAH+//Lk=")</f>
        <v>#VALUE!</v>
      </c>
      <c r="GE3" t="e">
        <f>AND('Yamazumi Data'!K43,"AAAAAH+//Lo=")</f>
        <v>#VALUE!</v>
      </c>
      <c r="GF3" t="e">
        <f>AND('Yamazumi Data'!L43,"AAAAAH+//Ls=")</f>
        <v>#VALUE!</v>
      </c>
      <c r="GG3" t="e">
        <f>AND('Yamazumi Data'!M43,"AAAAAH+//Lw=")</f>
        <v>#VALUE!</v>
      </c>
      <c r="GH3" t="e">
        <f>AND('Yamazumi Data'!N43,"AAAAAH+//L0=")</f>
        <v>#VALUE!</v>
      </c>
      <c r="GI3" t="e">
        <f>AND('Yamazumi Data'!O43,"AAAAAH+//L4=")</f>
        <v>#VALUE!</v>
      </c>
      <c r="GJ3" t="e">
        <f>AND('Yamazumi Data'!P43,"AAAAAH+//L8=")</f>
        <v>#VALUE!</v>
      </c>
      <c r="GK3" t="e">
        <f>AND('Yamazumi Data'!Q43,"AAAAAH+//MA=")</f>
        <v>#VALUE!</v>
      </c>
      <c r="GL3" t="e">
        <f>AND('Yamazumi Data'!#REF!,"AAAAAH+//ME=")</f>
        <v>#REF!</v>
      </c>
      <c r="GM3" t="e">
        <f>AND('Yamazumi Data'!#REF!,"AAAAAH+//MI=")</f>
        <v>#REF!</v>
      </c>
      <c r="GN3" t="e">
        <f>AND('Yamazumi Data'!#REF!,"AAAAAH+//MM=")</f>
        <v>#REF!</v>
      </c>
      <c r="GO3">
        <f>IF('Yamazumi Data'!44:44,"AAAAAH+//MQ=",0)</f>
        <v>0</v>
      </c>
      <c r="GP3" t="e">
        <f>AND('Yamazumi Data'!C44,"AAAAAH+//MU=")</f>
        <v>#VALUE!</v>
      </c>
      <c r="GQ3" t="e">
        <f>AND('Yamazumi Data'!D44,"AAAAAH+//MY=")</f>
        <v>#VALUE!</v>
      </c>
      <c r="GR3" t="e">
        <f>AND('Yamazumi Data'!F44,"AAAAAH+//Mc=")</f>
        <v>#VALUE!</v>
      </c>
      <c r="GS3" t="e">
        <f>AND('Yamazumi Data'!G44,"AAAAAH+//Mg=")</f>
        <v>#VALUE!</v>
      </c>
      <c r="GT3" t="e">
        <f>AND('Yamazumi Data'!H44,"AAAAAH+//Mk=")</f>
        <v>#VALUE!</v>
      </c>
      <c r="GU3" t="e">
        <f>AND('Yamazumi Data'!I44,"AAAAAH+//Mo=")</f>
        <v>#VALUE!</v>
      </c>
      <c r="GV3" t="e">
        <f>AND('Yamazumi Data'!J44,"AAAAAH+//Ms=")</f>
        <v>#VALUE!</v>
      </c>
      <c r="GW3" t="e">
        <f>AND('Yamazumi Data'!K44,"AAAAAH+//Mw=")</f>
        <v>#VALUE!</v>
      </c>
      <c r="GX3" t="e">
        <f>AND('Yamazumi Data'!L44,"AAAAAH+//M0=")</f>
        <v>#VALUE!</v>
      </c>
      <c r="GY3" t="e">
        <f>AND('Yamazumi Data'!M44,"AAAAAH+//M4=")</f>
        <v>#VALUE!</v>
      </c>
      <c r="GZ3" t="e">
        <f>AND('Yamazumi Data'!N44,"AAAAAH+//M8=")</f>
        <v>#VALUE!</v>
      </c>
      <c r="HA3" t="e">
        <f>AND('Yamazumi Data'!O44,"AAAAAH+//NA=")</f>
        <v>#VALUE!</v>
      </c>
      <c r="HB3" t="e">
        <f>AND('Yamazumi Data'!P44,"AAAAAH+//NE=")</f>
        <v>#VALUE!</v>
      </c>
      <c r="HC3" t="e">
        <f>AND('Yamazumi Data'!Q44,"AAAAAH+//NI=")</f>
        <v>#VALUE!</v>
      </c>
      <c r="HD3" t="e">
        <f>AND('Yamazumi Data'!#REF!,"AAAAAH+//NM=")</f>
        <v>#REF!</v>
      </c>
      <c r="HE3" t="e">
        <f>AND('Yamazumi Data'!#REF!,"AAAAAH+//NQ=")</f>
        <v>#REF!</v>
      </c>
      <c r="HF3" t="e">
        <f>AND('Yamazumi Data'!#REF!,"AAAAAH+//NU=")</f>
        <v>#REF!</v>
      </c>
      <c r="HG3">
        <f>IF('Yamazumi Data'!45:45,"AAAAAH+//NY=",0)</f>
        <v>0</v>
      </c>
      <c r="HH3" t="e">
        <f>AND('Yamazumi Data'!C45,"AAAAAH+//Nc=")</f>
        <v>#VALUE!</v>
      </c>
      <c r="HI3" t="e">
        <f>AND('Yamazumi Data'!D45,"AAAAAH+//Ng=")</f>
        <v>#VALUE!</v>
      </c>
      <c r="HJ3" t="e">
        <f>AND('Yamazumi Data'!F45,"AAAAAH+//Nk=")</f>
        <v>#VALUE!</v>
      </c>
      <c r="HK3" t="e">
        <f>AND('Yamazumi Data'!G45,"AAAAAH+//No=")</f>
        <v>#VALUE!</v>
      </c>
      <c r="HL3" t="e">
        <f>AND('Yamazumi Data'!H45,"AAAAAH+//Ns=")</f>
        <v>#VALUE!</v>
      </c>
      <c r="HM3" t="e">
        <f>AND('Yamazumi Data'!I45,"AAAAAH+//Nw=")</f>
        <v>#VALUE!</v>
      </c>
      <c r="HN3" t="e">
        <f>AND('Yamazumi Data'!J45,"AAAAAH+//N0=")</f>
        <v>#VALUE!</v>
      </c>
      <c r="HO3" t="e">
        <f>AND('Yamazumi Data'!K45,"AAAAAH+//N4=")</f>
        <v>#VALUE!</v>
      </c>
      <c r="HP3" t="e">
        <f>AND('Yamazumi Data'!L45,"AAAAAH+//N8=")</f>
        <v>#VALUE!</v>
      </c>
      <c r="HQ3" t="e">
        <f>AND('Yamazumi Data'!M45,"AAAAAH+//OA=")</f>
        <v>#VALUE!</v>
      </c>
      <c r="HR3" t="e">
        <f>AND('Yamazumi Data'!N45,"AAAAAH+//OE=")</f>
        <v>#VALUE!</v>
      </c>
      <c r="HS3" t="e">
        <f>AND('Yamazumi Data'!O45,"AAAAAH+//OI=")</f>
        <v>#VALUE!</v>
      </c>
      <c r="HT3" t="e">
        <f>AND('Yamazumi Data'!P45,"AAAAAH+//OM=")</f>
        <v>#VALUE!</v>
      </c>
      <c r="HU3" t="e">
        <f>AND('Yamazumi Data'!Q45,"AAAAAH+//OQ=")</f>
        <v>#VALUE!</v>
      </c>
      <c r="HV3" t="e">
        <f>AND('Yamazumi Data'!#REF!,"AAAAAH+//OU=")</f>
        <v>#REF!</v>
      </c>
      <c r="HW3" t="e">
        <f>AND('Yamazumi Data'!#REF!,"AAAAAH+//OY=")</f>
        <v>#REF!</v>
      </c>
      <c r="HX3" t="e">
        <f>AND('Yamazumi Data'!#REF!,"AAAAAH+//Oc=")</f>
        <v>#REF!</v>
      </c>
      <c r="HY3">
        <f>IF('Yamazumi Data'!46:46,"AAAAAH+//Og=",0)</f>
        <v>0</v>
      </c>
      <c r="HZ3" t="e">
        <f>AND('Yamazumi Data'!C46,"AAAAAH+//Ok=")</f>
        <v>#VALUE!</v>
      </c>
      <c r="IA3" t="e">
        <f>AND('Yamazumi Data'!D46,"AAAAAH+//Oo=")</f>
        <v>#VALUE!</v>
      </c>
      <c r="IB3" t="e">
        <f>AND('Yamazumi Data'!F46,"AAAAAH+//Os=")</f>
        <v>#VALUE!</v>
      </c>
      <c r="IC3" t="e">
        <f>AND('Yamazumi Data'!G46,"AAAAAH+//Ow=")</f>
        <v>#VALUE!</v>
      </c>
      <c r="ID3" t="e">
        <f>AND('Yamazumi Data'!H46,"AAAAAH+//O0=")</f>
        <v>#VALUE!</v>
      </c>
      <c r="IE3" t="e">
        <f>AND('Yamazumi Data'!I46,"AAAAAH+//O4=")</f>
        <v>#VALUE!</v>
      </c>
      <c r="IF3" t="e">
        <f>AND('Yamazumi Data'!J46,"AAAAAH+//O8=")</f>
        <v>#VALUE!</v>
      </c>
      <c r="IG3" t="e">
        <f>AND('Yamazumi Data'!K46,"AAAAAH+//PA=")</f>
        <v>#VALUE!</v>
      </c>
      <c r="IH3" t="e">
        <f>AND('Yamazumi Data'!L46,"AAAAAH+//PE=")</f>
        <v>#VALUE!</v>
      </c>
      <c r="II3" t="e">
        <f>AND('Yamazumi Data'!M46,"AAAAAH+//PI=")</f>
        <v>#VALUE!</v>
      </c>
      <c r="IJ3" t="e">
        <f>AND('Yamazumi Data'!N46,"AAAAAH+//PM=")</f>
        <v>#VALUE!</v>
      </c>
      <c r="IK3" t="e">
        <f>AND('Yamazumi Data'!O46,"AAAAAH+//PQ=")</f>
        <v>#VALUE!</v>
      </c>
      <c r="IL3" t="e">
        <f>AND('Yamazumi Data'!P46,"AAAAAH+//PU=")</f>
        <v>#VALUE!</v>
      </c>
      <c r="IM3" t="e">
        <f>AND('Yamazumi Data'!Q46,"AAAAAH+//PY=")</f>
        <v>#VALUE!</v>
      </c>
      <c r="IN3" t="e">
        <f>AND('Yamazumi Data'!#REF!,"AAAAAH+//Pc=")</f>
        <v>#REF!</v>
      </c>
      <c r="IO3" t="e">
        <f>AND('Yamazumi Data'!#REF!,"AAAAAH+//Pg=")</f>
        <v>#REF!</v>
      </c>
      <c r="IP3" t="e">
        <f>AND('Yamazumi Data'!#REF!,"AAAAAH+//Pk=")</f>
        <v>#REF!</v>
      </c>
      <c r="IQ3">
        <f>IF('Yamazumi Data'!47:47,"AAAAAH+//Po=",0)</f>
        <v>0</v>
      </c>
      <c r="IR3" t="e">
        <f>AND('Yamazumi Data'!C47,"AAAAAH+//Ps=")</f>
        <v>#VALUE!</v>
      </c>
      <c r="IS3" t="e">
        <f>AND('Yamazumi Data'!D47,"AAAAAH+//Pw=")</f>
        <v>#VALUE!</v>
      </c>
      <c r="IT3" t="e">
        <f>AND('Yamazumi Data'!F47,"AAAAAH+//P0=")</f>
        <v>#VALUE!</v>
      </c>
      <c r="IU3" t="e">
        <f>AND('Yamazumi Data'!G47,"AAAAAH+//P4=")</f>
        <v>#VALUE!</v>
      </c>
      <c r="IV3" t="e">
        <f>AND('Yamazumi Data'!H47,"AAAAAH+//P8=")</f>
        <v>#VALUE!</v>
      </c>
    </row>
    <row r="4" spans="1:256" ht="14.45" x14ac:dyDescent="0.3">
      <c r="A4" t="e">
        <f>AND('Yamazumi Data'!I47,"AAAAAF/f9AA=")</f>
        <v>#VALUE!</v>
      </c>
      <c r="B4" t="e">
        <f>AND('Yamazumi Data'!J47,"AAAAAF/f9AE=")</f>
        <v>#VALUE!</v>
      </c>
      <c r="C4" t="e">
        <f>AND('Yamazumi Data'!K47,"AAAAAF/f9AI=")</f>
        <v>#VALUE!</v>
      </c>
      <c r="D4" t="e">
        <f>AND('Yamazumi Data'!L47,"AAAAAF/f9AM=")</f>
        <v>#VALUE!</v>
      </c>
      <c r="E4" t="e">
        <f>AND('Yamazumi Data'!M47,"AAAAAF/f9AQ=")</f>
        <v>#VALUE!</v>
      </c>
      <c r="F4" t="e">
        <f>AND('Yamazumi Data'!N47,"AAAAAF/f9AU=")</f>
        <v>#VALUE!</v>
      </c>
      <c r="G4" t="e">
        <f>AND('Yamazumi Data'!O47,"AAAAAF/f9AY=")</f>
        <v>#VALUE!</v>
      </c>
      <c r="H4" t="e">
        <f>AND('Yamazumi Data'!P47,"AAAAAF/f9Ac=")</f>
        <v>#VALUE!</v>
      </c>
      <c r="I4" t="e">
        <f>AND('Yamazumi Data'!Q47,"AAAAAF/f9Ag=")</f>
        <v>#VALUE!</v>
      </c>
      <c r="J4" t="e">
        <f>AND('Yamazumi Data'!#REF!,"AAAAAF/f9Ak=")</f>
        <v>#REF!</v>
      </c>
      <c r="K4" t="e">
        <f>AND('Yamazumi Data'!#REF!,"AAAAAF/f9Ao=")</f>
        <v>#REF!</v>
      </c>
      <c r="L4" t="e">
        <f>AND('Yamazumi Data'!#REF!,"AAAAAF/f9As=")</f>
        <v>#REF!</v>
      </c>
      <c r="M4" t="str">
        <f>IF('Yamazumi Data'!48:48,"AAAAAF/f9Aw=",0)</f>
        <v>AAAAAF/f9Aw=</v>
      </c>
      <c r="N4" t="e">
        <f>AND('Yamazumi Data'!C48,"AAAAAF/f9A0=")</f>
        <v>#VALUE!</v>
      </c>
      <c r="O4" t="e">
        <f>AND('Yamazumi Data'!D48,"AAAAAF/f9A4=")</f>
        <v>#VALUE!</v>
      </c>
      <c r="P4" t="e">
        <f>AND('Yamazumi Data'!F48,"AAAAAF/f9A8=")</f>
        <v>#VALUE!</v>
      </c>
      <c r="Q4" t="e">
        <f>AND('Yamazumi Data'!G48,"AAAAAF/f9BA=")</f>
        <v>#VALUE!</v>
      </c>
      <c r="R4" t="e">
        <f>AND('Yamazumi Data'!H48,"AAAAAF/f9BE=")</f>
        <v>#VALUE!</v>
      </c>
      <c r="S4" t="e">
        <f>AND('Yamazumi Data'!I48,"AAAAAF/f9BI=")</f>
        <v>#VALUE!</v>
      </c>
      <c r="T4" t="e">
        <f>AND('Yamazumi Data'!J48,"AAAAAF/f9BM=")</f>
        <v>#VALUE!</v>
      </c>
      <c r="U4" t="e">
        <f>AND('Yamazumi Data'!K48,"AAAAAF/f9BQ=")</f>
        <v>#VALUE!</v>
      </c>
      <c r="V4" t="e">
        <f>AND('Yamazumi Data'!L48,"AAAAAF/f9BU=")</f>
        <v>#VALUE!</v>
      </c>
      <c r="W4" t="e">
        <f>AND('Yamazumi Data'!M48,"AAAAAF/f9BY=")</f>
        <v>#VALUE!</v>
      </c>
      <c r="X4" t="e">
        <f>AND('Yamazumi Data'!N48,"AAAAAF/f9Bc=")</f>
        <v>#VALUE!</v>
      </c>
      <c r="Y4" t="e">
        <f>AND('Yamazumi Data'!O48,"AAAAAF/f9Bg=")</f>
        <v>#VALUE!</v>
      </c>
      <c r="Z4" t="e">
        <f>AND('Yamazumi Data'!P48,"AAAAAF/f9Bk=")</f>
        <v>#VALUE!</v>
      </c>
      <c r="AA4" t="e">
        <f>AND('Yamazumi Data'!Q48,"AAAAAF/f9Bo=")</f>
        <v>#VALUE!</v>
      </c>
      <c r="AB4" t="e">
        <f>AND('Yamazumi Data'!#REF!,"AAAAAF/f9Bs=")</f>
        <v>#REF!</v>
      </c>
      <c r="AC4" t="e">
        <f>AND('Yamazumi Data'!#REF!,"AAAAAF/f9Bw=")</f>
        <v>#REF!</v>
      </c>
      <c r="AD4" t="e">
        <f>AND('Yamazumi Data'!#REF!,"AAAAAF/f9B0=")</f>
        <v>#REF!</v>
      </c>
      <c r="AE4">
        <f>IF('Yamazumi Data'!49:49,"AAAAAF/f9B4=",0)</f>
        <v>0</v>
      </c>
      <c r="AF4" t="e">
        <f>AND('Yamazumi Data'!C49,"AAAAAF/f9B8=")</f>
        <v>#VALUE!</v>
      </c>
      <c r="AG4" t="e">
        <f>AND('Yamazumi Data'!D49,"AAAAAF/f9CA=")</f>
        <v>#VALUE!</v>
      </c>
      <c r="AH4" t="e">
        <f>AND('Yamazumi Data'!F49,"AAAAAF/f9CE=")</f>
        <v>#VALUE!</v>
      </c>
      <c r="AI4" t="e">
        <f>AND('Yamazumi Data'!G49,"AAAAAF/f9CI=")</f>
        <v>#VALUE!</v>
      </c>
      <c r="AJ4" t="e">
        <f>AND('Yamazumi Data'!H49,"AAAAAF/f9CM=")</f>
        <v>#VALUE!</v>
      </c>
      <c r="AK4" t="e">
        <f>AND('Yamazumi Data'!I49,"AAAAAF/f9CQ=")</f>
        <v>#VALUE!</v>
      </c>
      <c r="AL4" t="e">
        <f>AND('Yamazumi Data'!J49,"AAAAAF/f9CU=")</f>
        <v>#VALUE!</v>
      </c>
      <c r="AM4" t="e">
        <f>AND('Yamazumi Data'!K49,"AAAAAF/f9CY=")</f>
        <v>#VALUE!</v>
      </c>
      <c r="AN4" t="e">
        <f>AND('Yamazumi Data'!L49,"AAAAAF/f9Cc=")</f>
        <v>#VALUE!</v>
      </c>
      <c r="AO4" t="e">
        <f>AND('Yamazumi Data'!M49,"AAAAAF/f9Cg=")</f>
        <v>#VALUE!</v>
      </c>
      <c r="AP4" t="e">
        <f>AND('Yamazumi Data'!N49,"AAAAAF/f9Ck=")</f>
        <v>#VALUE!</v>
      </c>
      <c r="AQ4" t="e">
        <f>AND('Yamazumi Data'!O49,"AAAAAF/f9Co=")</f>
        <v>#VALUE!</v>
      </c>
      <c r="AR4" t="e">
        <f>AND('Yamazumi Data'!P49,"AAAAAF/f9Cs=")</f>
        <v>#VALUE!</v>
      </c>
      <c r="AS4" t="e">
        <f>AND('Yamazumi Data'!Q49,"AAAAAF/f9Cw=")</f>
        <v>#VALUE!</v>
      </c>
      <c r="AT4" t="e">
        <f>AND('Yamazumi Data'!#REF!,"AAAAAF/f9C0=")</f>
        <v>#REF!</v>
      </c>
      <c r="AU4" t="e">
        <f>AND('Yamazumi Data'!#REF!,"AAAAAF/f9C4=")</f>
        <v>#REF!</v>
      </c>
      <c r="AV4" t="e">
        <f>AND('Yamazumi Data'!#REF!,"AAAAAF/f9C8=")</f>
        <v>#REF!</v>
      </c>
      <c r="AW4">
        <f>IF('Yamazumi Data'!50:50,"AAAAAF/f9DA=",0)</f>
        <v>0</v>
      </c>
      <c r="AX4" t="e">
        <f>AND('Yamazumi Data'!C50,"AAAAAF/f9DE=")</f>
        <v>#VALUE!</v>
      </c>
      <c r="AY4" t="e">
        <f>AND('Yamazumi Data'!D50,"AAAAAF/f9DI=")</f>
        <v>#VALUE!</v>
      </c>
      <c r="AZ4" t="e">
        <f>AND('Yamazumi Data'!F50,"AAAAAF/f9DM=")</f>
        <v>#VALUE!</v>
      </c>
      <c r="BA4" t="e">
        <f>AND('Yamazumi Data'!G50,"AAAAAF/f9DQ=")</f>
        <v>#VALUE!</v>
      </c>
      <c r="BB4" t="e">
        <f>AND('Yamazumi Data'!H50,"AAAAAF/f9DU=")</f>
        <v>#VALUE!</v>
      </c>
      <c r="BC4" t="e">
        <f>AND('Yamazumi Data'!I50,"AAAAAF/f9DY=")</f>
        <v>#VALUE!</v>
      </c>
      <c r="BD4" t="e">
        <f>AND('Yamazumi Data'!J50,"AAAAAF/f9Dc=")</f>
        <v>#VALUE!</v>
      </c>
      <c r="BE4" t="e">
        <f>AND('Yamazumi Data'!K50,"AAAAAF/f9Dg=")</f>
        <v>#VALUE!</v>
      </c>
      <c r="BF4" t="e">
        <f>AND('Yamazumi Data'!L50,"AAAAAF/f9Dk=")</f>
        <v>#VALUE!</v>
      </c>
      <c r="BG4" t="e">
        <f>AND('Yamazumi Data'!M50,"AAAAAF/f9Do=")</f>
        <v>#VALUE!</v>
      </c>
      <c r="BH4" t="e">
        <f>AND('Yamazumi Data'!N50,"AAAAAF/f9Ds=")</f>
        <v>#VALUE!</v>
      </c>
      <c r="BI4" t="e">
        <f>AND('Yamazumi Data'!O50,"AAAAAF/f9Dw=")</f>
        <v>#VALUE!</v>
      </c>
      <c r="BJ4" t="e">
        <f>AND('Yamazumi Data'!P50,"AAAAAF/f9D0=")</f>
        <v>#VALUE!</v>
      </c>
      <c r="BK4" t="e">
        <f>AND('Yamazumi Data'!Q50,"AAAAAF/f9D4=")</f>
        <v>#VALUE!</v>
      </c>
      <c r="BL4" t="e">
        <f>AND('Yamazumi Data'!#REF!,"AAAAAF/f9D8=")</f>
        <v>#REF!</v>
      </c>
      <c r="BM4" t="e">
        <f>AND('Yamazumi Data'!#REF!,"AAAAAF/f9EA=")</f>
        <v>#REF!</v>
      </c>
      <c r="BN4" t="e">
        <f>AND('Yamazumi Data'!#REF!,"AAAAAF/f9EE=")</f>
        <v>#REF!</v>
      </c>
      <c r="BO4">
        <f>IF('Yamazumi Data'!92:92,"AAAAAF/f9EI=",0)</f>
        <v>0</v>
      </c>
      <c r="BP4" t="e">
        <f>AND('Yamazumi Data'!C92,"AAAAAF/f9EM=")</f>
        <v>#VALUE!</v>
      </c>
      <c r="BQ4" t="e">
        <f>AND('Yamazumi Data'!D92,"AAAAAF/f9EQ=")</f>
        <v>#VALUE!</v>
      </c>
      <c r="BR4" t="e">
        <f>AND('Yamazumi Data'!F92,"AAAAAF/f9EU=")</f>
        <v>#VALUE!</v>
      </c>
      <c r="BS4" t="e">
        <f>AND('Yamazumi Data'!G92,"AAAAAF/f9EY=")</f>
        <v>#VALUE!</v>
      </c>
      <c r="BT4" t="e">
        <f>AND('Yamazumi Data'!H92,"AAAAAF/f9Ec=")</f>
        <v>#VALUE!</v>
      </c>
      <c r="BU4" t="e">
        <f>AND('Yamazumi Data'!I92,"AAAAAF/f9Eg=")</f>
        <v>#VALUE!</v>
      </c>
      <c r="BV4" t="e">
        <f>AND('Yamazumi Data'!J92,"AAAAAF/f9Ek=")</f>
        <v>#VALUE!</v>
      </c>
      <c r="BW4" t="e">
        <f>AND('Yamazumi Data'!K92,"AAAAAF/f9Eo=")</f>
        <v>#VALUE!</v>
      </c>
      <c r="BX4" t="e">
        <f>AND('Yamazumi Data'!L92,"AAAAAF/f9Es=")</f>
        <v>#VALUE!</v>
      </c>
      <c r="BY4" t="e">
        <f>AND('Yamazumi Data'!M92,"AAAAAF/f9Ew=")</f>
        <v>#VALUE!</v>
      </c>
      <c r="BZ4" t="e">
        <f>AND('Yamazumi Data'!N92,"AAAAAF/f9E0=")</f>
        <v>#VALUE!</v>
      </c>
      <c r="CA4" t="e">
        <f>AND('Yamazumi Data'!O92,"AAAAAF/f9E4=")</f>
        <v>#VALUE!</v>
      </c>
      <c r="CB4" t="e">
        <f>AND('Yamazumi Data'!P92,"AAAAAF/f9E8=")</f>
        <v>#VALUE!</v>
      </c>
      <c r="CC4" t="e">
        <f>AND('Yamazumi Data'!Q92,"AAAAAF/f9FA=")</f>
        <v>#VALUE!</v>
      </c>
      <c r="CD4" t="e">
        <f>AND('Yamazumi Data'!#REF!,"AAAAAF/f9FE=")</f>
        <v>#REF!</v>
      </c>
      <c r="CE4" t="e">
        <f>AND('Yamazumi Data'!#REF!,"AAAAAF/f9FI=")</f>
        <v>#REF!</v>
      </c>
      <c r="CF4" t="e">
        <f>AND('Yamazumi Data'!#REF!,"AAAAAF/f9FM=")</f>
        <v>#REF!</v>
      </c>
      <c r="CG4">
        <f>IF('Yamazumi Data'!93:93,"AAAAAF/f9FQ=",0)</f>
        <v>0</v>
      </c>
      <c r="CH4" t="e">
        <f>AND('Yamazumi Data'!C93,"AAAAAF/f9FU=")</f>
        <v>#VALUE!</v>
      </c>
      <c r="CI4" t="e">
        <f>AND('Yamazumi Data'!D93,"AAAAAF/f9FY=")</f>
        <v>#VALUE!</v>
      </c>
      <c r="CJ4" t="e">
        <f>AND('Yamazumi Data'!F93,"AAAAAF/f9Fc=")</f>
        <v>#VALUE!</v>
      </c>
      <c r="CK4" t="e">
        <f>AND('Yamazumi Data'!G93,"AAAAAF/f9Fg=")</f>
        <v>#VALUE!</v>
      </c>
      <c r="CL4" t="e">
        <f>AND('Yamazumi Data'!H93,"AAAAAF/f9Fk=")</f>
        <v>#VALUE!</v>
      </c>
      <c r="CM4" t="e">
        <f>AND('Yamazumi Data'!I93,"AAAAAF/f9Fo=")</f>
        <v>#VALUE!</v>
      </c>
      <c r="CN4" t="e">
        <f>AND('Yamazumi Data'!J93,"AAAAAF/f9Fs=")</f>
        <v>#VALUE!</v>
      </c>
      <c r="CO4" t="e">
        <f>AND('Yamazumi Data'!K93,"AAAAAF/f9Fw=")</f>
        <v>#VALUE!</v>
      </c>
      <c r="CP4" t="e">
        <f>AND('Yamazumi Data'!L93,"AAAAAF/f9F0=")</f>
        <v>#VALUE!</v>
      </c>
      <c r="CQ4" t="e">
        <f>AND('Yamazumi Data'!M93,"AAAAAF/f9F4=")</f>
        <v>#VALUE!</v>
      </c>
      <c r="CR4" t="e">
        <f>AND('Yamazumi Data'!N93,"AAAAAF/f9F8=")</f>
        <v>#VALUE!</v>
      </c>
      <c r="CS4" t="e">
        <f>AND('Yamazumi Data'!O93,"AAAAAF/f9GA=")</f>
        <v>#VALUE!</v>
      </c>
      <c r="CT4" t="e">
        <f>AND('Yamazumi Data'!P93,"AAAAAF/f9GE=")</f>
        <v>#VALUE!</v>
      </c>
      <c r="CU4" t="e">
        <f>AND('Yamazumi Data'!Q93,"AAAAAF/f9GI=")</f>
        <v>#VALUE!</v>
      </c>
      <c r="CV4" t="e">
        <f>AND('Yamazumi Data'!#REF!,"AAAAAF/f9GM=")</f>
        <v>#REF!</v>
      </c>
      <c r="CW4" t="e">
        <f>AND('Yamazumi Data'!#REF!,"AAAAAF/f9GQ=")</f>
        <v>#REF!</v>
      </c>
      <c r="CX4" t="e">
        <f>AND('Yamazumi Data'!#REF!,"AAAAAF/f9GU=")</f>
        <v>#REF!</v>
      </c>
      <c r="CY4">
        <f>IF('Yamazumi Data'!94:94,"AAAAAF/f9GY=",0)</f>
        <v>0</v>
      </c>
      <c r="CZ4" t="e">
        <f>AND('Yamazumi Data'!C94,"AAAAAF/f9Gc=")</f>
        <v>#VALUE!</v>
      </c>
      <c r="DA4" t="e">
        <f>AND('Yamazumi Data'!D94,"AAAAAF/f9Gg=")</f>
        <v>#VALUE!</v>
      </c>
      <c r="DB4" t="e">
        <f>AND('Yamazumi Data'!F94,"AAAAAF/f9Gk=")</f>
        <v>#VALUE!</v>
      </c>
      <c r="DC4" t="e">
        <f>AND('Yamazumi Data'!G94,"AAAAAF/f9Go=")</f>
        <v>#VALUE!</v>
      </c>
      <c r="DD4" t="e">
        <f>AND('Yamazumi Data'!H94,"AAAAAF/f9Gs=")</f>
        <v>#VALUE!</v>
      </c>
      <c r="DE4" t="e">
        <f>AND('Yamazumi Data'!I94,"AAAAAF/f9Gw=")</f>
        <v>#VALUE!</v>
      </c>
      <c r="DF4" t="e">
        <f>AND('Yamazumi Data'!J94,"AAAAAF/f9G0=")</f>
        <v>#VALUE!</v>
      </c>
      <c r="DG4" t="e">
        <f>AND('Yamazumi Data'!K94,"AAAAAF/f9G4=")</f>
        <v>#VALUE!</v>
      </c>
      <c r="DH4" t="e">
        <f>AND('Yamazumi Data'!L94,"AAAAAF/f9G8=")</f>
        <v>#VALUE!</v>
      </c>
      <c r="DI4" t="e">
        <f>AND('Yamazumi Data'!M94,"AAAAAF/f9HA=")</f>
        <v>#VALUE!</v>
      </c>
      <c r="DJ4" t="e">
        <f>AND('Yamazumi Data'!N94,"AAAAAF/f9HE=")</f>
        <v>#VALUE!</v>
      </c>
      <c r="DK4" t="e">
        <f>AND('Yamazumi Data'!O94,"AAAAAF/f9HI=")</f>
        <v>#VALUE!</v>
      </c>
      <c r="DL4" t="e">
        <f>AND('Yamazumi Data'!P94,"AAAAAF/f9HM=")</f>
        <v>#VALUE!</v>
      </c>
      <c r="DM4" t="e">
        <f>AND('Yamazumi Data'!Q94,"AAAAAF/f9HQ=")</f>
        <v>#VALUE!</v>
      </c>
      <c r="DN4" t="e">
        <f>AND('Yamazumi Data'!#REF!,"AAAAAF/f9HU=")</f>
        <v>#REF!</v>
      </c>
      <c r="DO4" t="e">
        <f>AND('Yamazumi Data'!#REF!,"AAAAAF/f9HY=")</f>
        <v>#REF!</v>
      </c>
      <c r="DP4" t="e">
        <f>AND('Yamazumi Data'!#REF!,"AAAAAF/f9Hc=")</f>
        <v>#REF!</v>
      </c>
      <c r="DQ4">
        <f>IF('Yamazumi Data'!95:95,"AAAAAF/f9Hg=",0)</f>
        <v>0</v>
      </c>
      <c r="DR4" t="e">
        <f>AND('Yamazumi Data'!C95,"AAAAAF/f9Hk=")</f>
        <v>#VALUE!</v>
      </c>
      <c r="DS4" t="e">
        <f>AND('Yamazumi Data'!D95,"AAAAAF/f9Ho=")</f>
        <v>#VALUE!</v>
      </c>
      <c r="DT4" t="e">
        <f>AND('Yamazumi Data'!F95,"AAAAAF/f9Hs=")</f>
        <v>#VALUE!</v>
      </c>
      <c r="DU4" t="e">
        <f>AND('Yamazumi Data'!G95,"AAAAAF/f9Hw=")</f>
        <v>#VALUE!</v>
      </c>
      <c r="DV4" t="e">
        <f>AND('Yamazumi Data'!H95,"AAAAAF/f9H0=")</f>
        <v>#VALUE!</v>
      </c>
      <c r="DW4" t="e">
        <f>AND('Yamazumi Data'!I95,"AAAAAF/f9H4=")</f>
        <v>#VALUE!</v>
      </c>
      <c r="DX4" t="e">
        <f>AND('Yamazumi Data'!J95,"AAAAAF/f9H8=")</f>
        <v>#VALUE!</v>
      </c>
      <c r="DY4" t="e">
        <f>AND('Yamazumi Data'!K95,"AAAAAF/f9IA=")</f>
        <v>#VALUE!</v>
      </c>
      <c r="DZ4" t="e">
        <f>AND('Yamazumi Data'!L95,"AAAAAF/f9IE=")</f>
        <v>#VALUE!</v>
      </c>
      <c r="EA4" t="e">
        <f>AND('Yamazumi Data'!M95,"AAAAAF/f9II=")</f>
        <v>#VALUE!</v>
      </c>
      <c r="EB4" t="e">
        <f>AND('Yamazumi Data'!N95,"AAAAAF/f9IM=")</f>
        <v>#VALUE!</v>
      </c>
      <c r="EC4" t="e">
        <f>AND('Yamazumi Data'!O95,"AAAAAF/f9IQ=")</f>
        <v>#VALUE!</v>
      </c>
      <c r="ED4" t="e">
        <f>AND('Yamazumi Data'!P95,"AAAAAF/f9IU=")</f>
        <v>#VALUE!</v>
      </c>
      <c r="EE4" t="e">
        <f>AND('Yamazumi Data'!Q95,"AAAAAF/f9IY=")</f>
        <v>#VALUE!</v>
      </c>
      <c r="EF4" t="e">
        <f>AND('Yamazumi Data'!#REF!,"AAAAAF/f9Ic=")</f>
        <v>#REF!</v>
      </c>
      <c r="EG4" t="e">
        <f>AND('Yamazumi Data'!#REF!,"AAAAAF/f9Ig=")</f>
        <v>#REF!</v>
      </c>
      <c r="EH4" t="e">
        <f>AND('Yamazumi Data'!#REF!,"AAAAAF/f9Ik=")</f>
        <v>#REF!</v>
      </c>
      <c r="EI4">
        <f>IF('Yamazumi Data'!96:96,"AAAAAF/f9Io=",0)</f>
        <v>0</v>
      </c>
      <c r="EJ4" t="e">
        <f>AND('Yamazumi Data'!C96,"AAAAAF/f9Is=")</f>
        <v>#VALUE!</v>
      </c>
      <c r="EK4" t="e">
        <f>AND('Yamazumi Data'!D96,"AAAAAF/f9Iw=")</f>
        <v>#VALUE!</v>
      </c>
      <c r="EL4" t="e">
        <f>AND('Yamazumi Data'!F96,"AAAAAF/f9I0=")</f>
        <v>#VALUE!</v>
      </c>
      <c r="EM4" t="e">
        <f>AND('Yamazumi Data'!G96,"AAAAAF/f9I4=")</f>
        <v>#VALUE!</v>
      </c>
      <c r="EN4" t="e">
        <f>AND('Yamazumi Data'!H96,"AAAAAF/f9I8=")</f>
        <v>#VALUE!</v>
      </c>
      <c r="EO4" t="e">
        <f>AND('Yamazumi Data'!I96,"AAAAAF/f9JA=")</f>
        <v>#VALUE!</v>
      </c>
      <c r="EP4" t="e">
        <f>AND('Yamazumi Data'!J96,"AAAAAF/f9JE=")</f>
        <v>#VALUE!</v>
      </c>
      <c r="EQ4" t="e">
        <f>AND('Yamazumi Data'!K96,"AAAAAF/f9JI=")</f>
        <v>#VALUE!</v>
      </c>
      <c r="ER4" t="e">
        <f>AND('Yamazumi Data'!L96,"AAAAAF/f9JM=")</f>
        <v>#VALUE!</v>
      </c>
      <c r="ES4" t="e">
        <f>AND('Yamazumi Data'!M96,"AAAAAF/f9JQ=")</f>
        <v>#VALUE!</v>
      </c>
      <c r="ET4" t="e">
        <f>AND('Yamazumi Data'!N96,"AAAAAF/f9JU=")</f>
        <v>#VALUE!</v>
      </c>
      <c r="EU4" t="e">
        <f>AND('Yamazumi Data'!O96,"AAAAAF/f9JY=")</f>
        <v>#VALUE!</v>
      </c>
      <c r="EV4" t="e">
        <f>AND('Yamazumi Data'!P96,"AAAAAF/f9Jc=")</f>
        <v>#VALUE!</v>
      </c>
      <c r="EW4" t="e">
        <f>AND('Yamazumi Data'!Q96,"AAAAAF/f9Jg=")</f>
        <v>#VALUE!</v>
      </c>
      <c r="EX4" t="e">
        <f>AND('Yamazumi Data'!#REF!,"AAAAAF/f9Jk=")</f>
        <v>#REF!</v>
      </c>
      <c r="EY4" t="e">
        <f>AND('Yamazumi Data'!#REF!,"AAAAAF/f9Jo=")</f>
        <v>#REF!</v>
      </c>
      <c r="EZ4" t="e">
        <f>AND('Yamazumi Data'!#REF!,"AAAAAF/f9Js=")</f>
        <v>#REF!</v>
      </c>
      <c r="FA4">
        <f>IF('Yamazumi Data'!97:97,"AAAAAF/f9Jw=",0)</f>
        <v>0</v>
      </c>
      <c r="FB4" t="e">
        <f>AND('Yamazumi Data'!C97,"AAAAAF/f9J0=")</f>
        <v>#VALUE!</v>
      </c>
      <c r="FC4" t="e">
        <f>AND('Yamazumi Data'!D97,"AAAAAF/f9J4=")</f>
        <v>#VALUE!</v>
      </c>
      <c r="FD4" t="e">
        <f>AND('Yamazumi Data'!F97,"AAAAAF/f9J8=")</f>
        <v>#VALUE!</v>
      </c>
      <c r="FE4" t="e">
        <f>AND('Yamazumi Data'!G97,"AAAAAF/f9KA=")</f>
        <v>#VALUE!</v>
      </c>
      <c r="FF4" t="e">
        <f>AND('Yamazumi Data'!H97,"AAAAAF/f9KE=")</f>
        <v>#VALUE!</v>
      </c>
      <c r="FG4" t="e">
        <f>AND('Yamazumi Data'!I97,"AAAAAF/f9KI=")</f>
        <v>#VALUE!</v>
      </c>
      <c r="FH4" t="e">
        <f>AND('Yamazumi Data'!J97,"AAAAAF/f9KM=")</f>
        <v>#VALUE!</v>
      </c>
      <c r="FI4" t="e">
        <f>AND('Yamazumi Data'!K97,"AAAAAF/f9KQ=")</f>
        <v>#VALUE!</v>
      </c>
      <c r="FJ4" t="e">
        <f>AND('Yamazumi Data'!L97,"AAAAAF/f9KU=")</f>
        <v>#VALUE!</v>
      </c>
      <c r="FK4" t="e">
        <f>AND('Yamazumi Data'!M97,"AAAAAF/f9KY=")</f>
        <v>#VALUE!</v>
      </c>
      <c r="FL4" t="e">
        <f>AND('Yamazumi Data'!N97,"AAAAAF/f9Kc=")</f>
        <v>#VALUE!</v>
      </c>
      <c r="FM4" t="e">
        <f>AND('Yamazumi Data'!O97,"AAAAAF/f9Kg=")</f>
        <v>#VALUE!</v>
      </c>
      <c r="FN4" t="e">
        <f>AND('Yamazumi Data'!P97,"AAAAAF/f9Kk=")</f>
        <v>#VALUE!</v>
      </c>
      <c r="FO4" t="e">
        <f>AND('Yamazumi Data'!Q97,"AAAAAF/f9Ko=")</f>
        <v>#VALUE!</v>
      </c>
      <c r="FP4" t="e">
        <f>AND('Yamazumi Data'!#REF!,"AAAAAF/f9Ks=")</f>
        <v>#REF!</v>
      </c>
      <c r="FQ4" t="e">
        <f>AND('Yamazumi Data'!#REF!,"AAAAAF/f9Kw=")</f>
        <v>#REF!</v>
      </c>
      <c r="FR4" t="e">
        <f>AND('Yamazumi Data'!#REF!,"AAAAAF/f9K0=")</f>
        <v>#REF!</v>
      </c>
      <c r="FS4">
        <f>IF('Yamazumi Data'!98:98,"AAAAAF/f9K4=",0)</f>
        <v>0</v>
      </c>
      <c r="FT4" t="e">
        <f>AND('Yamazumi Data'!C98,"AAAAAF/f9K8=")</f>
        <v>#VALUE!</v>
      </c>
      <c r="FU4" t="e">
        <f>AND('Yamazumi Data'!D98,"AAAAAF/f9LA=")</f>
        <v>#VALUE!</v>
      </c>
      <c r="FV4" t="e">
        <f>AND('Yamazumi Data'!F98,"AAAAAF/f9LE=")</f>
        <v>#VALUE!</v>
      </c>
      <c r="FW4" t="e">
        <f>AND('Yamazumi Data'!G98,"AAAAAF/f9LI=")</f>
        <v>#VALUE!</v>
      </c>
      <c r="FX4" t="e">
        <f>AND('Yamazumi Data'!H98,"AAAAAF/f9LM=")</f>
        <v>#VALUE!</v>
      </c>
      <c r="FY4" t="e">
        <f>AND('Yamazumi Data'!I98,"AAAAAF/f9LQ=")</f>
        <v>#VALUE!</v>
      </c>
      <c r="FZ4" t="e">
        <f>AND('Yamazumi Data'!J98,"AAAAAF/f9LU=")</f>
        <v>#VALUE!</v>
      </c>
      <c r="GA4" t="e">
        <f>AND('Yamazumi Data'!K98,"AAAAAF/f9LY=")</f>
        <v>#VALUE!</v>
      </c>
      <c r="GB4" t="e">
        <f>AND('Yamazumi Data'!L98,"AAAAAF/f9Lc=")</f>
        <v>#VALUE!</v>
      </c>
      <c r="GC4" t="e">
        <f>AND('Yamazumi Data'!M98,"AAAAAF/f9Lg=")</f>
        <v>#VALUE!</v>
      </c>
      <c r="GD4" t="e">
        <f>AND('Yamazumi Data'!N98,"AAAAAF/f9Lk=")</f>
        <v>#VALUE!</v>
      </c>
      <c r="GE4" t="e">
        <f>AND('Yamazumi Data'!O98,"AAAAAF/f9Lo=")</f>
        <v>#VALUE!</v>
      </c>
      <c r="GF4" t="e">
        <f>AND('Yamazumi Data'!P98,"AAAAAF/f9Ls=")</f>
        <v>#VALUE!</v>
      </c>
      <c r="GG4" t="e">
        <f>AND('Yamazumi Data'!Q98,"AAAAAF/f9Lw=")</f>
        <v>#VALUE!</v>
      </c>
      <c r="GH4" t="e">
        <f>AND('Yamazumi Data'!#REF!,"AAAAAF/f9L0=")</f>
        <v>#REF!</v>
      </c>
      <c r="GI4" t="e">
        <f>AND('Yamazumi Data'!#REF!,"AAAAAF/f9L4=")</f>
        <v>#REF!</v>
      </c>
      <c r="GJ4" t="e">
        <f>AND('Yamazumi Data'!#REF!,"AAAAAF/f9L8=")</f>
        <v>#REF!</v>
      </c>
      <c r="GK4" t="e">
        <f>IF('Yamazumi Data'!#REF!,"AAAAAF/f9MA=",0)</f>
        <v>#REF!</v>
      </c>
      <c r="GL4" t="e">
        <f>AND('Yamazumi Data'!#REF!,"AAAAAF/f9ME=")</f>
        <v>#REF!</v>
      </c>
      <c r="GM4" t="e">
        <f>AND('Yamazumi Data'!#REF!,"AAAAAF/f9MI=")</f>
        <v>#REF!</v>
      </c>
      <c r="GN4" t="e">
        <f>AND('Yamazumi Data'!#REF!,"AAAAAF/f9MM=")</f>
        <v>#REF!</v>
      </c>
      <c r="GO4" t="e">
        <f>AND('Yamazumi Data'!#REF!,"AAAAAF/f9MQ=")</f>
        <v>#REF!</v>
      </c>
      <c r="GP4" t="e">
        <f>AND('Yamazumi Data'!#REF!,"AAAAAF/f9MU=")</f>
        <v>#REF!</v>
      </c>
      <c r="GQ4" t="e">
        <f>AND('Yamazumi Data'!#REF!,"AAAAAF/f9MY=")</f>
        <v>#REF!</v>
      </c>
      <c r="GR4" t="e">
        <f>AND('Yamazumi Data'!#REF!,"AAAAAF/f9Mc=")</f>
        <v>#REF!</v>
      </c>
      <c r="GS4" t="e">
        <f>AND('Yamazumi Data'!#REF!,"AAAAAF/f9Mg=")</f>
        <v>#REF!</v>
      </c>
      <c r="GT4" t="e">
        <f>AND('Yamazumi Data'!#REF!,"AAAAAF/f9Mk=")</f>
        <v>#REF!</v>
      </c>
      <c r="GU4" t="e">
        <f>AND('Yamazumi Data'!#REF!,"AAAAAF/f9Mo=")</f>
        <v>#REF!</v>
      </c>
      <c r="GV4" t="e">
        <f>AND('Yamazumi Data'!#REF!,"AAAAAF/f9Ms=")</f>
        <v>#REF!</v>
      </c>
      <c r="GW4" t="e">
        <f>AND('Yamazumi Data'!#REF!,"AAAAAF/f9Mw=")</f>
        <v>#REF!</v>
      </c>
      <c r="GX4" t="e">
        <f>AND('Yamazumi Data'!#REF!,"AAAAAF/f9M0=")</f>
        <v>#REF!</v>
      </c>
      <c r="GY4" t="e">
        <f>AND('Yamazumi Data'!#REF!,"AAAAAF/f9M4=")</f>
        <v>#REF!</v>
      </c>
      <c r="GZ4" t="e">
        <f>AND('Yamazumi Data'!#REF!,"AAAAAF/f9M8=")</f>
        <v>#REF!</v>
      </c>
      <c r="HA4" t="e">
        <f>AND('Yamazumi Data'!#REF!,"AAAAAF/f9NA=")</f>
        <v>#REF!</v>
      </c>
      <c r="HB4" t="e">
        <f>AND('Yamazumi Data'!#REF!,"AAAAAF/f9NE=")</f>
        <v>#REF!</v>
      </c>
      <c r="HC4" t="e">
        <f>IF('Yamazumi Data'!#REF!,"AAAAAF/f9NI=",0)</f>
        <v>#REF!</v>
      </c>
      <c r="HD4" t="e">
        <f>AND('Yamazumi Data'!#REF!,"AAAAAF/f9NM=")</f>
        <v>#REF!</v>
      </c>
      <c r="HE4" t="e">
        <f>AND('Yamazumi Data'!#REF!,"AAAAAF/f9NQ=")</f>
        <v>#REF!</v>
      </c>
      <c r="HF4" t="e">
        <f>AND('Yamazumi Data'!#REF!,"AAAAAF/f9NU=")</f>
        <v>#REF!</v>
      </c>
      <c r="HG4" t="e">
        <f>AND('Yamazumi Data'!#REF!,"AAAAAF/f9NY=")</f>
        <v>#REF!</v>
      </c>
      <c r="HH4" t="e">
        <f>AND('Yamazumi Data'!#REF!,"AAAAAF/f9Nc=")</f>
        <v>#REF!</v>
      </c>
      <c r="HI4" t="e">
        <f>AND('Yamazumi Data'!#REF!,"AAAAAF/f9Ng=")</f>
        <v>#REF!</v>
      </c>
      <c r="HJ4" t="e">
        <f>AND('Yamazumi Data'!#REF!,"AAAAAF/f9Nk=")</f>
        <v>#REF!</v>
      </c>
      <c r="HK4" t="e">
        <f>AND('Yamazumi Data'!#REF!,"AAAAAF/f9No=")</f>
        <v>#REF!</v>
      </c>
      <c r="HL4" t="e">
        <f>AND('Yamazumi Data'!#REF!,"AAAAAF/f9Ns=")</f>
        <v>#REF!</v>
      </c>
      <c r="HM4" t="e">
        <f>AND('Yamazumi Data'!#REF!,"AAAAAF/f9Nw=")</f>
        <v>#REF!</v>
      </c>
      <c r="HN4" t="e">
        <f>AND('Yamazumi Data'!#REF!,"AAAAAF/f9N0=")</f>
        <v>#REF!</v>
      </c>
      <c r="HO4" t="e">
        <f>AND('Yamazumi Data'!#REF!,"AAAAAF/f9N4=")</f>
        <v>#REF!</v>
      </c>
      <c r="HP4" t="e">
        <f>AND('Yamazumi Data'!#REF!,"AAAAAF/f9N8=")</f>
        <v>#REF!</v>
      </c>
      <c r="HQ4" t="e">
        <f>AND('Yamazumi Data'!#REF!,"AAAAAF/f9OA=")</f>
        <v>#REF!</v>
      </c>
      <c r="HR4" t="e">
        <f>AND('Yamazumi Data'!#REF!,"AAAAAF/f9OE=")</f>
        <v>#REF!</v>
      </c>
      <c r="HS4" t="e">
        <f>AND('Yamazumi Data'!#REF!,"AAAAAF/f9OI=")</f>
        <v>#REF!</v>
      </c>
      <c r="HT4" t="e">
        <f>AND('Yamazumi Data'!#REF!,"AAAAAF/f9OM=")</f>
        <v>#REF!</v>
      </c>
      <c r="HU4" t="e">
        <f>IF('Yamazumi Data'!#REF!,"AAAAAF/f9OQ=",0)</f>
        <v>#REF!</v>
      </c>
      <c r="HV4" t="e">
        <f>AND('Yamazumi Data'!#REF!,"AAAAAF/f9OU=")</f>
        <v>#REF!</v>
      </c>
      <c r="HW4" t="e">
        <f>AND('Yamazumi Data'!#REF!,"AAAAAF/f9OY=")</f>
        <v>#REF!</v>
      </c>
      <c r="HX4" t="e">
        <f>AND('Yamazumi Data'!#REF!,"AAAAAF/f9Oc=")</f>
        <v>#REF!</v>
      </c>
      <c r="HY4" t="e">
        <f>AND('Yamazumi Data'!#REF!,"AAAAAF/f9Og=")</f>
        <v>#REF!</v>
      </c>
      <c r="HZ4" t="e">
        <f>AND('Yamazumi Data'!#REF!,"AAAAAF/f9Ok=")</f>
        <v>#REF!</v>
      </c>
      <c r="IA4" t="e">
        <f>AND('Yamazumi Data'!#REF!,"AAAAAF/f9Oo=")</f>
        <v>#REF!</v>
      </c>
      <c r="IB4" t="e">
        <f>AND('Yamazumi Data'!#REF!,"AAAAAF/f9Os=")</f>
        <v>#REF!</v>
      </c>
      <c r="IC4" t="e">
        <f>AND('Yamazumi Data'!#REF!,"AAAAAF/f9Ow=")</f>
        <v>#REF!</v>
      </c>
      <c r="ID4" t="e">
        <f>AND('Yamazumi Data'!#REF!,"AAAAAF/f9O0=")</f>
        <v>#REF!</v>
      </c>
      <c r="IE4" t="e">
        <f>AND('Yamazumi Data'!#REF!,"AAAAAF/f9O4=")</f>
        <v>#REF!</v>
      </c>
      <c r="IF4" t="e">
        <f>AND('Yamazumi Data'!#REF!,"AAAAAF/f9O8=")</f>
        <v>#REF!</v>
      </c>
      <c r="IG4" t="e">
        <f>AND('Yamazumi Data'!#REF!,"AAAAAF/f9PA=")</f>
        <v>#REF!</v>
      </c>
      <c r="IH4" t="e">
        <f>AND('Yamazumi Data'!#REF!,"AAAAAF/f9PE=")</f>
        <v>#REF!</v>
      </c>
      <c r="II4" t="e">
        <f>AND('Yamazumi Data'!#REF!,"AAAAAF/f9PI=")</f>
        <v>#REF!</v>
      </c>
      <c r="IJ4" t="e">
        <f>AND('Yamazumi Data'!#REF!,"AAAAAF/f9PM=")</f>
        <v>#REF!</v>
      </c>
      <c r="IK4" t="e">
        <f>AND('Yamazumi Data'!#REF!,"AAAAAF/f9PQ=")</f>
        <v>#REF!</v>
      </c>
      <c r="IL4" t="e">
        <f>AND('Yamazumi Data'!#REF!,"AAAAAF/f9PU=")</f>
        <v>#REF!</v>
      </c>
      <c r="IM4" t="e">
        <f>IF('Yamazumi Data'!#REF!,"AAAAAF/f9PY=",0)</f>
        <v>#REF!</v>
      </c>
      <c r="IN4" t="e">
        <f>AND('Yamazumi Data'!#REF!,"AAAAAF/f9Pc=")</f>
        <v>#REF!</v>
      </c>
      <c r="IO4" t="e">
        <f>AND('Yamazumi Data'!#REF!,"AAAAAF/f9Pg=")</f>
        <v>#REF!</v>
      </c>
      <c r="IP4" t="e">
        <f>AND('Yamazumi Data'!#REF!,"AAAAAF/f9Pk=")</f>
        <v>#REF!</v>
      </c>
      <c r="IQ4" t="e">
        <f>AND('Yamazumi Data'!#REF!,"AAAAAF/f9Po=")</f>
        <v>#REF!</v>
      </c>
      <c r="IR4" t="e">
        <f>AND('Yamazumi Data'!#REF!,"AAAAAF/f9Ps=")</f>
        <v>#REF!</v>
      </c>
      <c r="IS4" t="e">
        <f>AND('Yamazumi Data'!#REF!,"AAAAAF/f9Pw=")</f>
        <v>#REF!</v>
      </c>
      <c r="IT4" t="e">
        <f>AND('Yamazumi Data'!#REF!,"AAAAAF/f9P0=")</f>
        <v>#REF!</v>
      </c>
      <c r="IU4" t="e">
        <f>AND('Yamazumi Data'!#REF!,"AAAAAF/f9P4=")</f>
        <v>#REF!</v>
      </c>
      <c r="IV4" t="e">
        <f>AND('Yamazumi Data'!#REF!,"AAAAAF/f9P8=")</f>
        <v>#REF!</v>
      </c>
    </row>
    <row r="5" spans="1:256" ht="14.45" x14ac:dyDescent="0.3">
      <c r="A5" t="e">
        <f>AND('Yamazumi Data'!#REF!,"AAAAAC/TrwA=")</f>
        <v>#REF!</v>
      </c>
      <c r="B5" t="e">
        <f>AND('Yamazumi Data'!#REF!,"AAAAAC/TrwE=")</f>
        <v>#REF!</v>
      </c>
      <c r="C5" t="e">
        <f>AND('Yamazumi Data'!#REF!,"AAAAAC/TrwI=")</f>
        <v>#REF!</v>
      </c>
      <c r="D5" t="e">
        <f>AND('Yamazumi Data'!#REF!,"AAAAAC/TrwM=")</f>
        <v>#REF!</v>
      </c>
      <c r="E5" t="e">
        <f>AND('Yamazumi Data'!#REF!,"AAAAAC/TrwQ=")</f>
        <v>#REF!</v>
      </c>
      <c r="F5" t="e">
        <f>AND('Yamazumi Data'!#REF!,"AAAAAC/TrwU=")</f>
        <v>#REF!</v>
      </c>
      <c r="G5" t="e">
        <f>AND('Yamazumi Data'!#REF!,"AAAAAC/TrwY=")</f>
        <v>#REF!</v>
      </c>
      <c r="H5" t="e">
        <f>AND('Yamazumi Data'!#REF!,"AAAAAC/Trwc=")</f>
        <v>#REF!</v>
      </c>
      <c r="I5" t="e">
        <f>IF('Yamazumi Data'!#REF!,"AAAAAC/Trwg=",0)</f>
        <v>#REF!</v>
      </c>
      <c r="J5" t="e">
        <f>AND('Yamazumi Data'!#REF!,"AAAAAC/Trwk=")</f>
        <v>#REF!</v>
      </c>
      <c r="K5" t="e">
        <f>AND('Yamazumi Data'!#REF!,"AAAAAC/Trwo=")</f>
        <v>#REF!</v>
      </c>
      <c r="L5" t="e">
        <f>AND('Yamazumi Data'!#REF!,"AAAAAC/Trws=")</f>
        <v>#REF!</v>
      </c>
      <c r="M5" t="e">
        <f>AND('Yamazumi Data'!#REF!,"AAAAAC/Trww=")</f>
        <v>#REF!</v>
      </c>
      <c r="N5" t="e">
        <f>AND('Yamazumi Data'!#REF!,"AAAAAC/Trw0=")</f>
        <v>#REF!</v>
      </c>
      <c r="O5" t="e">
        <f>AND('Yamazumi Data'!#REF!,"AAAAAC/Trw4=")</f>
        <v>#REF!</v>
      </c>
      <c r="P5" t="e">
        <f>AND('Yamazumi Data'!#REF!,"AAAAAC/Trw8=")</f>
        <v>#REF!</v>
      </c>
      <c r="Q5" t="e">
        <f>AND('Yamazumi Data'!#REF!,"AAAAAC/TrxA=")</f>
        <v>#REF!</v>
      </c>
      <c r="R5" t="e">
        <f>AND('Yamazumi Data'!#REF!,"AAAAAC/TrxE=")</f>
        <v>#REF!</v>
      </c>
      <c r="S5" t="e">
        <f>AND('Yamazumi Data'!#REF!,"AAAAAC/TrxI=")</f>
        <v>#REF!</v>
      </c>
      <c r="T5" t="e">
        <f>AND('Yamazumi Data'!#REF!,"AAAAAC/TrxM=")</f>
        <v>#REF!</v>
      </c>
      <c r="U5" t="e">
        <f>AND('Yamazumi Data'!#REF!,"AAAAAC/TrxQ=")</f>
        <v>#REF!</v>
      </c>
      <c r="V5" t="e">
        <f>AND('Yamazumi Data'!#REF!,"AAAAAC/TrxU=")</f>
        <v>#REF!</v>
      </c>
      <c r="W5" t="e">
        <f>AND('Yamazumi Data'!#REF!,"AAAAAC/TrxY=")</f>
        <v>#REF!</v>
      </c>
      <c r="X5" t="e">
        <f>AND('Yamazumi Data'!#REF!,"AAAAAC/Trxc=")</f>
        <v>#REF!</v>
      </c>
      <c r="Y5" t="e">
        <f>AND('Yamazumi Data'!#REF!,"AAAAAC/Trxg=")</f>
        <v>#REF!</v>
      </c>
      <c r="Z5" t="e">
        <f>AND('Yamazumi Data'!#REF!,"AAAAAC/Trxk=")</f>
        <v>#REF!</v>
      </c>
      <c r="AA5" t="e">
        <f>IF('Yamazumi Data'!#REF!,"AAAAAC/Trxo=",0)</f>
        <v>#REF!</v>
      </c>
      <c r="AB5" t="e">
        <f>AND('Yamazumi Data'!#REF!,"AAAAAC/Trxs=")</f>
        <v>#REF!</v>
      </c>
      <c r="AC5" t="e">
        <f>AND('Yamazumi Data'!#REF!,"AAAAAC/Trxw=")</f>
        <v>#REF!</v>
      </c>
      <c r="AD5" t="e">
        <f>AND('Yamazumi Data'!#REF!,"AAAAAC/Trx0=")</f>
        <v>#REF!</v>
      </c>
      <c r="AE5" t="e">
        <f>AND('Yamazumi Data'!#REF!,"AAAAAC/Trx4=")</f>
        <v>#REF!</v>
      </c>
      <c r="AF5" t="e">
        <f>AND('Yamazumi Data'!#REF!,"AAAAAC/Trx8=")</f>
        <v>#REF!</v>
      </c>
      <c r="AG5" t="e">
        <f>AND('Yamazumi Data'!#REF!,"AAAAAC/TryA=")</f>
        <v>#REF!</v>
      </c>
      <c r="AH5" t="e">
        <f>AND('Yamazumi Data'!#REF!,"AAAAAC/TryE=")</f>
        <v>#REF!</v>
      </c>
      <c r="AI5" t="e">
        <f>AND('Yamazumi Data'!#REF!,"AAAAAC/TryI=")</f>
        <v>#REF!</v>
      </c>
      <c r="AJ5" t="e">
        <f>AND('Yamazumi Data'!#REF!,"AAAAAC/TryM=")</f>
        <v>#REF!</v>
      </c>
      <c r="AK5" t="e">
        <f>AND('Yamazumi Data'!#REF!,"AAAAAC/TryQ=")</f>
        <v>#REF!</v>
      </c>
      <c r="AL5" t="e">
        <f>AND('Yamazumi Data'!#REF!,"AAAAAC/TryU=")</f>
        <v>#REF!</v>
      </c>
      <c r="AM5" t="e">
        <f>AND('Yamazumi Data'!#REF!,"AAAAAC/TryY=")</f>
        <v>#REF!</v>
      </c>
      <c r="AN5" t="e">
        <f>AND('Yamazumi Data'!#REF!,"AAAAAC/Tryc=")</f>
        <v>#REF!</v>
      </c>
      <c r="AO5" t="e">
        <f>AND('Yamazumi Data'!#REF!,"AAAAAC/Tryg=")</f>
        <v>#REF!</v>
      </c>
      <c r="AP5" t="e">
        <f>AND('Yamazumi Data'!#REF!,"AAAAAC/Tryk=")</f>
        <v>#REF!</v>
      </c>
      <c r="AQ5" t="e">
        <f>AND('Yamazumi Data'!#REF!,"AAAAAC/Tryo=")</f>
        <v>#REF!</v>
      </c>
      <c r="AR5" t="e">
        <f>AND('Yamazumi Data'!#REF!,"AAAAAC/Trys=")</f>
        <v>#REF!</v>
      </c>
      <c r="AS5" t="e">
        <f>IF('Yamazumi Data'!#REF!,"AAAAAC/Tryw=",0)</f>
        <v>#REF!</v>
      </c>
      <c r="AT5" t="e">
        <f>AND('Yamazumi Data'!#REF!,"AAAAAC/Try0=")</f>
        <v>#REF!</v>
      </c>
      <c r="AU5" t="e">
        <f>AND('Yamazumi Data'!#REF!,"AAAAAC/Try4=")</f>
        <v>#REF!</v>
      </c>
      <c r="AV5" t="e">
        <f>AND('Yamazumi Data'!#REF!,"AAAAAC/Try8=")</f>
        <v>#REF!</v>
      </c>
      <c r="AW5" t="e">
        <f>AND('Yamazumi Data'!#REF!,"AAAAAC/TrzA=")</f>
        <v>#REF!</v>
      </c>
      <c r="AX5" t="e">
        <f>AND('Yamazumi Data'!#REF!,"AAAAAC/TrzE=")</f>
        <v>#REF!</v>
      </c>
      <c r="AY5" t="e">
        <f>AND('Yamazumi Data'!#REF!,"AAAAAC/TrzI=")</f>
        <v>#REF!</v>
      </c>
      <c r="AZ5" t="e">
        <f>AND('Yamazumi Data'!#REF!,"AAAAAC/TrzM=")</f>
        <v>#REF!</v>
      </c>
      <c r="BA5" t="e">
        <f>AND('Yamazumi Data'!#REF!,"AAAAAC/TrzQ=")</f>
        <v>#REF!</v>
      </c>
      <c r="BB5" t="e">
        <f>AND('Yamazumi Data'!#REF!,"AAAAAC/TrzU=")</f>
        <v>#REF!</v>
      </c>
      <c r="BC5" t="e">
        <f>AND('Yamazumi Data'!#REF!,"AAAAAC/TrzY=")</f>
        <v>#REF!</v>
      </c>
      <c r="BD5" t="e">
        <f>AND('Yamazumi Data'!#REF!,"AAAAAC/Trzc=")</f>
        <v>#REF!</v>
      </c>
      <c r="BE5" t="e">
        <f>AND('Yamazumi Data'!#REF!,"AAAAAC/Trzg=")</f>
        <v>#REF!</v>
      </c>
      <c r="BF5" t="e">
        <f>AND('Yamazumi Data'!#REF!,"AAAAAC/Trzk=")</f>
        <v>#REF!</v>
      </c>
      <c r="BG5" t="e">
        <f>AND('Yamazumi Data'!#REF!,"AAAAAC/Trzo=")</f>
        <v>#REF!</v>
      </c>
      <c r="BH5" t="e">
        <f>AND('Yamazumi Data'!#REF!,"AAAAAC/Trzs=")</f>
        <v>#REF!</v>
      </c>
      <c r="BI5" t="e">
        <f>AND('Yamazumi Data'!#REF!,"AAAAAC/Trzw=")</f>
        <v>#REF!</v>
      </c>
      <c r="BJ5" t="e">
        <f>AND('Yamazumi Data'!#REF!,"AAAAAC/Trz0=")</f>
        <v>#REF!</v>
      </c>
      <c r="BK5" t="e">
        <f>IF('Yamazumi Data'!#REF!,"AAAAAC/Trz4=",0)</f>
        <v>#REF!</v>
      </c>
      <c r="BL5" t="e">
        <f>AND('Yamazumi Data'!#REF!,"AAAAAC/Trz8=")</f>
        <v>#REF!</v>
      </c>
      <c r="BM5" t="e">
        <f>AND('Yamazumi Data'!#REF!,"AAAAAC/Tr0A=")</f>
        <v>#REF!</v>
      </c>
      <c r="BN5" t="e">
        <f>AND('Yamazumi Data'!#REF!,"AAAAAC/Tr0E=")</f>
        <v>#REF!</v>
      </c>
      <c r="BO5" t="e">
        <f>AND('Yamazumi Data'!#REF!,"AAAAAC/Tr0I=")</f>
        <v>#REF!</v>
      </c>
      <c r="BP5" t="e">
        <f>AND('Yamazumi Data'!#REF!,"AAAAAC/Tr0M=")</f>
        <v>#REF!</v>
      </c>
      <c r="BQ5" t="e">
        <f>AND('Yamazumi Data'!#REF!,"AAAAAC/Tr0Q=")</f>
        <v>#REF!</v>
      </c>
      <c r="BR5" t="e">
        <f>AND('Yamazumi Data'!#REF!,"AAAAAC/Tr0U=")</f>
        <v>#REF!</v>
      </c>
      <c r="BS5" t="e">
        <f>AND('Yamazumi Data'!#REF!,"AAAAAC/Tr0Y=")</f>
        <v>#REF!</v>
      </c>
      <c r="BT5" t="e">
        <f>AND('Yamazumi Data'!#REF!,"AAAAAC/Tr0c=")</f>
        <v>#REF!</v>
      </c>
      <c r="BU5" t="e">
        <f>AND('Yamazumi Data'!#REF!,"AAAAAC/Tr0g=")</f>
        <v>#REF!</v>
      </c>
      <c r="BV5" t="e">
        <f>AND('Yamazumi Data'!#REF!,"AAAAAC/Tr0k=")</f>
        <v>#REF!</v>
      </c>
      <c r="BW5" t="e">
        <f>AND('Yamazumi Data'!#REF!,"AAAAAC/Tr0o=")</f>
        <v>#REF!</v>
      </c>
      <c r="BX5" t="e">
        <f>AND('Yamazumi Data'!#REF!,"AAAAAC/Tr0s=")</f>
        <v>#REF!</v>
      </c>
      <c r="BY5" t="e">
        <f>AND('Yamazumi Data'!#REF!,"AAAAAC/Tr0w=")</f>
        <v>#REF!</v>
      </c>
      <c r="BZ5" t="e">
        <f>AND('Yamazumi Data'!#REF!,"AAAAAC/Tr00=")</f>
        <v>#REF!</v>
      </c>
      <c r="CA5" t="e">
        <f>AND('Yamazumi Data'!#REF!,"AAAAAC/Tr04=")</f>
        <v>#REF!</v>
      </c>
      <c r="CB5" t="e">
        <f>AND('Yamazumi Data'!#REF!,"AAAAAC/Tr08=")</f>
        <v>#REF!</v>
      </c>
      <c r="CC5" t="e">
        <f>IF('Yamazumi Data'!#REF!,"AAAAAC/Tr1A=",0)</f>
        <v>#REF!</v>
      </c>
      <c r="CD5" t="e">
        <f>AND('Yamazumi Data'!#REF!,"AAAAAC/Tr1E=")</f>
        <v>#REF!</v>
      </c>
      <c r="CE5" t="e">
        <f>AND('Yamazumi Data'!#REF!,"AAAAAC/Tr1I=")</f>
        <v>#REF!</v>
      </c>
      <c r="CF5" t="e">
        <f>AND('Yamazumi Data'!#REF!,"AAAAAC/Tr1M=")</f>
        <v>#REF!</v>
      </c>
      <c r="CG5" t="e">
        <f>AND('Yamazumi Data'!#REF!,"AAAAAC/Tr1Q=")</f>
        <v>#REF!</v>
      </c>
      <c r="CH5" t="e">
        <f>AND('Yamazumi Data'!#REF!,"AAAAAC/Tr1U=")</f>
        <v>#REF!</v>
      </c>
      <c r="CI5" t="e">
        <f>AND('Yamazumi Data'!#REF!,"AAAAAC/Tr1Y=")</f>
        <v>#REF!</v>
      </c>
      <c r="CJ5" t="e">
        <f>AND('Yamazumi Data'!#REF!,"AAAAAC/Tr1c=")</f>
        <v>#REF!</v>
      </c>
      <c r="CK5" t="e">
        <f>AND('Yamazumi Data'!#REF!,"AAAAAC/Tr1g=")</f>
        <v>#REF!</v>
      </c>
      <c r="CL5" t="e">
        <f>AND('Yamazumi Data'!#REF!,"AAAAAC/Tr1k=")</f>
        <v>#REF!</v>
      </c>
      <c r="CM5" t="e">
        <f>AND('Yamazumi Data'!#REF!,"AAAAAC/Tr1o=")</f>
        <v>#REF!</v>
      </c>
      <c r="CN5" t="e">
        <f>AND('Yamazumi Data'!#REF!,"AAAAAC/Tr1s=")</f>
        <v>#REF!</v>
      </c>
      <c r="CO5" t="e">
        <f>AND('Yamazumi Data'!#REF!,"AAAAAC/Tr1w=")</f>
        <v>#REF!</v>
      </c>
      <c r="CP5" t="e">
        <f>AND('Yamazumi Data'!#REF!,"AAAAAC/Tr10=")</f>
        <v>#REF!</v>
      </c>
      <c r="CQ5" t="e">
        <f>AND('Yamazumi Data'!#REF!,"AAAAAC/Tr14=")</f>
        <v>#REF!</v>
      </c>
      <c r="CR5" t="e">
        <f>AND('Yamazumi Data'!#REF!,"AAAAAC/Tr18=")</f>
        <v>#REF!</v>
      </c>
      <c r="CS5" t="e">
        <f>AND('Yamazumi Data'!#REF!,"AAAAAC/Tr2A=")</f>
        <v>#REF!</v>
      </c>
      <c r="CT5" t="e">
        <f>AND('Yamazumi Data'!#REF!,"AAAAAC/Tr2E=")</f>
        <v>#REF!</v>
      </c>
      <c r="CU5" t="e">
        <f>IF('Yamazumi Data'!#REF!,"AAAAAC/Tr2I=",0)</f>
        <v>#REF!</v>
      </c>
      <c r="CV5" t="e">
        <f>AND('Yamazumi Data'!#REF!,"AAAAAC/Tr2M=")</f>
        <v>#REF!</v>
      </c>
      <c r="CW5" t="e">
        <f>AND('Yamazumi Data'!#REF!,"AAAAAC/Tr2Q=")</f>
        <v>#REF!</v>
      </c>
      <c r="CX5" t="e">
        <f>AND('Yamazumi Data'!#REF!,"AAAAAC/Tr2U=")</f>
        <v>#REF!</v>
      </c>
      <c r="CY5" t="e">
        <f>AND('Yamazumi Data'!#REF!,"AAAAAC/Tr2Y=")</f>
        <v>#REF!</v>
      </c>
      <c r="CZ5" t="e">
        <f>AND('Yamazumi Data'!#REF!,"AAAAAC/Tr2c=")</f>
        <v>#REF!</v>
      </c>
      <c r="DA5" t="e">
        <f>AND('Yamazumi Data'!#REF!,"AAAAAC/Tr2g=")</f>
        <v>#REF!</v>
      </c>
      <c r="DB5" t="e">
        <f>AND('Yamazumi Data'!#REF!,"AAAAAC/Tr2k=")</f>
        <v>#REF!</v>
      </c>
      <c r="DC5" t="e">
        <f>AND('Yamazumi Data'!#REF!,"AAAAAC/Tr2o=")</f>
        <v>#REF!</v>
      </c>
      <c r="DD5" t="e">
        <f>AND('Yamazumi Data'!#REF!,"AAAAAC/Tr2s=")</f>
        <v>#REF!</v>
      </c>
      <c r="DE5" t="e">
        <f>AND('Yamazumi Data'!#REF!,"AAAAAC/Tr2w=")</f>
        <v>#REF!</v>
      </c>
      <c r="DF5" t="e">
        <f>AND('Yamazumi Data'!#REF!,"AAAAAC/Tr20=")</f>
        <v>#REF!</v>
      </c>
      <c r="DG5" t="e">
        <f>AND('Yamazumi Data'!#REF!,"AAAAAC/Tr24=")</f>
        <v>#REF!</v>
      </c>
      <c r="DH5" t="e">
        <f>AND('Yamazumi Data'!#REF!,"AAAAAC/Tr28=")</f>
        <v>#REF!</v>
      </c>
      <c r="DI5" t="e">
        <f>AND('Yamazumi Data'!#REF!,"AAAAAC/Tr3A=")</f>
        <v>#REF!</v>
      </c>
      <c r="DJ5" t="e">
        <f>AND('Yamazumi Data'!#REF!,"AAAAAC/Tr3E=")</f>
        <v>#REF!</v>
      </c>
      <c r="DK5" t="e">
        <f>AND('Yamazumi Data'!#REF!,"AAAAAC/Tr3I=")</f>
        <v>#REF!</v>
      </c>
      <c r="DL5" t="e">
        <f>AND('Yamazumi Data'!#REF!,"AAAAAC/Tr3M=")</f>
        <v>#REF!</v>
      </c>
      <c r="DM5" t="e">
        <f>IF('Yamazumi Data'!#REF!,"AAAAAC/Tr3Q=",0)</f>
        <v>#REF!</v>
      </c>
      <c r="DN5" t="e">
        <f>AND('Yamazumi Data'!#REF!,"AAAAAC/Tr3U=")</f>
        <v>#REF!</v>
      </c>
      <c r="DO5" t="e">
        <f>AND('Yamazumi Data'!#REF!,"AAAAAC/Tr3Y=")</f>
        <v>#REF!</v>
      </c>
      <c r="DP5" t="e">
        <f>AND('Yamazumi Data'!#REF!,"AAAAAC/Tr3c=")</f>
        <v>#REF!</v>
      </c>
      <c r="DQ5" t="e">
        <f>AND('Yamazumi Data'!#REF!,"AAAAAC/Tr3g=")</f>
        <v>#REF!</v>
      </c>
      <c r="DR5" t="e">
        <f>AND('Yamazumi Data'!#REF!,"AAAAAC/Tr3k=")</f>
        <v>#REF!</v>
      </c>
      <c r="DS5" t="e">
        <f>AND('Yamazumi Data'!#REF!,"AAAAAC/Tr3o=")</f>
        <v>#REF!</v>
      </c>
      <c r="DT5" t="e">
        <f>AND('Yamazumi Data'!#REF!,"AAAAAC/Tr3s=")</f>
        <v>#REF!</v>
      </c>
      <c r="DU5" t="e">
        <f>AND('Yamazumi Data'!#REF!,"AAAAAC/Tr3w=")</f>
        <v>#REF!</v>
      </c>
      <c r="DV5" t="e">
        <f>AND('Yamazumi Data'!#REF!,"AAAAAC/Tr30=")</f>
        <v>#REF!</v>
      </c>
      <c r="DW5" t="e">
        <f>AND('Yamazumi Data'!#REF!,"AAAAAC/Tr34=")</f>
        <v>#REF!</v>
      </c>
      <c r="DX5" t="e">
        <f>AND('Yamazumi Data'!#REF!,"AAAAAC/Tr38=")</f>
        <v>#REF!</v>
      </c>
      <c r="DY5" t="e">
        <f>AND('Yamazumi Data'!#REF!,"AAAAAC/Tr4A=")</f>
        <v>#REF!</v>
      </c>
      <c r="DZ5" t="e">
        <f>AND('Yamazumi Data'!#REF!,"AAAAAC/Tr4E=")</f>
        <v>#REF!</v>
      </c>
      <c r="EA5" t="e">
        <f>AND('Yamazumi Data'!#REF!,"AAAAAC/Tr4I=")</f>
        <v>#REF!</v>
      </c>
      <c r="EB5" t="e">
        <f>AND('Yamazumi Data'!#REF!,"AAAAAC/Tr4M=")</f>
        <v>#REF!</v>
      </c>
      <c r="EC5" t="e">
        <f>AND('Yamazumi Data'!#REF!,"AAAAAC/Tr4Q=")</f>
        <v>#REF!</v>
      </c>
      <c r="ED5" t="e">
        <f>AND('Yamazumi Data'!#REF!,"AAAAAC/Tr4U=")</f>
        <v>#REF!</v>
      </c>
      <c r="EE5" t="e">
        <f>IF('Yamazumi Data'!#REF!,"AAAAAC/Tr4Y=",0)</f>
        <v>#REF!</v>
      </c>
      <c r="EF5" t="e">
        <f>AND('Yamazumi Data'!#REF!,"AAAAAC/Tr4c=")</f>
        <v>#REF!</v>
      </c>
      <c r="EG5" t="e">
        <f>AND('Yamazumi Data'!#REF!,"AAAAAC/Tr4g=")</f>
        <v>#REF!</v>
      </c>
      <c r="EH5" t="e">
        <f>AND('Yamazumi Data'!#REF!,"AAAAAC/Tr4k=")</f>
        <v>#REF!</v>
      </c>
      <c r="EI5" t="e">
        <f>AND('Yamazumi Data'!#REF!,"AAAAAC/Tr4o=")</f>
        <v>#REF!</v>
      </c>
      <c r="EJ5" t="e">
        <f>AND('Yamazumi Data'!#REF!,"AAAAAC/Tr4s=")</f>
        <v>#REF!</v>
      </c>
      <c r="EK5" t="e">
        <f>AND('Yamazumi Data'!#REF!,"AAAAAC/Tr4w=")</f>
        <v>#REF!</v>
      </c>
      <c r="EL5" t="e">
        <f>AND('Yamazumi Data'!#REF!,"AAAAAC/Tr40=")</f>
        <v>#REF!</v>
      </c>
      <c r="EM5" t="e">
        <f>AND('Yamazumi Data'!#REF!,"AAAAAC/Tr44=")</f>
        <v>#REF!</v>
      </c>
      <c r="EN5" t="e">
        <f>AND('Yamazumi Data'!#REF!,"AAAAAC/Tr48=")</f>
        <v>#REF!</v>
      </c>
      <c r="EO5" t="e">
        <f>AND('Yamazumi Data'!#REF!,"AAAAAC/Tr5A=")</f>
        <v>#REF!</v>
      </c>
      <c r="EP5" t="e">
        <f>AND('Yamazumi Data'!#REF!,"AAAAAC/Tr5E=")</f>
        <v>#REF!</v>
      </c>
      <c r="EQ5" t="e">
        <f>AND('Yamazumi Data'!#REF!,"AAAAAC/Tr5I=")</f>
        <v>#REF!</v>
      </c>
      <c r="ER5" t="e">
        <f>AND('Yamazumi Data'!#REF!,"AAAAAC/Tr5M=")</f>
        <v>#REF!</v>
      </c>
      <c r="ES5" t="e">
        <f>AND('Yamazumi Data'!#REF!,"AAAAAC/Tr5Q=")</f>
        <v>#REF!</v>
      </c>
      <c r="ET5" t="e">
        <f>AND('Yamazumi Data'!#REF!,"AAAAAC/Tr5U=")</f>
        <v>#REF!</v>
      </c>
      <c r="EU5" t="e">
        <f>AND('Yamazumi Data'!#REF!,"AAAAAC/Tr5Y=")</f>
        <v>#REF!</v>
      </c>
      <c r="EV5" t="e">
        <f>AND('Yamazumi Data'!#REF!,"AAAAAC/Tr5c=")</f>
        <v>#REF!</v>
      </c>
      <c r="EW5" t="e">
        <f>IF('Yamazumi Data'!#REF!,"AAAAAC/Tr5g=",0)</f>
        <v>#REF!</v>
      </c>
      <c r="EX5" t="e">
        <f>AND('Yamazumi Data'!#REF!,"AAAAAC/Tr5k=")</f>
        <v>#REF!</v>
      </c>
      <c r="EY5" t="e">
        <f>AND('Yamazumi Data'!#REF!,"AAAAAC/Tr5o=")</f>
        <v>#REF!</v>
      </c>
      <c r="EZ5" t="e">
        <f>AND('Yamazumi Data'!#REF!,"AAAAAC/Tr5s=")</f>
        <v>#REF!</v>
      </c>
      <c r="FA5" t="e">
        <f>AND('Yamazumi Data'!#REF!,"AAAAAC/Tr5w=")</f>
        <v>#REF!</v>
      </c>
      <c r="FB5" t="e">
        <f>AND('Yamazumi Data'!#REF!,"AAAAAC/Tr50=")</f>
        <v>#REF!</v>
      </c>
      <c r="FC5" t="e">
        <f>AND('Yamazumi Data'!#REF!,"AAAAAC/Tr54=")</f>
        <v>#REF!</v>
      </c>
      <c r="FD5" t="e">
        <f>AND('Yamazumi Data'!#REF!,"AAAAAC/Tr58=")</f>
        <v>#REF!</v>
      </c>
      <c r="FE5" t="e">
        <f>AND('Yamazumi Data'!#REF!,"AAAAAC/Tr6A=")</f>
        <v>#REF!</v>
      </c>
      <c r="FF5" t="e">
        <f>AND('Yamazumi Data'!#REF!,"AAAAAC/Tr6E=")</f>
        <v>#REF!</v>
      </c>
      <c r="FG5" t="e">
        <f>AND('Yamazumi Data'!#REF!,"AAAAAC/Tr6I=")</f>
        <v>#REF!</v>
      </c>
      <c r="FH5" t="e">
        <f>AND('Yamazumi Data'!#REF!,"AAAAAC/Tr6M=")</f>
        <v>#REF!</v>
      </c>
      <c r="FI5" t="e">
        <f>AND('Yamazumi Data'!#REF!,"AAAAAC/Tr6Q=")</f>
        <v>#REF!</v>
      </c>
      <c r="FJ5" t="e">
        <f>AND('Yamazumi Data'!#REF!,"AAAAAC/Tr6U=")</f>
        <v>#REF!</v>
      </c>
      <c r="FK5" t="e">
        <f>AND('Yamazumi Data'!#REF!,"AAAAAC/Tr6Y=")</f>
        <v>#REF!</v>
      </c>
      <c r="FL5" t="e">
        <f>AND('Yamazumi Data'!#REF!,"AAAAAC/Tr6c=")</f>
        <v>#REF!</v>
      </c>
      <c r="FM5" t="e">
        <f>AND('Yamazumi Data'!#REF!,"AAAAAC/Tr6g=")</f>
        <v>#REF!</v>
      </c>
      <c r="FN5" t="e">
        <f>AND('Yamazumi Data'!#REF!,"AAAAAC/Tr6k=")</f>
        <v>#REF!</v>
      </c>
      <c r="FO5" t="e">
        <f>IF('Yamazumi Data'!#REF!,"AAAAAC/Tr6o=",0)</f>
        <v>#REF!</v>
      </c>
      <c r="FP5" t="e">
        <f>AND('Yamazumi Data'!#REF!,"AAAAAC/Tr6s=")</f>
        <v>#REF!</v>
      </c>
      <c r="FQ5" t="e">
        <f>AND('Yamazumi Data'!#REF!,"AAAAAC/Tr6w=")</f>
        <v>#REF!</v>
      </c>
      <c r="FR5" t="e">
        <f>AND('Yamazumi Data'!#REF!,"AAAAAC/Tr60=")</f>
        <v>#REF!</v>
      </c>
      <c r="FS5" t="e">
        <f>AND('Yamazumi Data'!#REF!,"AAAAAC/Tr64=")</f>
        <v>#REF!</v>
      </c>
      <c r="FT5" t="e">
        <f>AND('Yamazumi Data'!#REF!,"AAAAAC/Tr68=")</f>
        <v>#REF!</v>
      </c>
      <c r="FU5" t="e">
        <f>AND('Yamazumi Data'!#REF!,"AAAAAC/Tr7A=")</f>
        <v>#REF!</v>
      </c>
      <c r="FV5" t="e">
        <f>AND('Yamazumi Data'!#REF!,"AAAAAC/Tr7E=")</f>
        <v>#REF!</v>
      </c>
      <c r="FW5" t="e">
        <f>AND('Yamazumi Data'!#REF!,"AAAAAC/Tr7I=")</f>
        <v>#REF!</v>
      </c>
      <c r="FX5" t="e">
        <f>AND('Yamazumi Data'!#REF!,"AAAAAC/Tr7M=")</f>
        <v>#REF!</v>
      </c>
      <c r="FY5" t="e">
        <f>AND('Yamazumi Data'!#REF!,"AAAAAC/Tr7Q=")</f>
        <v>#REF!</v>
      </c>
      <c r="FZ5" t="e">
        <f>AND('Yamazumi Data'!#REF!,"AAAAAC/Tr7U=")</f>
        <v>#REF!</v>
      </c>
      <c r="GA5" t="e">
        <f>AND('Yamazumi Data'!#REF!,"AAAAAC/Tr7Y=")</f>
        <v>#REF!</v>
      </c>
      <c r="GB5" t="e">
        <f>AND('Yamazumi Data'!#REF!,"AAAAAC/Tr7c=")</f>
        <v>#REF!</v>
      </c>
      <c r="GC5" t="e">
        <f>AND('Yamazumi Data'!#REF!,"AAAAAC/Tr7g=")</f>
        <v>#REF!</v>
      </c>
      <c r="GD5" t="e">
        <f>AND('Yamazumi Data'!#REF!,"AAAAAC/Tr7k=")</f>
        <v>#REF!</v>
      </c>
      <c r="GE5" t="e">
        <f>AND('Yamazumi Data'!#REF!,"AAAAAC/Tr7o=")</f>
        <v>#REF!</v>
      </c>
      <c r="GF5" t="e">
        <f>AND('Yamazumi Data'!#REF!,"AAAAAC/Tr7s=")</f>
        <v>#REF!</v>
      </c>
      <c r="GG5" t="e">
        <f>IF('Yamazumi Data'!#REF!,"AAAAAC/Tr7w=",0)</f>
        <v>#REF!</v>
      </c>
      <c r="GH5" t="e">
        <f>AND('Yamazumi Data'!#REF!,"AAAAAC/Tr70=")</f>
        <v>#REF!</v>
      </c>
      <c r="GI5" t="e">
        <f>AND('Yamazumi Data'!#REF!,"AAAAAC/Tr74=")</f>
        <v>#REF!</v>
      </c>
      <c r="GJ5" t="e">
        <f>AND('Yamazumi Data'!#REF!,"AAAAAC/Tr78=")</f>
        <v>#REF!</v>
      </c>
      <c r="GK5" t="e">
        <f>AND('Yamazumi Data'!#REF!,"AAAAAC/Tr8A=")</f>
        <v>#REF!</v>
      </c>
      <c r="GL5" t="e">
        <f>AND('Yamazumi Data'!#REF!,"AAAAAC/Tr8E=")</f>
        <v>#REF!</v>
      </c>
      <c r="GM5" t="e">
        <f>AND('Yamazumi Data'!#REF!,"AAAAAC/Tr8I=")</f>
        <v>#REF!</v>
      </c>
      <c r="GN5" t="e">
        <f>AND('Yamazumi Data'!#REF!,"AAAAAC/Tr8M=")</f>
        <v>#REF!</v>
      </c>
      <c r="GO5" t="e">
        <f>AND('Yamazumi Data'!#REF!,"AAAAAC/Tr8Q=")</f>
        <v>#REF!</v>
      </c>
      <c r="GP5" t="e">
        <f>AND('Yamazumi Data'!#REF!,"AAAAAC/Tr8U=")</f>
        <v>#REF!</v>
      </c>
      <c r="GQ5" t="e">
        <f>AND('Yamazumi Data'!#REF!,"AAAAAC/Tr8Y=")</f>
        <v>#REF!</v>
      </c>
      <c r="GR5" t="e">
        <f>AND('Yamazumi Data'!#REF!,"AAAAAC/Tr8c=")</f>
        <v>#REF!</v>
      </c>
      <c r="GS5" t="e">
        <f>AND('Yamazumi Data'!#REF!,"AAAAAC/Tr8g=")</f>
        <v>#REF!</v>
      </c>
      <c r="GT5" t="e">
        <f>AND('Yamazumi Data'!#REF!,"AAAAAC/Tr8k=")</f>
        <v>#REF!</v>
      </c>
      <c r="GU5" t="e">
        <f>AND('Yamazumi Data'!#REF!,"AAAAAC/Tr8o=")</f>
        <v>#REF!</v>
      </c>
      <c r="GV5" t="e">
        <f>AND('Yamazumi Data'!#REF!,"AAAAAC/Tr8s=")</f>
        <v>#REF!</v>
      </c>
      <c r="GW5" t="e">
        <f>AND('Yamazumi Data'!#REF!,"AAAAAC/Tr8w=")</f>
        <v>#REF!</v>
      </c>
      <c r="GX5" t="e">
        <f>AND('Yamazumi Data'!#REF!,"AAAAAC/Tr80=")</f>
        <v>#REF!</v>
      </c>
      <c r="GY5" t="e">
        <f>IF('Yamazumi Data'!#REF!,"AAAAAC/Tr84=",0)</f>
        <v>#REF!</v>
      </c>
      <c r="GZ5" t="e">
        <f>AND('Yamazumi Data'!#REF!,"AAAAAC/Tr88=")</f>
        <v>#REF!</v>
      </c>
      <c r="HA5" t="e">
        <f>AND('Yamazumi Data'!#REF!,"AAAAAC/Tr9A=")</f>
        <v>#REF!</v>
      </c>
      <c r="HB5" t="e">
        <f>AND('Yamazumi Data'!#REF!,"AAAAAC/Tr9E=")</f>
        <v>#REF!</v>
      </c>
      <c r="HC5" t="e">
        <f>AND('Yamazumi Data'!#REF!,"AAAAAC/Tr9I=")</f>
        <v>#REF!</v>
      </c>
      <c r="HD5" t="e">
        <f>AND('Yamazumi Data'!#REF!,"AAAAAC/Tr9M=")</f>
        <v>#REF!</v>
      </c>
      <c r="HE5" t="e">
        <f>AND('Yamazumi Data'!#REF!,"AAAAAC/Tr9Q=")</f>
        <v>#REF!</v>
      </c>
      <c r="HF5" t="e">
        <f>AND('Yamazumi Data'!#REF!,"AAAAAC/Tr9U=")</f>
        <v>#REF!</v>
      </c>
      <c r="HG5" t="e">
        <f>AND('Yamazumi Data'!#REF!,"AAAAAC/Tr9Y=")</f>
        <v>#REF!</v>
      </c>
      <c r="HH5" t="e">
        <f>AND('Yamazumi Data'!#REF!,"AAAAAC/Tr9c=")</f>
        <v>#REF!</v>
      </c>
      <c r="HI5" t="e">
        <f>AND('Yamazumi Data'!#REF!,"AAAAAC/Tr9g=")</f>
        <v>#REF!</v>
      </c>
      <c r="HJ5" t="e">
        <f>AND('Yamazumi Data'!#REF!,"AAAAAC/Tr9k=")</f>
        <v>#REF!</v>
      </c>
      <c r="HK5" t="e">
        <f>AND('Yamazumi Data'!#REF!,"AAAAAC/Tr9o=")</f>
        <v>#REF!</v>
      </c>
      <c r="HL5" t="e">
        <f>AND('Yamazumi Data'!#REF!,"AAAAAC/Tr9s=")</f>
        <v>#REF!</v>
      </c>
      <c r="HM5" t="e">
        <f>AND('Yamazumi Data'!#REF!,"AAAAAC/Tr9w=")</f>
        <v>#REF!</v>
      </c>
      <c r="HN5" t="e">
        <f>AND('Yamazumi Data'!#REF!,"AAAAAC/Tr90=")</f>
        <v>#REF!</v>
      </c>
      <c r="HO5" t="e">
        <f>AND('Yamazumi Data'!#REF!,"AAAAAC/Tr94=")</f>
        <v>#REF!</v>
      </c>
      <c r="HP5" t="e">
        <f>AND('Yamazumi Data'!#REF!,"AAAAAC/Tr98=")</f>
        <v>#REF!</v>
      </c>
      <c r="HQ5" t="e">
        <f>IF('Yamazumi Data'!#REF!,"AAAAAC/Tr+A=",0)</f>
        <v>#REF!</v>
      </c>
      <c r="HR5" t="e">
        <f>AND('Yamazumi Data'!#REF!,"AAAAAC/Tr+E=")</f>
        <v>#REF!</v>
      </c>
      <c r="HS5" t="e">
        <f>AND('Yamazumi Data'!#REF!,"AAAAAC/Tr+I=")</f>
        <v>#REF!</v>
      </c>
      <c r="HT5" t="e">
        <f>AND('Yamazumi Data'!#REF!,"AAAAAC/Tr+M=")</f>
        <v>#REF!</v>
      </c>
      <c r="HU5" t="e">
        <f>AND('Yamazumi Data'!#REF!,"AAAAAC/Tr+Q=")</f>
        <v>#REF!</v>
      </c>
      <c r="HV5" t="e">
        <f>AND('Yamazumi Data'!#REF!,"AAAAAC/Tr+U=")</f>
        <v>#REF!</v>
      </c>
      <c r="HW5" t="e">
        <f>AND('Yamazumi Data'!#REF!,"AAAAAC/Tr+Y=")</f>
        <v>#REF!</v>
      </c>
      <c r="HX5" t="e">
        <f>AND('Yamazumi Data'!#REF!,"AAAAAC/Tr+c=")</f>
        <v>#REF!</v>
      </c>
      <c r="HY5" t="e">
        <f>AND('Yamazumi Data'!#REF!,"AAAAAC/Tr+g=")</f>
        <v>#REF!</v>
      </c>
      <c r="HZ5" t="e">
        <f>AND('Yamazumi Data'!#REF!,"AAAAAC/Tr+k=")</f>
        <v>#REF!</v>
      </c>
      <c r="IA5" t="e">
        <f>AND('Yamazumi Data'!#REF!,"AAAAAC/Tr+o=")</f>
        <v>#REF!</v>
      </c>
      <c r="IB5" t="e">
        <f>AND('Yamazumi Data'!#REF!,"AAAAAC/Tr+s=")</f>
        <v>#REF!</v>
      </c>
      <c r="IC5" t="e">
        <f>AND('Yamazumi Data'!#REF!,"AAAAAC/Tr+w=")</f>
        <v>#REF!</v>
      </c>
      <c r="ID5" t="e">
        <f>AND('Yamazumi Data'!#REF!,"AAAAAC/Tr+0=")</f>
        <v>#REF!</v>
      </c>
      <c r="IE5" t="e">
        <f>AND('Yamazumi Data'!#REF!,"AAAAAC/Tr+4=")</f>
        <v>#REF!</v>
      </c>
      <c r="IF5" t="e">
        <f>AND('Yamazumi Data'!#REF!,"AAAAAC/Tr+8=")</f>
        <v>#REF!</v>
      </c>
      <c r="IG5" t="e">
        <f>AND('Yamazumi Data'!#REF!,"AAAAAC/Tr/A=")</f>
        <v>#REF!</v>
      </c>
      <c r="IH5" t="e">
        <f>AND('Yamazumi Data'!#REF!,"AAAAAC/Tr/E=")</f>
        <v>#REF!</v>
      </c>
      <c r="II5" t="e">
        <f>IF('Yamazumi Data'!#REF!,"AAAAAC/Tr/I=",0)</f>
        <v>#REF!</v>
      </c>
      <c r="IJ5" t="e">
        <f>AND('Yamazumi Data'!#REF!,"AAAAAC/Tr/M=")</f>
        <v>#REF!</v>
      </c>
      <c r="IK5" t="e">
        <f>AND('Yamazumi Data'!#REF!,"AAAAAC/Tr/Q=")</f>
        <v>#REF!</v>
      </c>
      <c r="IL5" t="e">
        <f>AND('Yamazumi Data'!#REF!,"AAAAAC/Tr/U=")</f>
        <v>#REF!</v>
      </c>
      <c r="IM5" t="e">
        <f>AND('Yamazumi Data'!#REF!,"AAAAAC/Tr/Y=")</f>
        <v>#REF!</v>
      </c>
      <c r="IN5" t="e">
        <f>AND('Yamazumi Data'!#REF!,"AAAAAC/Tr/c=")</f>
        <v>#REF!</v>
      </c>
      <c r="IO5" t="e">
        <f>AND('Yamazumi Data'!#REF!,"AAAAAC/Tr/g=")</f>
        <v>#REF!</v>
      </c>
      <c r="IP5" t="e">
        <f>AND('Yamazumi Data'!#REF!,"AAAAAC/Tr/k=")</f>
        <v>#REF!</v>
      </c>
      <c r="IQ5" t="e">
        <f>AND('Yamazumi Data'!#REF!,"AAAAAC/Tr/o=")</f>
        <v>#REF!</v>
      </c>
      <c r="IR5" t="e">
        <f>AND('Yamazumi Data'!#REF!,"AAAAAC/Tr/s=")</f>
        <v>#REF!</v>
      </c>
      <c r="IS5" t="e">
        <f>AND('Yamazumi Data'!#REF!,"AAAAAC/Tr/w=")</f>
        <v>#REF!</v>
      </c>
      <c r="IT5" t="e">
        <f>AND('Yamazumi Data'!#REF!,"AAAAAC/Tr/0=")</f>
        <v>#REF!</v>
      </c>
      <c r="IU5" t="e">
        <f>AND('Yamazumi Data'!#REF!,"AAAAAC/Tr/4=")</f>
        <v>#REF!</v>
      </c>
      <c r="IV5" t="e">
        <f>AND('Yamazumi Data'!#REF!,"AAAAAC/Tr/8=")</f>
        <v>#REF!</v>
      </c>
    </row>
    <row r="6" spans="1:256" ht="14.45" x14ac:dyDescent="0.3">
      <c r="A6" t="e">
        <f>AND('Yamazumi Data'!#REF!,"AAAAADn9twA=")</f>
        <v>#REF!</v>
      </c>
      <c r="B6" t="e">
        <f>AND('Yamazumi Data'!#REF!,"AAAAADn9twE=")</f>
        <v>#REF!</v>
      </c>
      <c r="C6" t="e">
        <f>AND('Yamazumi Data'!#REF!,"AAAAADn9twI=")</f>
        <v>#REF!</v>
      </c>
      <c r="D6" t="e">
        <f>AND('Yamazumi Data'!#REF!,"AAAAADn9twM=")</f>
        <v>#REF!</v>
      </c>
      <c r="E6" t="e">
        <f>IF('Yamazumi Data'!#REF!,"AAAAADn9twQ=",0)</f>
        <v>#REF!</v>
      </c>
      <c r="F6" t="e">
        <f>AND('Yamazumi Data'!#REF!,"AAAAADn9twU=")</f>
        <v>#REF!</v>
      </c>
      <c r="G6" t="e">
        <f>AND('Yamazumi Data'!#REF!,"AAAAADn9twY=")</f>
        <v>#REF!</v>
      </c>
      <c r="H6" t="e">
        <f>AND('Yamazumi Data'!#REF!,"AAAAADn9twc=")</f>
        <v>#REF!</v>
      </c>
      <c r="I6" t="e">
        <f>AND('Yamazumi Data'!#REF!,"AAAAADn9twg=")</f>
        <v>#REF!</v>
      </c>
      <c r="J6" t="e">
        <f>AND('Yamazumi Data'!#REF!,"AAAAADn9twk=")</f>
        <v>#REF!</v>
      </c>
      <c r="K6" t="e">
        <f>AND('Yamazumi Data'!#REF!,"AAAAADn9two=")</f>
        <v>#REF!</v>
      </c>
      <c r="L6" t="e">
        <f>AND('Yamazumi Data'!#REF!,"AAAAADn9tws=")</f>
        <v>#REF!</v>
      </c>
      <c r="M6" t="e">
        <f>AND('Yamazumi Data'!#REF!,"AAAAADn9tww=")</f>
        <v>#REF!</v>
      </c>
      <c r="N6" t="e">
        <f>AND('Yamazumi Data'!#REF!,"AAAAADn9tw0=")</f>
        <v>#REF!</v>
      </c>
      <c r="O6" t="e">
        <f>AND('Yamazumi Data'!#REF!,"AAAAADn9tw4=")</f>
        <v>#REF!</v>
      </c>
      <c r="P6" t="e">
        <f>AND('Yamazumi Data'!#REF!,"AAAAADn9tw8=")</f>
        <v>#REF!</v>
      </c>
      <c r="Q6" t="e">
        <f>AND('Yamazumi Data'!#REF!,"AAAAADn9txA=")</f>
        <v>#REF!</v>
      </c>
      <c r="R6" t="e">
        <f>AND('Yamazumi Data'!#REF!,"AAAAADn9txE=")</f>
        <v>#REF!</v>
      </c>
      <c r="S6" t="e">
        <f>AND('Yamazumi Data'!#REF!,"AAAAADn9txI=")</f>
        <v>#REF!</v>
      </c>
      <c r="T6" t="e">
        <f>AND('Yamazumi Data'!#REF!,"AAAAADn9txM=")</f>
        <v>#REF!</v>
      </c>
      <c r="U6" t="e">
        <f>AND('Yamazumi Data'!#REF!,"AAAAADn9txQ=")</f>
        <v>#REF!</v>
      </c>
      <c r="V6" t="e">
        <f>AND('Yamazumi Data'!#REF!,"AAAAADn9txU=")</f>
        <v>#REF!</v>
      </c>
      <c r="W6" t="e">
        <f>IF('Yamazumi Data'!#REF!,"AAAAADn9txY=",0)</f>
        <v>#REF!</v>
      </c>
      <c r="X6" t="e">
        <f>AND('Yamazumi Data'!#REF!,"AAAAADn9txc=")</f>
        <v>#REF!</v>
      </c>
      <c r="Y6" t="e">
        <f>AND('Yamazumi Data'!#REF!,"AAAAADn9txg=")</f>
        <v>#REF!</v>
      </c>
      <c r="Z6" t="e">
        <f>AND('Yamazumi Data'!#REF!,"AAAAADn9txk=")</f>
        <v>#REF!</v>
      </c>
      <c r="AA6" t="e">
        <f>AND('Yamazumi Data'!#REF!,"AAAAADn9txo=")</f>
        <v>#REF!</v>
      </c>
      <c r="AB6" t="e">
        <f>AND('Yamazumi Data'!#REF!,"AAAAADn9txs=")</f>
        <v>#REF!</v>
      </c>
      <c r="AC6" t="e">
        <f>AND('Yamazumi Data'!#REF!,"AAAAADn9txw=")</f>
        <v>#REF!</v>
      </c>
      <c r="AD6" t="e">
        <f>AND('Yamazumi Data'!#REF!,"AAAAADn9tx0=")</f>
        <v>#REF!</v>
      </c>
      <c r="AE6" t="e">
        <f>AND('Yamazumi Data'!#REF!,"AAAAADn9tx4=")</f>
        <v>#REF!</v>
      </c>
      <c r="AF6" t="e">
        <f>AND('Yamazumi Data'!#REF!,"AAAAADn9tx8=")</f>
        <v>#REF!</v>
      </c>
      <c r="AG6" t="e">
        <f>AND('Yamazumi Data'!#REF!,"AAAAADn9tyA=")</f>
        <v>#REF!</v>
      </c>
      <c r="AH6" t="e">
        <f>AND('Yamazumi Data'!#REF!,"AAAAADn9tyE=")</f>
        <v>#REF!</v>
      </c>
      <c r="AI6" t="e">
        <f>AND('Yamazumi Data'!#REF!,"AAAAADn9tyI=")</f>
        <v>#REF!</v>
      </c>
      <c r="AJ6" t="e">
        <f>AND('Yamazumi Data'!#REF!,"AAAAADn9tyM=")</f>
        <v>#REF!</v>
      </c>
      <c r="AK6" t="e">
        <f>AND('Yamazumi Data'!#REF!,"AAAAADn9tyQ=")</f>
        <v>#REF!</v>
      </c>
      <c r="AL6" t="e">
        <f>AND('Yamazumi Data'!#REF!,"AAAAADn9tyU=")</f>
        <v>#REF!</v>
      </c>
      <c r="AM6" t="e">
        <f>AND('Yamazumi Data'!#REF!,"AAAAADn9tyY=")</f>
        <v>#REF!</v>
      </c>
      <c r="AN6" t="e">
        <f>AND('Yamazumi Data'!#REF!,"AAAAADn9tyc=")</f>
        <v>#REF!</v>
      </c>
      <c r="AO6" t="e">
        <f>IF('Yamazumi Data'!#REF!,"AAAAADn9tyg=",0)</f>
        <v>#REF!</v>
      </c>
      <c r="AP6" t="e">
        <f>AND('Yamazumi Data'!#REF!,"AAAAADn9tyk=")</f>
        <v>#REF!</v>
      </c>
      <c r="AQ6" t="e">
        <f>AND('Yamazumi Data'!#REF!,"AAAAADn9tyo=")</f>
        <v>#REF!</v>
      </c>
      <c r="AR6" t="e">
        <f>AND('Yamazumi Data'!#REF!,"AAAAADn9tys=")</f>
        <v>#REF!</v>
      </c>
      <c r="AS6" t="e">
        <f>AND('Yamazumi Data'!#REF!,"AAAAADn9tyw=")</f>
        <v>#REF!</v>
      </c>
      <c r="AT6" t="e">
        <f>AND('Yamazumi Data'!#REF!,"AAAAADn9ty0=")</f>
        <v>#REF!</v>
      </c>
      <c r="AU6" t="e">
        <f>AND('Yamazumi Data'!#REF!,"AAAAADn9ty4=")</f>
        <v>#REF!</v>
      </c>
      <c r="AV6" t="e">
        <f>AND('Yamazumi Data'!#REF!,"AAAAADn9ty8=")</f>
        <v>#REF!</v>
      </c>
      <c r="AW6" t="e">
        <f>AND('Yamazumi Data'!#REF!,"AAAAADn9tzA=")</f>
        <v>#REF!</v>
      </c>
      <c r="AX6" t="e">
        <f>AND('Yamazumi Data'!#REF!,"AAAAADn9tzE=")</f>
        <v>#REF!</v>
      </c>
      <c r="AY6" t="e">
        <f>AND('Yamazumi Data'!#REF!,"AAAAADn9tzI=")</f>
        <v>#REF!</v>
      </c>
      <c r="AZ6" t="e">
        <f>AND('Yamazumi Data'!#REF!,"AAAAADn9tzM=")</f>
        <v>#REF!</v>
      </c>
      <c r="BA6" t="e">
        <f>AND('Yamazumi Data'!#REF!,"AAAAADn9tzQ=")</f>
        <v>#REF!</v>
      </c>
      <c r="BB6" t="e">
        <f>AND('Yamazumi Data'!#REF!,"AAAAADn9tzU=")</f>
        <v>#REF!</v>
      </c>
      <c r="BC6" t="e">
        <f>AND('Yamazumi Data'!#REF!,"AAAAADn9tzY=")</f>
        <v>#REF!</v>
      </c>
      <c r="BD6" t="e">
        <f>AND('Yamazumi Data'!#REF!,"AAAAADn9tzc=")</f>
        <v>#REF!</v>
      </c>
      <c r="BE6" t="e">
        <f>AND('Yamazumi Data'!#REF!,"AAAAADn9tzg=")</f>
        <v>#REF!</v>
      </c>
      <c r="BF6" t="e">
        <f>AND('Yamazumi Data'!#REF!,"AAAAADn9tzk=")</f>
        <v>#REF!</v>
      </c>
      <c r="BG6" t="e">
        <f>IF('Yamazumi Data'!#REF!,"AAAAADn9tzo=",0)</f>
        <v>#REF!</v>
      </c>
      <c r="BH6" t="e">
        <f>AND('Yamazumi Data'!#REF!,"AAAAADn9tzs=")</f>
        <v>#REF!</v>
      </c>
      <c r="BI6" t="e">
        <f>AND('Yamazumi Data'!#REF!,"AAAAADn9tzw=")</f>
        <v>#REF!</v>
      </c>
      <c r="BJ6" t="e">
        <f>AND('Yamazumi Data'!#REF!,"AAAAADn9tz0=")</f>
        <v>#REF!</v>
      </c>
      <c r="BK6" t="e">
        <f>AND('Yamazumi Data'!#REF!,"AAAAADn9tz4=")</f>
        <v>#REF!</v>
      </c>
      <c r="BL6" t="e">
        <f>AND('Yamazumi Data'!#REF!,"AAAAADn9tz8=")</f>
        <v>#REF!</v>
      </c>
      <c r="BM6" t="e">
        <f>AND('Yamazumi Data'!#REF!,"AAAAADn9t0A=")</f>
        <v>#REF!</v>
      </c>
      <c r="BN6" t="e">
        <f>AND('Yamazumi Data'!#REF!,"AAAAADn9t0E=")</f>
        <v>#REF!</v>
      </c>
      <c r="BO6" t="e">
        <f>AND('Yamazumi Data'!#REF!,"AAAAADn9t0I=")</f>
        <v>#REF!</v>
      </c>
      <c r="BP6" t="e">
        <f>AND('Yamazumi Data'!#REF!,"AAAAADn9t0M=")</f>
        <v>#REF!</v>
      </c>
      <c r="BQ6" t="e">
        <f>AND('Yamazumi Data'!#REF!,"AAAAADn9t0Q=")</f>
        <v>#REF!</v>
      </c>
      <c r="BR6" t="e">
        <f>AND('Yamazumi Data'!#REF!,"AAAAADn9t0U=")</f>
        <v>#REF!</v>
      </c>
      <c r="BS6" t="e">
        <f>AND('Yamazumi Data'!#REF!,"AAAAADn9t0Y=")</f>
        <v>#REF!</v>
      </c>
      <c r="BT6" t="e">
        <f>AND('Yamazumi Data'!#REF!,"AAAAADn9t0c=")</f>
        <v>#REF!</v>
      </c>
      <c r="BU6" t="e">
        <f>AND('Yamazumi Data'!#REF!,"AAAAADn9t0g=")</f>
        <v>#REF!</v>
      </c>
      <c r="BV6" t="e">
        <f>AND('Yamazumi Data'!#REF!,"AAAAADn9t0k=")</f>
        <v>#REF!</v>
      </c>
      <c r="BW6" t="e">
        <f>AND('Yamazumi Data'!#REF!,"AAAAADn9t0o=")</f>
        <v>#REF!</v>
      </c>
      <c r="BX6" t="e">
        <f>AND('Yamazumi Data'!#REF!,"AAAAADn9t0s=")</f>
        <v>#REF!</v>
      </c>
      <c r="BY6" t="e">
        <f>IF('Yamazumi Data'!#REF!,"AAAAADn9t0w=",0)</f>
        <v>#REF!</v>
      </c>
      <c r="BZ6" t="e">
        <f>AND('Yamazumi Data'!#REF!,"AAAAADn9t00=")</f>
        <v>#REF!</v>
      </c>
      <c r="CA6" t="e">
        <f>AND('Yamazumi Data'!#REF!,"AAAAADn9t04=")</f>
        <v>#REF!</v>
      </c>
      <c r="CB6" t="e">
        <f>AND('Yamazumi Data'!#REF!,"AAAAADn9t08=")</f>
        <v>#REF!</v>
      </c>
      <c r="CC6" t="e">
        <f>AND('Yamazumi Data'!#REF!,"AAAAADn9t1A=")</f>
        <v>#REF!</v>
      </c>
      <c r="CD6" t="e">
        <f>AND('Yamazumi Data'!#REF!,"AAAAADn9t1E=")</f>
        <v>#REF!</v>
      </c>
      <c r="CE6" t="e">
        <f>AND('Yamazumi Data'!#REF!,"AAAAADn9t1I=")</f>
        <v>#REF!</v>
      </c>
      <c r="CF6" t="e">
        <f>AND('Yamazumi Data'!#REF!,"AAAAADn9t1M=")</f>
        <v>#REF!</v>
      </c>
      <c r="CG6" t="e">
        <f>AND('Yamazumi Data'!#REF!,"AAAAADn9t1Q=")</f>
        <v>#REF!</v>
      </c>
      <c r="CH6" t="e">
        <f>AND('Yamazumi Data'!#REF!,"AAAAADn9t1U=")</f>
        <v>#REF!</v>
      </c>
      <c r="CI6" t="e">
        <f>AND('Yamazumi Data'!#REF!,"AAAAADn9t1Y=")</f>
        <v>#REF!</v>
      </c>
      <c r="CJ6" t="e">
        <f>AND('Yamazumi Data'!#REF!,"AAAAADn9t1c=")</f>
        <v>#REF!</v>
      </c>
      <c r="CK6" t="e">
        <f>AND('Yamazumi Data'!#REF!,"AAAAADn9t1g=")</f>
        <v>#REF!</v>
      </c>
      <c r="CL6" t="e">
        <f>AND('Yamazumi Data'!#REF!,"AAAAADn9t1k=")</f>
        <v>#REF!</v>
      </c>
      <c r="CM6" t="e">
        <f>AND('Yamazumi Data'!#REF!,"AAAAADn9t1o=")</f>
        <v>#REF!</v>
      </c>
      <c r="CN6" t="e">
        <f>AND('Yamazumi Data'!#REF!,"AAAAADn9t1s=")</f>
        <v>#REF!</v>
      </c>
      <c r="CO6" t="e">
        <f>AND('Yamazumi Data'!#REF!,"AAAAADn9t1w=")</f>
        <v>#REF!</v>
      </c>
      <c r="CP6" t="e">
        <f>AND('Yamazumi Data'!#REF!,"AAAAADn9t10=")</f>
        <v>#REF!</v>
      </c>
      <c r="CQ6" t="e">
        <f>IF('Yamazumi Data'!#REF!,"AAAAADn9t14=",0)</f>
        <v>#REF!</v>
      </c>
      <c r="CR6" t="e">
        <f>AND('Yamazumi Data'!#REF!,"AAAAADn9t18=")</f>
        <v>#REF!</v>
      </c>
      <c r="CS6" t="e">
        <f>AND('Yamazumi Data'!#REF!,"AAAAADn9t2A=")</f>
        <v>#REF!</v>
      </c>
      <c r="CT6" t="e">
        <f>AND('Yamazumi Data'!#REF!,"AAAAADn9t2E=")</f>
        <v>#REF!</v>
      </c>
      <c r="CU6" t="e">
        <f>AND('Yamazumi Data'!#REF!,"AAAAADn9t2I=")</f>
        <v>#REF!</v>
      </c>
      <c r="CV6" t="e">
        <f>AND('Yamazumi Data'!#REF!,"AAAAADn9t2M=")</f>
        <v>#REF!</v>
      </c>
      <c r="CW6" t="e">
        <f>AND('Yamazumi Data'!#REF!,"AAAAADn9t2Q=")</f>
        <v>#REF!</v>
      </c>
      <c r="CX6" t="e">
        <f>AND('Yamazumi Data'!#REF!,"AAAAADn9t2U=")</f>
        <v>#REF!</v>
      </c>
      <c r="CY6" t="e">
        <f>AND('Yamazumi Data'!#REF!,"AAAAADn9t2Y=")</f>
        <v>#REF!</v>
      </c>
      <c r="CZ6" t="e">
        <f>AND('Yamazumi Data'!#REF!,"AAAAADn9t2c=")</f>
        <v>#REF!</v>
      </c>
      <c r="DA6" t="e">
        <f>AND('Yamazumi Data'!#REF!,"AAAAADn9t2g=")</f>
        <v>#REF!</v>
      </c>
      <c r="DB6" t="e">
        <f>AND('Yamazumi Data'!#REF!,"AAAAADn9t2k=")</f>
        <v>#REF!</v>
      </c>
      <c r="DC6" t="e">
        <f>AND('Yamazumi Data'!#REF!,"AAAAADn9t2o=")</f>
        <v>#REF!</v>
      </c>
      <c r="DD6" t="e">
        <f>AND('Yamazumi Data'!#REF!,"AAAAADn9t2s=")</f>
        <v>#REF!</v>
      </c>
      <c r="DE6" t="e">
        <f>AND('Yamazumi Data'!#REF!,"AAAAADn9t2w=")</f>
        <v>#REF!</v>
      </c>
      <c r="DF6" t="e">
        <f>AND('Yamazumi Data'!#REF!,"AAAAADn9t20=")</f>
        <v>#REF!</v>
      </c>
      <c r="DG6" t="e">
        <f>AND('Yamazumi Data'!#REF!,"AAAAADn9t24=")</f>
        <v>#REF!</v>
      </c>
      <c r="DH6" t="e">
        <f>AND('Yamazumi Data'!#REF!,"AAAAADn9t28=")</f>
        <v>#REF!</v>
      </c>
      <c r="DI6" t="e">
        <f>IF('Yamazumi Data'!#REF!,"AAAAADn9t3A=",0)</f>
        <v>#REF!</v>
      </c>
      <c r="DJ6" t="e">
        <f>AND('Yamazumi Data'!#REF!,"AAAAADn9t3E=")</f>
        <v>#REF!</v>
      </c>
      <c r="DK6" t="e">
        <f>AND('Yamazumi Data'!#REF!,"AAAAADn9t3I=")</f>
        <v>#REF!</v>
      </c>
      <c r="DL6" t="e">
        <f>AND('Yamazumi Data'!#REF!,"AAAAADn9t3M=")</f>
        <v>#REF!</v>
      </c>
      <c r="DM6" t="e">
        <f>AND('Yamazumi Data'!#REF!,"AAAAADn9t3Q=")</f>
        <v>#REF!</v>
      </c>
      <c r="DN6" t="e">
        <f>AND('Yamazumi Data'!#REF!,"AAAAADn9t3U=")</f>
        <v>#REF!</v>
      </c>
      <c r="DO6" t="e">
        <f>AND('Yamazumi Data'!#REF!,"AAAAADn9t3Y=")</f>
        <v>#REF!</v>
      </c>
      <c r="DP6" t="e">
        <f>AND('Yamazumi Data'!#REF!,"AAAAADn9t3c=")</f>
        <v>#REF!</v>
      </c>
      <c r="DQ6" t="e">
        <f>AND('Yamazumi Data'!#REF!,"AAAAADn9t3g=")</f>
        <v>#REF!</v>
      </c>
      <c r="DR6" t="e">
        <f>AND('Yamazumi Data'!#REF!,"AAAAADn9t3k=")</f>
        <v>#REF!</v>
      </c>
      <c r="DS6" t="e">
        <f>AND('Yamazumi Data'!#REF!,"AAAAADn9t3o=")</f>
        <v>#REF!</v>
      </c>
      <c r="DT6" t="e">
        <f>AND('Yamazumi Data'!#REF!,"AAAAADn9t3s=")</f>
        <v>#REF!</v>
      </c>
      <c r="DU6" t="e">
        <f>AND('Yamazumi Data'!#REF!,"AAAAADn9t3w=")</f>
        <v>#REF!</v>
      </c>
      <c r="DV6" t="e">
        <f>AND('Yamazumi Data'!#REF!,"AAAAADn9t30=")</f>
        <v>#REF!</v>
      </c>
      <c r="DW6" t="e">
        <f>AND('Yamazumi Data'!#REF!,"AAAAADn9t34=")</f>
        <v>#REF!</v>
      </c>
      <c r="DX6" t="e">
        <f>AND('Yamazumi Data'!#REF!,"AAAAADn9t38=")</f>
        <v>#REF!</v>
      </c>
      <c r="DY6" t="e">
        <f>AND('Yamazumi Data'!#REF!,"AAAAADn9t4A=")</f>
        <v>#REF!</v>
      </c>
      <c r="DZ6" t="e">
        <f>AND('Yamazumi Data'!#REF!,"AAAAADn9t4E=")</f>
        <v>#REF!</v>
      </c>
      <c r="EA6" t="e">
        <f>IF('Yamazumi Data'!#REF!,"AAAAADn9t4I=",0)</f>
        <v>#REF!</v>
      </c>
      <c r="EB6" t="e">
        <f>AND('Yamazumi Data'!#REF!,"AAAAADn9t4M=")</f>
        <v>#REF!</v>
      </c>
      <c r="EC6" t="e">
        <f>AND('Yamazumi Data'!#REF!,"AAAAADn9t4Q=")</f>
        <v>#REF!</v>
      </c>
      <c r="ED6" t="e">
        <f>AND('Yamazumi Data'!#REF!,"AAAAADn9t4U=")</f>
        <v>#REF!</v>
      </c>
      <c r="EE6" t="e">
        <f>AND('Yamazumi Data'!#REF!,"AAAAADn9t4Y=")</f>
        <v>#REF!</v>
      </c>
      <c r="EF6" t="e">
        <f>AND('Yamazumi Data'!#REF!,"AAAAADn9t4c=")</f>
        <v>#REF!</v>
      </c>
      <c r="EG6" t="e">
        <f>AND('Yamazumi Data'!#REF!,"AAAAADn9t4g=")</f>
        <v>#REF!</v>
      </c>
      <c r="EH6" t="e">
        <f>AND('Yamazumi Data'!#REF!,"AAAAADn9t4k=")</f>
        <v>#REF!</v>
      </c>
      <c r="EI6" t="e">
        <f>AND('Yamazumi Data'!#REF!,"AAAAADn9t4o=")</f>
        <v>#REF!</v>
      </c>
      <c r="EJ6" t="e">
        <f>AND('Yamazumi Data'!#REF!,"AAAAADn9t4s=")</f>
        <v>#REF!</v>
      </c>
      <c r="EK6" t="e">
        <f>AND('Yamazumi Data'!#REF!,"AAAAADn9t4w=")</f>
        <v>#REF!</v>
      </c>
      <c r="EL6" t="e">
        <f>AND('Yamazumi Data'!#REF!,"AAAAADn9t40=")</f>
        <v>#REF!</v>
      </c>
      <c r="EM6" t="e">
        <f>AND('Yamazumi Data'!#REF!,"AAAAADn9t44=")</f>
        <v>#REF!</v>
      </c>
      <c r="EN6" t="e">
        <f>AND('Yamazumi Data'!#REF!,"AAAAADn9t48=")</f>
        <v>#REF!</v>
      </c>
      <c r="EO6" t="e">
        <f>AND('Yamazumi Data'!#REF!,"AAAAADn9t5A=")</f>
        <v>#REF!</v>
      </c>
      <c r="EP6" t="e">
        <f>AND('Yamazumi Data'!#REF!,"AAAAADn9t5E=")</f>
        <v>#REF!</v>
      </c>
      <c r="EQ6" t="e">
        <f>AND('Yamazumi Data'!#REF!,"AAAAADn9t5I=")</f>
        <v>#REF!</v>
      </c>
      <c r="ER6" t="e">
        <f>AND('Yamazumi Data'!#REF!,"AAAAADn9t5M=")</f>
        <v>#REF!</v>
      </c>
      <c r="ES6" t="e">
        <f>IF('Yamazumi Data'!#REF!,"AAAAADn9t5Q=",0)</f>
        <v>#REF!</v>
      </c>
      <c r="ET6" t="e">
        <f>AND('Yamazumi Data'!#REF!,"AAAAADn9t5U=")</f>
        <v>#REF!</v>
      </c>
      <c r="EU6" t="e">
        <f>AND('Yamazumi Data'!#REF!,"AAAAADn9t5Y=")</f>
        <v>#REF!</v>
      </c>
      <c r="EV6" t="e">
        <f>AND('Yamazumi Data'!#REF!,"AAAAADn9t5c=")</f>
        <v>#REF!</v>
      </c>
      <c r="EW6" t="e">
        <f>AND('Yamazumi Data'!#REF!,"AAAAADn9t5g=")</f>
        <v>#REF!</v>
      </c>
      <c r="EX6" t="e">
        <f>AND('Yamazumi Data'!#REF!,"AAAAADn9t5k=")</f>
        <v>#REF!</v>
      </c>
      <c r="EY6" t="e">
        <f>AND('Yamazumi Data'!#REF!,"AAAAADn9t5o=")</f>
        <v>#REF!</v>
      </c>
      <c r="EZ6" t="e">
        <f>AND('Yamazumi Data'!#REF!,"AAAAADn9t5s=")</f>
        <v>#REF!</v>
      </c>
      <c r="FA6" t="e">
        <f>AND('Yamazumi Data'!#REF!,"AAAAADn9t5w=")</f>
        <v>#REF!</v>
      </c>
      <c r="FB6" t="e">
        <f>AND('Yamazumi Data'!#REF!,"AAAAADn9t50=")</f>
        <v>#REF!</v>
      </c>
      <c r="FC6" t="e">
        <f>AND('Yamazumi Data'!#REF!,"AAAAADn9t54=")</f>
        <v>#REF!</v>
      </c>
      <c r="FD6" t="e">
        <f>AND('Yamazumi Data'!#REF!,"AAAAADn9t58=")</f>
        <v>#REF!</v>
      </c>
      <c r="FE6" t="e">
        <f>AND('Yamazumi Data'!#REF!,"AAAAADn9t6A=")</f>
        <v>#REF!</v>
      </c>
      <c r="FF6" t="e">
        <f>AND('Yamazumi Data'!#REF!,"AAAAADn9t6E=")</f>
        <v>#REF!</v>
      </c>
      <c r="FG6" t="e">
        <f>AND('Yamazumi Data'!#REF!,"AAAAADn9t6I=")</f>
        <v>#REF!</v>
      </c>
      <c r="FH6" t="e">
        <f>AND('Yamazumi Data'!#REF!,"AAAAADn9t6M=")</f>
        <v>#REF!</v>
      </c>
      <c r="FI6" t="e">
        <f>AND('Yamazumi Data'!#REF!,"AAAAADn9t6Q=")</f>
        <v>#REF!</v>
      </c>
      <c r="FJ6" t="e">
        <f>AND('Yamazumi Data'!#REF!,"AAAAADn9t6U=")</f>
        <v>#REF!</v>
      </c>
      <c r="FK6" t="e">
        <f>IF('Yamazumi Data'!#REF!,"AAAAADn9t6Y=",0)</f>
        <v>#REF!</v>
      </c>
      <c r="FL6" t="e">
        <f>AND('Yamazumi Data'!#REF!,"AAAAADn9t6c=")</f>
        <v>#REF!</v>
      </c>
      <c r="FM6" t="e">
        <f>AND('Yamazumi Data'!#REF!,"AAAAADn9t6g=")</f>
        <v>#REF!</v>
      </c>
      <c r="FN6" t="e">
        <f>AND('Yamazumi Data'!#REF!,"AAAAADn9t6k=")</f>
        <v>#REF!</v>
      </c>
      <c r="FO6" t="e">
        <f>AND('Yamazumi Data'!#REF!,"AAAAADn9t6o=")</f>
        <v>#REF!</v>
      </c>
      <c r="FP6" t="e">
        <f>AND('Yamazumi Data'!#REF!,"AAAAADn9t6s=")</f>
        <v>#REF!</v>
      </c>
      <c r="FQ6" t="e">
        <f>AND('Yamazumi Data'!#REF!,"AAAAADn9t6w=")</f>
        <v>#REF!</v>
      </c>
      <c r="FR6" t="e">
        <f>AND('Yamazumi Data'!#REF!,"AAAAADn9t60=")</f>
        <v>#REF!</v>
      </c>
      <c r="FS6" t="e">
        <f>AND('Yamazumi Data'!#REF!,"AAAAADn9t64=")</f>
        <v>#REF!</v>
      </c>
      <c r="FT6" t="e">
        <f>AND('Yamazumi Data'!#REF!,"AAAAADn9t68=")</f>
        <v>#REF!</v>
      </c>
      <c r="FU6" t="e">
        <f>AND('Yamazumi Data'!#REF!,"AAAAADn9t7A=")</f>
        <v>#REF!</v>
      </c>
      <c r="FV6" t="e">
        <f>AND('Yamazumi Data'!#REF!,"AAAAADn9t7E=")</f>
        <v>#REF!</v>
      </c>
      <c r="FW6" t="e">
        <f>AND('Yamazumi Data'!#REF!,"AAAAADn9t7I=")</f>
        <v>#REF!</v>
      </c>
      <c r="FX6" t="e">
        <f>AND('Yamazumi Data'!#REF!,"AAAAADn9t7M=")</f>
        <v>#REF!</v>
      </c>
      <c r="FY6" t="e">
        <f>AND('Yamazumi Data'!#REF!,"AAAAADn9t7Q=")</f>
        <v>#REF!</v>
      </c>
      <c r="FZ6" t="e">
        <f>AND('Yamazumi Data'!#REF!,"AAAAADn9t7U=")</f>
        <v>#REF!</v>
      </c>
      <c r="GA6" t="e">
        <f>AND('Yamazumi Data'!#REF!,"AAAAADn9t7Y=")</f>
        <v>#REF!</v>
      </c>
      <c r="GB6" t="e">
        <f>AND('Yamazumi Data'!#REF!,"AAAAADn9t7c=")</f>
        <v>#REF!</v>
      </c>
      <c r="GC6" t="e">
        <f>IF('Yamazumi Data'!#REF!,"AAAAADn9t7g=",0)</f>
        <v>#REF!</v>
      </c>
      <c r="GD6" t="e">
        <f>AND('Yamazumi Data'!#REF!,"AAAAADn9t7k=")</f>
        <v>#REF!</v>
      </c>
      <c r="GE6" t="e">
        <f>AND('Yamazumi Data'!#REF!,"AAAAADn9t7o=")</f>
        <v>#REF!</v>
      </c>
      <c r="GF6" t="e">
        <f>AND('Yamazumi Data'!#REF!,"AAAAADn9t7s=")</f>
        <v>#REF!</v>
      </c>
      <c r="GG6" t="e">
        <f>AND('Yamazumi Data'!#REF!,"AAAAADn9t7w=")</f>
        <v>#REF!</v>
      </c>
      <c r="GH6" t="e">
        <f>AND('Yamazumi Data'!#REF!,"AAAAADn9t70=")</f>
        <v>#REF!</v>
      </c>
      <c r="GI6" t="e">
        <f>AND('Yamazumi Data'!#REF!,"AAAAADn9t74=")</f>
        <v>#REF!</v>
      </c>
      <c r="GJ6" t="e">
        <f>AND('Yamazumi Data'!#REF!,"AAAAADn9t78=")</f>
        <v>#REF!</v>
      </c>
      <c r="GK6" t="e">
        <f>AND('Yamazumi Data'!#REF!,"AAAAADn9t8A=")</f>
        <v>#REF!</v>
      </c>
      <c r="GL6" t="e">
        <f>AND('Yamazumi Data'!#REF!,"AAAAADn9t8E=")</f>
        <v>#REF!</v>
      </c>
      <c r="GM6" t="e">
        <f>AND('Yamazumi Data'!#REF!,"AAAAADn9t8I=")</f>
        <v>#REF!</v>
      </c>
      <c r="GN6" t="e">
        <f>AND('Yamazumi Data'!#REF!,"AAAAADn9t8M=")</f>
        <v>#REF!</v>
      </c>
      <c r="GO6" t="e">
        <f>AND('Yamazumi Data'!#REF!,"AAAAADn9t8Q=")</f>
        <v>#REF!</v>
      </c>
      <c r="GP6" t="e">
        <f>AND('Yamazumi Data'!#REF!,"AAAAADn9t8U=")</f>
        <v>#REF!</v>
      </c>
      <c r="GQ6" t="e">
        <f>AND('Yamazumi Data'!#REF!,"AAAAADn9t8Y=")</f>
        <v>#REF!</v>
      </c>
      <c r="GR6" t="e">
        <f>AND('Yamazumi Data'!#REF!,"AAAAADn9t8c=")</f>
        <v>#REF!</v>
      </c>
      <c r="GS6" t="e">
        <f>AND('Yamazumi Data'!#REF!,"AAAAADn9t8g=")</f>
        <v>#REF!</v>
      </c>
      <c r="GT6" t="e">
        <f>AND('Yamazumi Data'!#REF!,"AAAAADn9t8k=")</f>
        <v>#REF!</v>
      </c>
      <c r="GU6" t="e">
        <f>IF('Yamazumi Data'!#REF!,"AAAAADn9t8o=",0)</f>
        <v>#REF!</v>
      </c>
      <c r="GV6" t="e">
        <f>AND('Yamazumi Data'!#REF!,"AAAAADn9t8s=")</f>
        <v>#REF!</v>
      </c>
      <c r="GW6" t="e">
        <f>AND('Yamazumi Data'!#REF!,"AAAAADn9t8w=")</f>
        <v>#REF!</v>
      </c>
      <c r="GX6" t="e">
        <f>AND('Yamazumi Data'!#REF!,"AAAAADn9t80=")</f>
        <v>#REF!</v>
      </c>
      <c r="GY6" t="e">
        <f>AND('Yamazumi Data'!#REF!,"AAAAADn9t84=")</f>
        <v>#REF!</v>
      </c>
      <c r="GZ6" t="e">
        <f>AND('Yamazumi Data'!#REF!,"AAAAADn9t88=")</f>
        <v>#REF!</v>
      </c>
      <c r="HA6" t="e">
        <f>AND('Yamazumi Data'!#REF!,"AAAAADn9t9A=")</f>
        <v>#REF!</v>
      </c>
      <c r="HB6" t="e">
        <f>AND('Yamazumi Data'!#REF!,"AAAAADn9t9E=")</f>
        <v>#REF!</v>
      </c>
      <c r="HC6" t="e">
        <f>AND('Yamazumi Data'!#REF!,"AAAAADn9t9I=")</f>
        <v>#REF!</v>
      </c>
      <c r="HD6" t="e">
        <f>AND('Yamazumi Data'!#REF!,"AAAAADn9t9M=")</f>
        <v>#REF!</v>
      </c>
      <c r="HE6" t="e">
        <f>AND('Yamazumi Data'!#REF!,"AAAAADn9t9Q=")</f>
        <v>#REF!</v>
      </c>
      <c r="HF6" t="e">
        <f>AND('Yamazumi Data'!#REF!,"AAAAADn9t9U=")</f>
        <v>#REF!</v>
      </c>
      <c r="HG6" t="e">
        <f>AND('Yamazumi Data'!#REF!,"AAAAADn9t9Y=")</f>
        <v>#REF!</v>
      </c>
      <c r="HH6" t="e">
        <f>AND('Yamazumi Data'!#REF!,"AAAAADn9t9c=")</f>
        <v>#REF!</v>
      </c>
      <c r="HI6" t="e">
        <f>AND('Yamazumi Data'!#REF!,"AAAAADn9t9g=")</f>
        <v>#REF!</v>
      </c>
      <c r="HJ6" t="e">
        <f>AND('Yamazumi Data'!#REF!,"AAAAADn9t9k=")</f>
        <v>#REF!</v>
      </c>
      <c r="HK6" t="e">
        <f>AND('Yamazumi Data'!#REF!,"AAAAADn9t9o=")</f>
        <v>#REF!</v>
      </c>
      <c r="HL6" t="e">
        <f>AND('Yamazumi Data'!#REF!,"AAAAADn9t9s=")</f>
        <v>#REF!</v>
      </c>
      <c r="HM6" t="e">
        <f>IF('Yamazumi Data'!#REF!,"AAAAADn9t9w=",0)</f>
        <v>#REF!</v>
      </c>
      <c r="HN6" t="e">
        <f>AND('Yamazumi Data'!#REF!,"AAAAADn9t90=")</f>
        <v>#REF!</v>
      </c>
      <c r="HO6" t="e">
        <f>AND('Yamazumi Data'!#REF!,"AAAAADn9t94=")</f>
        <v>#REF!</v>
      </c>
      <c r="HP6" t="e">
        <f>AND('Yamazumi Data'!#REF!,"AAAAADn9t98=")</f>
        <v>#REF!</v>
      </c>
      <c r="HQ6" t="e">
        <f>AND('Yamazumi Data'!#REF!,"AAAAADn9t+A=")</f>
        <v>#REF!</v>
      </c>
      <c r="HR6" t="e">
        <f>AND('Yamazumi Data'!#REF!,"AAAAADn9t+E=")</f>
        <v>#REF!</v>
      </c>
      <c r="HS6" t="e">
        <f>AND('Yamazumi Data'!#REF!,"AAAAADn9t+I=")</f>
        <v>#REF!</v>
      </c>
      <c r="HT6" t="e">
        <f>AND('Yamazumi Data'!#REF!,"AAAAADn9t+M=")</f>
        <v>#REF!</v>
      </c>
      <c r="HU6" t="e">
        <f>AND('Yamazumi Data'!#REF!,"AAAAADn9t+Q=")</f>
        <v>#REF!</v>
      </c>
      <c r="HV6" t="e">
        <f>AND('Yamazumi Data'!#REF!,"AAAAADn9t+U=")</f>
        <v>#REF!</v>
      </c>
      <c r="HW6" t="e">
        <f>AND('Yamazumi Data'!#REF!,"AAAAADn9t+Y=")</f>
        <v>#REF!</v>
      </c>
      <c r="HX6" t="e">
        <f>AND('Yamazumi Data'!#REF!,"AAAAADn9t+c=")</f>
        <v>#REF!</v>
      </c>
      <c r="HY6" t="e">
        <f>AND('Yamazumi Data'!#REF!,"AAAAADn9t+g=")</f>
        <v>#REF!</v>
      </c>
      <c r="HZ6" t="e">
        <f>AND('Yamazumi Data'!#REF!,"AAAAADn9t+k=")</f>
        <v>#REF!</v>
      </c>
      <c r="IA6" t="e">
        <f>AND('Yamazumi Data'!#REF!,"AAAAADn9t+o=")</f>
        <v>#REF!</v>
      </c>
      <c r="IB6" t="e">
        <f>AND('Yamazumi Data'!#REF!,"AAAAADn9t+s=")</f>
        <v>#REF!</v>
      </c>
      <c r="IC6" t="e">
        <f>AND('Yamazumi Data'!#REF!,"AAAAADn9t+w=")</f>
        <v>#REF!</v>
      </c>
      <c r="ID6" t="e">
        <f>AND('Yamazumi Data'!#REF!,"AAAAADn9t+0=")</f>
        <v>#REF!</v>
      </c>
      <c r="IE6" t="e">
        <f>IF('Yamazumi Data'!#REF!,"AAAAADn9t+4=",0)</f>
        <v>#REF!</v>
      </c>
      <c r="IF6" t="e">
        <f>AND('Yamazumi Data'!#REF!,"AAAAADn9t+8=")</f>
        <v>#REF!</v>
      </c>
      <c r="IG6" t="e">
        <f>AND('Yamazumi Data'!#REF!,"AAAAADn9t/A=")</f>
        <v>#REF!</v>
      </c>
      <c r="IH6" t="e">
        <f>AND('Yamazumi Data'!#REF!,"AAAAADn9t/E=")</f>
        <v>#REF!</v>
      </c>
      <c r="II6" t="e">
        <f>AND('Yamazumi Data'!#REF!,"AAAAADn9t/I=")</f>
        <v>#REF!</v>
      </c>
      <c r="IJ6" t="e">
        <f>AND('Yamazumi Data'!#REF!,"AAAAADn9t/M=")</f>
        <v>#REF!</v>
      </c>
      <c r="IK6" t="e">
        <f>AND('Yamazumi Data'!#REF!,"AAAAADn9t/Q=")</f>
        <v>#REF!</v>
      </c>
      <c r="IL6" t="e">
        <f>AND('Yamazumi Data'!#REF!,"AAAAADn9t/U=")</f>
        <v>#REF!</v>
      </c>
      <c r="IM6" t="e">
        <f>AND('Yamazumi Data'!#REF!,"AAAAADn9t/Y=")</f>
        <v>#REF!</v>
      </c>
      <c r="IN6" t="e">
        <f>AND('Yamazumi Data'!#REF!,"AAAAADn9t/c=")</f>
        <v>#REF!</v>
      </c>
      <c r="IO6" t="e">
        <f>AND('Yamazumi Data'!#REF!,"AAAAADn9t/g=")</f>
        <v>#REF!</v>
      </c>
      <c r="IP6" t="e">
        <f>AND('Yamazumi Data'!#REF!,"AAAAADn9t/k=")</f>
        <v>#REF!</v>
      </c>
      <c r="IQ6" t="e">
        <f>AND('Yamazumi Data'!#REF!,"AAAAADn9t/o=")</f>
        <v>#REF!</v>
      </c>
      <c r="IR6" t="e">
        <f>AND('Yamazumi Data'!#REF!,"AAAAADn9t/s=")</f>
        <v>#REF!</v>
      </c>
      <c r="IS6" t="e">
        <f>AND('Yamazumi Data'!#REF!,"AAAAADn9t/w=")</f>
        <v>#REF!</v>
      </c>
      <c r="IT6" t="e">
        <f>AND('Yamazumi Data'!#REF!,"AAAAADn9t/0=")</f>
        <v>#REF!</v>
      </c>
      <c r="IU6" t="e">
        <f>AND('Yamazumi Data'!#REF!,"AAAAADn9t/4=")</f>
        <v>#REF!</v>
      </c>
      <c r="IV6" t="e">
        <f>AND('Yamazumi Data'!#REF!,"AAAAADn9t/8=")</f>
        <v>#REF!</v>
      </c>
    </row>
    <row r="7" spans="1:256" ht="14.45" x14ac:dyDescent="0.3">
      <c r="A7" t="e">
        <f>IF('Yamazumi Data'!#REF!,"AAAAAHqt8wA=",0)</f>
        <v>#REF!</v>
      </c>
      <c r="B7" t="e">
        <f>AND('Yamazumi Data'!#REF!,"AAAAAHqt8wE=")</f>
        <v>#REF!</v>
      </c>
      <c r="C7" t="e">
        <f>AND('Yamazumi Data'!#REF!,"AAAAAHqt8wI=")</f>
        <v>#REF!</v>
      </c>
      <c r="D7" t="e">
        <f>AND('Yamazumi Data'!#REF!,"AAAAAHqt8wM=")</f>
        <v>#REF!</v>
      </c>
      <c r="E7" t="e">
        <f>AND('Yamazumi Data'!#REF!,"AAAAAHqt8wQ=")</f>
        <v>#REF!</v>
      </c>
      <c r="F7" t="e">
        <f>AND('Yamazumi Data'!#REF!,"AAAAAHqt8wU=")</f>
        <v>#REF!</v>
      </c>
      <c r="G7" t="e">
        <f>AND('Yamazumi Data'!#REF!,"AAAAAHqt8wY=")</f>
        <v>#REF!</v>
      </c>
      <c r="H7" t="e">
        <f>AND('Yamazumi Data'!#REF!,"AAAAAHqt8wc=")</f>
        <v>#REF!</v>
      </c>
      <c r="I7" t="e">
        <f>AND('Yamazumi Data'!#REF!,"AAAAAHqt8wg=")</f>
        <v>#REF!</v>
      </c>
      <c r="J7" t="e">
        <f>AND('Yamazumi Data'!#REF!,"AAAAAHqt8wk=")</f>
        <v>#REF!</v>
      </c>
      <c r="K7" t="e">
        <f>AND('Yamazumi Data'!#REF!,"AAAAAHqt8wo=")</f>
        <v>#REF!</v>
      </c>
      <c r="L7" t="e">
        <f>AND('Yamazumi Data'!#REF!,"AAAAAHqt8ws=")</f>
        <v>#REF!</v>
      </c>
      <c r="M7" t="e">
        <f>AND('Yamazumi Data'!#REF!,"AAAAAHqt8ww=")</f>
        <v>#REF!</v>
      </c>
      <c r="N7" t="e">
        <f>AND('Yamazumi Data'!#REF!,"AAAAAHqt8w0=")</f>
        <v>#REF!</v>
      </c>
      <c r="O7" t="e">
        <f>AND('Yamazumi Data'!#REF!,"AAAAAHqt8w4=")</f>
        <v>#REF!</v>
      </c>
      <c r="P7" t="e">
        <f>AND('Yamazumi Data'!#REF!,"AAAAAHqt8w8=")</f>
        <v>#REF!</v>
      </c>
      <c r="Q7" t="e">
        <f>AND('Yamazumi Data'!#REF!,"AAAAAHqt8xA=")</f>
        <v>#REF!</v>
      </c>
      <c r="R7" t="e">
        <f>AND('Yamazumi Data'!#REF!,"AAAAAHqt8xE=")</f>
        <v>#REF!</v>
      </c>
      <c r="S7" t="e">
        <f>IF('Yamazumi Data'!#REF!,"AAAAAHqt8xI=",0)</f>
        <v>#REF!</v>
      </c>
      <c r="T7" t="e">
        <f>AND('Yamazumi Data'!#REF!,"AAAAAHqt8xM=")</f>
        <v>#REF!</v>
      </c>
      <c r="U7" t="e">
        <f>AND('Yamazumi Data'!#REF!,"AAAAAHqt8xQ=")</f>
        <v>#REF!</v>
      </c>
      <c r="V7" t="e">
        <f>AND('Yamazumi Data'!#REF!,"AAAAAHqt8xU=")</f>
        <v>#REF!</v>
      </c>
      <c r="W7" t="e">
        <f>AND('Yamazumi Data'!#REF!,"AAAAAHqt8xY=")</f>
        <v>#REF!</v>
      </c>
      <c r="X7" t="e">
        <f>AND('Yamazumi Data'!#REF!,"AAAAAHqt8xc=")</f>
        <v>#REF!</v>
      </c>
      <c r="Y7" t="e">
        <f>AND('Yamazumi Data'!#REF!,"AAAAAHqt8xg=")</f>
        <v>#REF!</v>
      </c>
      <c r="Z7" t="e">
        <f>AND('Yamazumi Data'!#REF!,"AAAAAHqt8xk=")</f>
        <v>#REF!</v>
      </c>
      <c r="AA7" t="e">
        <f>AND('Yamazumi Data'!#REF!,"AAAAAHqt8xo=")</f>
        <v>#REF!</v>
      </c>
      <c r="AB7" t="e">
        <f>AND('Yamazumi Data'!#REF!,"AAAAAHqt8xs=")</f>
        <v>#REF!</v>
      </c>
      <c r="AC7" t="e">
        <f>AND('Yamazumi Data'!#REF!,"AAAAAHqt8xw=")</f>
        <v>#REF!</v>
      </c>
      <c r="AD7" t="e">
        <f>AND('Yamazumi Data'!#REF!,"AAAAAHqt8x0=")</f>
        <v>#REF!</v>
      </c>
      <c r="AE7" t="e">
        <f>AND('Yamazumi Data'!#REF!,"AAAAAHqt8x4=")</f>
        <v>#REF!</v>
      </c>
      <c r="AF7" t="e">
        <f>AND('Yamazumi Data'!#REF!,"AAAAAHqt8x8=")</f>
        <v>#REF!</v>
      </c>
      <c r="AG7" t="e">
        <f>AND('Yamazumi Data'!#REF!,"AAAAAHqt8yA=")</f>
        <v>#REF!</v>
      </c>
      <c r="AH7" t="e">
        <f>AND('Yamazumi Data'!#REF!,"AAAAAHqt8yE=")</f>
        <v>#REF!</v>
      </c>
      <c r="AI7" t="e">
        <f>AND('Yamazumi Data'!#REF!,"AAAAAHqt8yI=")</f>
        <v>#REF!</v>
      </c>
      <c r="AJ7" t="e">
        <f>AND('Yamazumi Data'!#REF!,"AAAAAHqt8yM=")</f>
        <v>#REF!</v>
      </c>
      <c r="AK7" t="e">
        <f>IF('Yamazumi Data'!#REF!,"AAAAAHqt8yQ=",0)</f>
        <v>#REF!</v>
      </c>
      <c r="AL7" t="e">
        <f>AND('Yamazumi Data'!#REF!,"AAAAAHqt8yU=")</f>
        <v>#REF!</v>
      </c>
      <c r="AM7" t="e">
        <f>AND('Yamazumi Data'!#REF!,"AAAAAHqt8yY=")</f>
        <v>#REF!</v>
      </c>
      <c r="AN7" t="e">
        <f>AND('Yamazumi Data'!#REF!,"AAAAAHqt8yc=")</f>
        <v>#REF!</v>
      </c>
      <c r="AO7" t="e">
        <f>AND('Yamazumi Data'!#REF!,"AAAAAHqt8yg=")</f>
        <v>#REF!</v>
      </c>
      <c r="AP7" t="e">
        <f>AND('Yamazumi Data'!#REF!,"AAAAAHqt8yk=")</f>
        <v>#REF!</v>
      </c>
      <c r="AQ7" t="e">
        <f>AND('Yamazumi Data'!#REF!,"AAAAAHqt8yo=")</f>
        <v>#REF!</v>
      </c>
      <c r="AR7" t="e">
        <f>AND('Yamazumi Data'!#REF!,"AAAAAHqt8ys=")</f>
        <v>#REF!</v>
      </c>
      <c r="AS7" t="e">
        <f>AND('Yamazumi Data'!#REF!,"AAAAAHqt8yw=")</f>
        <v>#REF!</v>
      </c>
      <c r="AT7" t="e">
        <f>AND('Yamazumi Data'!#REF!,"AAAAAHqt8y0=")</f>
        <v>#REF!</v>
      </c>
      <c r="AU7" t="e">
        <f>AND('Yamazumi Data'!#REF!,"AAAAAHqt8y4=")</f>
        <v>#REF!</v>
      </c>
      <c r="AV7" t="e">
        <f>AND('Yamazumi Data'!#REF!,"AAAAAHqt8y8=")</f>
        <v>#REF!</v>
      </c>
      <c r="AW7" t="e">
        <f>AND('Yamazumi Data'!#REF!,"AAAAAHqt8zA=")</f>
        <v>#REF!</v>
      </c>
      <c r="AX7" t="e">
        <f>AND('Yamazumi Data'!#REF!,"AAAAAHqt8zE=")</f>
        <v>#REF!</v>
      </c>
      <c r="AY7" t="e">
        <f>AND('Yamazumi Data'!#REF!,"AAAAAHqt8zI=")</f>
        <v>#REF!</v>
      </c>
      <c r="AZ7" t="e">
        <f>AND('Yamazumi Data'!#REF!,"AAAAAHqt8zM=")</f>
        <v>#REF!</v>
      </c>
      <c r="BA7" t="e">
        <f>AND('Yamazumi Data'!#REF!,"AAAAAHqt8zQ=")</f>
        <v>#REF!</v>
      </c>
      <c r="BB7" t="e">
        <f>AND('Yamazumi Data'!#REF!,"AAAAAHqt8zU=")</f>
        <v>#REF!</v>
      </c>
      <c r="BC7" t="e">
        <f>IF('Yamazumi Data'!#REF!,"AAAAAHqt8zY=",0)</f>
        <v>#REF!</v>
      </c>
      <c r="BD7" t="e">
        <f>AND('Yamazumi Data'!#REF!,"AAAAAHqt8zc=")</f>
        <v>#REF!</v>
      </c>
      <c r="BE7" t="e">
        <f>AND('Yamazumi Data'!#REF!,"AAAAAHqt8zg=")</f>
        <v>#REF!</v>
      </c>
      <c r="BF7" t="e">
        <f>AND('Yamazumi Data'!#REF!,"AAAAAHqt8zk=")</f>
        <v>#REF!</v>
      </c>
      <c r="BG7" t="e">
        <f>AND('Yamazumi Data'!#REF!,"AAAAAHqt8zo=")</f>
        <v>#REF!</v>
      </c>
      <c r="BH7" t="e">
        <f>AND('Yamazumi Data'!#REF!,"AAAAAHqt8zs=")</f>
        <v>#REF!</v>
      </c>
      <c r="BI7" t="e">
        <f>AND('Yamazumi Data'!#REF!,"AAAAAHqt8zw=")</f>
        <v>#REF!</v>
      </c>
      <c r="BJ7" t="e">
        <f>AND('Yamazumi Data'!#REF!,"AAAAAHqt8z0=")</f>
        <v>#REF!</v>
      </c>
      <c r="BK7" t="e">
        <f>AND('Yamazumi Data'!#REF!,"AAAAAHqt8z4=")</f>
        <v>#REF!</v>
      </c>
      <c r="BL7" t="e">
        <f>AND('Yamazumi Data'!#REF!,"AAAAAHqt8z8=")</f>
        <v>#REF!</v>
      </c>
      <c r="BM7" t="e">
        <f>AND('Yamazumi Data'!#REF!,"AAAAAHqt80A=")</f>
        <v>#REF!</v>
      </c>
      <c r="BN7" t="e">
        <f>AND('Yamazumi Data'!#REF!,"AAAAAHqt80E=")</f>
        <v>#REF!</v>
      </c>
      <c r="BO7" t="e">
        <f>AND('Yamazumi Data'!#REF!,"AAAAAHqt80I=")</f>
        <v>#REF!</v>
      </c>
      <c r="BP7" t="e">
        <f>AND('Yamazumi Data'!#REF!,"AAAAAHqt80M=")</f>
        <v>#REF!</v>
      </c>
      <c r="BQ7" t="e">
        <f>AND('Yamazumi Data'!#REF!,"AAAAAHqt80Q=")</f>
        <v>#REF!</v>
      </c>
      <c r="BR7" t="e">
        <f>AND('Yamazumi Data'!#REF!,"AAAAAHqt80U=")</f>
        <v>#REF!</v>
      </c>
      <c r="BS7" t="e">
        <f>AND('Yamazumi Data'!#REF!,"AAAAAHqt80Y=")</f>
        <v>#REF!</v>
      </c>
      <c r="BT7" t="e">
        <f>AND('Yamazumi Data'!#REF!,"AAAAAHqt80c=")</f>
        <v>#REF!</v>
      </c>
      <c r="BU7">
        <f>IF('Yamazumi Data'!99:99,"AAAAAHqt80g=",0)</f>
        <v>0</v>
      </c>
      <c r="BV7" t="e">
        <f>AND('Yamazumi Data'!C99,"AAAAAHqt80k=")</f>
        <v>#VALUE!</v>
      </c>
      <c r="BW7" t="e">
        <f>AND('Yamazumi Data'!D99,"AAAAAHqt80o=")</f>
        <v>#VALUE!</v>
      </c>
      <c r="BX7" t="e">
        <f>AND('Yamazumi Data'!F99,"AAAAAHqt80s=")</f>
        <v>#VALUE!</v>
      </c>
      <c r="BY7" t="e">
        <f>AND('Yamazumi Data'!G99,"AAAAAHqt80w=")</f>
        <v>#VALUE!</v>
      </c>
      <c r="BZ7" t="e">
        <f>AND('Yamazumi Data'!H99,"AAAAAHqt800=")</f>
        <v>#VALUE!</v>
      </c>
      <c r="CA7" t="e">
        <f>AND('Yamazumi Data'!I99,"AAAAAHqt804=")</f>
        <v>#VALUE!</v>
      </c>
      <c r="CB7" t="e">
        <f>AND('Yamazumi Data'!J99,"AAAAAHqt808=")</f>
        <v>#VALUE!</v>
      </c>
      <c r="CC7" t="e">
        <f>AND('Yamazumi Data'!K99,"AAAAAHqt81A=")</f>
        <v>#VALUE!</v>
      </c>
      <c r="CD7" t="e">
        <f>AND('Yamazumi Data'!L99,"AAAAAHqt81E=")</f>
        <v>#VALUE!</v>
      </c>
      <c r="CE7" t="e">
        <f>AND('Yamazumi Data'!M99,"AAAAAHqt81I=")</f>
        <v>#VALUE!</v>
      </c>
      <c r="CF7" t="e">
        <f>AND('Yamazumi Data'!N99,"AAAAAHqt81M=")</f>
        <v>#VALUE!</v>
      </c>
      <c r="CG7" t="e">
        <f>AND('Yamazumi Data'!O99,"AAAAAHqt81Q=")</f>
        <v>#VALUE!</v>
      </c>
      <c r="CH7" t="e">
        <f>AND('Yamazumi Data'!P99,"AAAAAHqt81U=")</f>
        <v>#VALUE!</v>
      </c>
      <c r="CI7" t="e">
        <f>AND('Yamazumi Data'!Q99,"AAAAAHqt81Y=")</f>
        <v>#VALUE!</v>
      </c>
      <c r="CJ7" t="e">
        <f>AND('Yamazumi Data'!#REF!,"AAAAAHqt81c=")</f>
        <v>#REF!</v>
      </c>
      <c r="CK7" t="e">
        <f>AND('Yamazumi Data'!#REF!,"AAAAAHqt81g=")</f>
        <v>#REF!</v>
      </c>
      <c r="CL7" t="e">
        <f>AND('Yamazumi Data'!#REF!,"AAAAAHqt81k=")</f>
        <v>#REF!</v>
      </c>
      <c r="CM7">
        <f>IF('Yamazumi Data'!100:100,"AAAAAHqt81o=",0)</f>
        <v>0</v>
      </c>
      <c r="CN7" t="e">
        <f>AND('Yamazumi Data'!C100,"AAAAAHqt81s=")</f>
        <v>#VALUE!</v>
      </c>
      <c r="CO7" t="e">
        <f>AND('Yamazumi Data'!D100,"AAAAAHqt81w=")</f>
        <v>#VALUE!</v>
      </c>
      <c r="CP7" t="e">
        <f>AND('Yamazumi Data'!F100,"AAAAAHqt810=")</f>
        <v>#VALUE!</v>
      </c>
      <c r="CQ7" t="e">
        <f>AND('Yamazumi Data'!G100,"AAAAAHqt814=")</f>
        <v>#VALUE!</v>
      </c>
      <c r="CR7" t="e">
        <f>AND('Yamazumi Data'!H100,"AAAAAHqt818=")</f>
        <v>#VALUE!</v>
      </c>
      <c r="CS7" t="e">
        <f>AND('Yamazumi Data'!I100,"AAAAAHqt82A=")</f>
        <v>#VALUE!</v>
      </c>
      <c r="CT7" t="e">
        <f>AND('Yamazumi Data'!J100,"AAAAAHqt82E=")</f>
        <v>#VALUE!</v>
      </c>
      <c r="CU7" t="e">
        <f>AND('Yamazumi Data'!K100,"AAAAAHqt82I=")</f>
        <v>#VALUE!</v>
      </c>
      <c r="CV7" t="e">
        <f>AND('Yamazumi Data'!L100,"AAAAAHqt82M=")</f>
        <v>#VALUE!</v>
      </c>
      <c r="CW7" t="e">
        <f>AND('Yamazumi Data'!M100,"AAAAAHqt82Q=")</f>
        <v>#VALUE!</v>
      </c>
      <c r="CX7" t="e">
        <f>AND('Yamazumi Data'!N100,"AAAAAHqt82U=")</f>
        <v>#VALUE!</v>
      </c>
      <c r="CY7" t="e">
        <f>AND('Yamazumi Data'!O100,"AAAAAHqt82Y=")</f>
        <v>#VALUE!</v>
      </c>
      <c r="CZ7" t="e">
        <f>AND('Yamazumi Data'!P100,"AAAAAHqt82c=")</f>
        <v>#VALUE!</v>
      </c>
      <c r="DA7" t="e">
        <f>AND('Yamazumi Data'!Q100,"AAAAAHqt82g=")</f>
        <v>#VALUE!</v>
      </c>
      <c r="DB7" t="e">
        <f>AND('Yamazumi Data'!#REF!,"AAAAAHqt82k=")</f>
        <v>#REF!</v>
      </c>
      <c r="DC7" t="e">
        <f>AND('Yamazumi Data'!#REF!,"AAAAAHqt82o=")</f>
        <v>#REF!</v>
      </c>
      <c r="DD7" t="e">
        <f>AND('Yamazumi Data'!#REF!,"AAAAAHqt82s=")</f>
        <v>#REF!</v>
      </c>
      <c r="DE7">
        <f>IF('Yamazumi Data'!101:101,"AAAAAHqt82w=",0)</f>
        <v>0</v>
      </c>
      <c r="DF7" t="e">
        <f>AND('Yamazumi Data'!C101,"AAAAAHqt820=")</f>
        <v>#VALUE!</v>
      </c>
      <c r="DG7" t="e">
        <f>AND('Yamazumi Data'!D101,"AAAAAHqt824=")</f>
        <v>#VALUE!</v>
      </c>
      <c r="DH7" t="e">
        <f>AND('Yamazumi Data'!F101,"AAAAAHqt828=")</f>
        <v>#VALUE!</v>
      </c>
      <c r="DI7" t="e">
        <f>AND('Yamazumi Data'!G101,"AAAAAHqt83A=")</f>
        <v>#VALUE!</v>
      </c>
      <c r="DJ7" t="e">
        <f>AND('Yamazumi Data'!H101,"AAAAAHqt83E=")</f>
        <v>#VALUE!</v>
      </c>
      <c r="DK7" t="e">
        <f>AND('Yamazumi Data'!I101,"AAAAAHqt83I=")</f>
        <v>#VALUE!</v>
      </c>
      <c r="DL7" t="e">
        <f>AND('Yamazumi Data'!J101,"AAAAAHqt83M=")</f>
        <v>#VALUE!</v>
      </c>
      <c r="DM7" t="e">
        <f>AND('Yamazumi Data'!K101,"AAAAAHqt83Q=")</f>
        <v>#VALUE!</v>
      </c>
      <c r="DN7" t="e">
        <f>AND('Yamazumi Data'!L101,"AAAAAHqt83U=")</f>
        <v>#VALUE!</v>
      </c>
      <c r="DO7" t="e">
        <f>AND('Yamazumi Data'!M101,"AAAAAHqt83Y=")</f>
        <v>#VALUE!</v>
      </c>
      <c r="DP7" t="e">
        <f>AND('Yamazumi Data'!N101,"AAAAAHqt83c=")</f>
        <v>#VALUE!</v>
      </c>
      <c r="DQ7" t="e">
        <f>AND('Yamazumi Data'!O101,"AAAAAHqt83g=")</f>
        <v>#VALUE!</v>
      </c>
      <c r="DR7" t="e">
        <f>AND('Yamazumi Data'!P101,"AAAAAHqt83k=")</f>
        <v>#VALUE!</v>
      </c>
      <c r="DS7" t="e">
        <f>AND('Yamazumi Data'!Q101,"AAAAAHqt83o=")</f>
        <v>#VALUE!</v>
      </c>
      <c r="DT7" t="e">
        <f>AND('Yamazumi Data'!#REF!,"AAAAAHqt83s=")</f>
        <v>#REF!</v>
      </c>
      <c r="DU7" t="e">
        <f>AND('Yamazumi Data'!#REF!,"AAAAAHqt83w=")</f>
        <v>#REF!</v>
      </c>
      <c r="DV7" t="e">
        <f>AND('Yamazumi Data'!#REF!,"AAAAAHqt830=")</f>
        <v>#REF!</v>
      </c>
      <c r="DW7">
        <f>IF('Yamazumi Data'!102:102,"AAAAAHqt834=",0)</f>
        <v>0</v>
      </c>
      <c r="DX7" t="e">
        <f>AND('Yamazumi Data'!C102,"AAAAAHqt838=")</f>
        <v>#VALUE!</v>
      </c>
      <c r="DY7" t="e">
        <f>AND('Yamazumi Data'!D102,"AAAAAHqt84A=")</f>
        <v>#VALUE!</v>
      </c>
      <c r="DZ7" t="e">
        <f>AND('Yamazumi Data'!F102,"AAAAAHqt84E=")</f>
        <v>#VALUE!</v>
      </c>
      <c r="EA7" t="e">
        <f>AND('Yamazumi Data'!G102,"AAAAAHqt84I=")</f>
        <v>#VALUE!</v>
      </c>
      <c r="EB7" t="e">
        <f>AND('Yamazumi Data'!H102,"AAAAAHqt84M=")</f>
        <v>#VALUE!</v>
      </c>
      <c r="EC7" t="e">
        <f>AND('Yamazumi Data'!I102,"AAAAAHqt84Q=")</f>
        <v>#VALUE!</v>
      </c>
      <c r="ED7" t="e">
        <f>AND('Yamazumi Data'!J102,"AAAAAHqt84U=")</f>
        <v>#VALUE!</v>
      </c>
      <c r="EE7" t="e">
        <f>AND('Yamazumi Data'!K102,"AAAAAHqt84Y=")</f>
        <v>#VALUE!</v>
      </c>
      <c r="EF7" t="e">
        <f>AND('Yamazumi Data'!L102,"AAAAAHqt84c=")</f>
        <v>#VALUE!</v>
      </c>
      <c r="EG7" t="e">
        <f>AND('Yamazumi Data'!M102,"AAAAAHqt84g=")</f>
        <v>#VALUE!</v>
      </c>
      <c r="EH7" t="e">
        <f>AND('Yamazumi Data'!N102,"AAAAAHqt84k=")</f>
        <v>#VALUE!</v>
      </c>
      <c r="EI7" t="e">
        <f>AND('Yamazumi Data'!O102,"AAAAAHqt84o=")</f>
        <v>#VALUE!</v>
      </c>
      <c r="EJ7" t="e">
        <f>AND('Yamazumi Data'!P102,"AAAAAHqt84s=")</f>
        <v>#VALUE!</v>
      </c>
      <c r="EK7" t="e">
        <f>AND('Yamazumi Data'!Q102,"AAAAAHqt84w=")</f>
        <v>#VALUE!</v>
      </c>
      <c r="EL7" t="e">
        <f>AND('Yamazumi Data'!#REF!,"AAAAAHqt840=")</f>
        <v>#REF!</v>
      </c>
      <c r="EM7" t="e">
        <f>AND('Yamazumi Data'!#REF!,"AAAAAHqt844=")</f>
        <v>#REF!</v>
      </c>
      <c r="EN7" t="e">
        <f>AND('Yamazumi Data'!#REF!,"AAAAAHqt848=")</f>
        <v>#REF!</v>
      </c>
      <c r="EO7">
        <f>IF('Yamazumi Data'!103:103,"AAAAAHqt85A=",0)</f>
        <v>0</v>
      </c>
      <c r="EP7" t="e">
        <f>AND('Yamazumi Data'!C103,"AAAAAHqt85E=")</f>
        <v>#VALUE!</v>
      </c>
      <c r="EQ7" t="e">
        <f>AND('Yamazumi Data'!D103,"AAAAAHqt85I=")</f>
        <v>#VALUE!</v>
      </c>
      <c r="ER7" t="e">
        <f>AND('Yamazumi Data'!F103,"AAAAAHqt85M=")</f>
        <v>#VALUE!</v>
      </c>
      <c r="ES7" t="e">
        <f>AND('Yamazumi Data'!G103,"AAAAAHqt85Q=")</f>
        <v>#VALUE!</v>
      </c>
      <c r="ET7" t="e">
        <f>AND('Yamazumi Data'!H103,"AAAAAHqt85U=")</f>
        <v>#VALUE!</v>
      </c>
      <c r="EU7" t="e">
        <f>AND('Yamazumi Data'!I103,"AAAAAHqt85Y=")</f>
        <v>#VALUE!</v>
      </c>
      <c r="EV7" t="e">
        <f>AND('Yamazumi Data'!J103,"AAAAAHqt85c=")</f>
        <v>#VALUE!</v>
      </c>
      <c r="EW7" t="e">
        <f>AND('Yamazumi Data'!K103,"AAAAAHqt85g=")</f>
        <v>#VALUE!</v>
      </c>
      <c r="EX7" t="e">
        <f>AND('Yamazumi Data'!L103,"AAAAAHqt85k=")</f>
        <v>#VALUE!</v>
      </c>
      <c r="EY7" t="e">
        <f>AND('Yamazumi Data'!M103,"AAAAAHqt85o=")</f>
        <v>#VALUE!</v>
      </c>
      <c r="EZ7" t="e">
        <f>AND('Yamazumi Data'!N103,"AAAAAHqt85s=")</f>
        <v>#VALUE!</v>
      </c>
      <c r="FA7" t="e">
        <f>AND('Yamazumi Data'!O103,"AAAAAHqt85w=")</f>
        <v>#VALUE!</v>
      </c>
      <c r="FB7" t="e">
        <f>AND('Yamazumi Data'!P103,"AAAAAHqt850=")</f>
        <v>#VALUE!</v>
      </c>
      <c r="FC7" t="e">
        <f>AND('Yamazumi Data'!Q103,"AAAAAHqt854=")</f>
        <v>#VALUE!</v>
      </c>
      <c r="FD7" t="e">
        <f>AND('Yamazumi Data'!#REF!,"AAAAAHqt858=")</f>
        <v>#REF!</v>
      </c>
      <c r="FE7" t="e">
        <f>AND('Yamazumi Data'!#REF!,"AAAAAHqt86A=")</f>
        <v>#REF!</v>
      </c>
      <c r="FF7" t="e">
        <f>AND('Yamazumi Data'!#REF!,"AAAAAHqt86E=")</f>
        <v>#REF!</v>
      </c>
      <c r="FG7">
        <f>IF('Yamazumi Data'!104:104,"AAAAAHqt86I=",0)</f>
        <v>0</v>
      </c>
      <c r="FH7" t="e">
        <f>AND('Yamazumi Data'!C104,"AAAAAHqt86M=")</f>
        <v>#VALUE!</v>
      </c>
      <c r="FI7" t="e">
        <f>AND('Yamazumi Data'!D104,"AAAAAHqt86Q=")</f>
        <v>#VALUE!</v>
      </c>
      <c r="FJ7" t="e">
        <f>AND('Yamazumi Data'!F104,"AAAAAHqt86U=")</f>
        <v>#VALUE!</v>
      </c>
      <c r="FK7" t="e">
        <f>AND('Yamazumi Data'!G104,"AAAAAHqt86Y=")</f>
        <v>#VALUE!</v>
      </c>
      <c r="FL7" t="e">
        <f>AND('Yamazumi Data'!H104,"AAAAAHqt86c=")</f>
        <v>#VALUE!</v>
      </c>
      <c r="FM7" t="e">
        <f>AND('Yamazumi Data'!I104,"AAAAAHqt86g=")</f>
        <v>#VALUE!</v>
      </c>
      <c r="FN7" t="e">
        <f>AND('Yamazumi Data'!J104,"AAAAAHqt86k=")</f>
        <v>#VALUE!</v>
      </c>
      <c r="FO7" t="e">
        <f>AND('Yamazumi Data'!K104,"AAAAAHqt86o=")</f>
        <v>#VALUE!</v>
      </c>
      <c r="FP7" t="e">
        <f>AND('Yamazumi Data'!L104,"AAAAAHqt86s=")</f>
        <v>#VALUE!</v>
      </c>
      <c r="FQ7" t="e">
        <f>AND('Yamazumi Data'!M104,"AAAAAHqt86w=")</f>
        <v>#VALUE!</v>
      </c>
      <c r="FR7" t="e">
        <f>AND('Yamazumi Data'!N104,"AAAAAHqt860=")</f>
        <v>#VALUE!</v>
      </c>
      <c r="FS7" t="e">
        <f>AND('Yamazumi Data'!O104,"AAAAAHqt864=")</f>
        <v>#VALUE!</v>
      </c>
      <c r="FT7" t="e">
        <f>AND('Yamazumi Data'!P104,"AAAAAHqt868=")</f>
        <v>#VALUE!</v>
      </c>
      <c r="FU7" t="e">
        <f>AND('Yamazumi Data'!Q104,"AAAAAHqt87A=")</f>
        <v>#VALUE!</v>
      </c>
      <c r="FV7" t="e">
        <f>AND('Yamazumi Data'!#REF!,"AAAAAHqt87E=")</f>
        <v>#REF!</v>
      </c>
      <c r="FW7" t="e">
        <f>AND('Yamazumi Data'!#REF!,"AAAAAHqt87I=")</f>
        <v>#REF!</v>
      </c>
      <c r="FX7" t="e">
        <f>AND('Yamazumi Data'!#REF!,"AAAAAHqt87M=")</f>
        <v>#REF!</v>
      </c>
      <c r="FY7">
        <f>IF('Yamazumi Data'!106:106,"AAAAAHqt87Q=",0)</f>
        <v>0</v>
      </c>
      <c r="FZ7" t="e">
        <f>AND('Yamazumi Data'!C106,"AAAAAHqt87U=")</f>
        <v>#VALUE!</v>
      </c>
      <c r="GA7" t="e">
        <f>AND('Yamazumi Data'!D106,"AAAAAHqt87Y=")</f>
        <v>#VALUE!</v>
      </c>
      <c r="GB7" t="e">
        <f>AND('Yamazumi Data'!F106,"AAAAAHqt87c=")</f>
        <v>#VALUE!</v>
      </c>
      <c r="GC7" t="e">
        <f>AND('Yamazumi Data'!G106,"AAAAAHqt87g=")</f>
        <v>#VALUE!</v>
      </c>
      <c r="GD7" t="e">
        <f>AND('Yamazumi Data'!H106,"AAAAAHqt87k=")</f>
        <v>#VALUE!</v>
      </c>
      <c r="GE7" t="e">
        <f>AND('Yamazumi Data'!I106,"AAAAAHqt87o=")</f>
        <v>#VALUE!</v>
      </c>
      <c r="GF7" t="e">
        <f>AND('Yamazumi Data'!J106,"AAAAAHqt87s=")</f>
        <v>#VALUE!</v>
      </c>
      <c r="GG7" t="e">
        <f>AND('Yamazumi Data'!K106,"AAAAAHqt87w=")</f>
        <v>#VALUE!</v>
      </c>
      <c r="GH7" t="e">
        <f>AND('Yamazumi Data'!L106,"AAAAAHqt870=")</f>
        <v>#VALUE!</v>
      </c>
      <c r="GI7" t="e">
        <f>AND('Yamazumi Data'!M106,"AAAAAHqt874=")</f>
        <v>#VALUE!</v>
      </c>
      <c r="GJ7" t="e">
        <f>AND('Yamazumi Data'!N106,"AAAAAHqt878=")</f>
        <v>#VALUE!</v>
      </c>
      <c r="GK7" t="e">
        <f>AND('Yamazumi Data'!O106,"AAAAAHqt88A=")</f>
        <v>#VALUE!</v>
      </c>
      <c r="GL7" t="e">
        <f>AND('Yamazumi Data'!P106,"AAAAAHqt88E=")</f>
        <v>#VALUE!</v>
      </c>
      <c r="GM7" t="e">
        <f>AND('Yamazumi Data'!Q106,"AAAAAHqt88I=")</f>
        <v>#VALUE!</v>
      </c>
      <c r="GN7" t="e">
        <f>AND('Yamazumi Data'!#REF!,"AAAAAHqt88M=")</f>
        <v>#REF!</v>
      </c>
      <c r="GO7" t="e">
        <f>AND('Yamazumi Data'!#REF!,"AAAAAHqt88Q=")</f>
        <v>#REF!</v>
      </c>
      <c r="GP7" t="e">
        <f>AND('Yamazumi Data'!#REF!,"AAAAAHqt88U=")</f>
        <v>#REF!</v>
      </c>
      <c r="GQ7">
        <f>IF('Yamazumi Data'!107:107,"AAAAAHqt88Y=",0)</f>
        <v>0</v>
      </c>
      <c r="GR7" t="e">
        <f>AND('Yamazumi Data'!C107,"AAAAAHqt88c=")</f>
        <v>#VALUE!</v>
      </c>
      <c r="GS7" t="e">
        <f>AND('Yamazumi Data'!D107,"AAAAAHqt88g=")</f>
        <v>#VALUE!</v>
      </c>
      <c r="GT7" t="e">
        <f>AND('Yamazumi Data'!F107,"AAAAAHqt88k=")</f>
        <v>#VALUE!</v>
      </c>
      <c r="GU7" t="e">
        <f>AND('Yamazumi Data'!G107,"AAAAAHqt88o=")</f>
        <v>#VALUE!</v>
      </c>
      <c r="GV7" t="e">
        <f>AND('Yamazumi Data'!H107,"AAAAAHqt88s=")</f>
        <v>#VALUE!</v>
      </c>
      <c r="GW7" t="e">
        <f>AND('Yamazumi Data'!I107,"AAAAAHqt88w=")</f>
        <v>#VALUE!</v>
      </c>
      <c r="GX7" t="e">
        <f>AND('Yamazumi Data'!J107,"AAAAAHqt880=")</f>
        <v>#VALUE!</v>
      </c>
      <c r="GY7" t="e">
        <f>AND('Yamazumi Data'!K107,"AAAAAHqt884=")</f>
        <v>#VALUE!</v>
      </c>
      <c r="GZ7" t="e">
        <f>AND('Yamazumi Data'!L107,"AAAAAHqt888=")</f>
        <v>#VALUE!</v>
      </c>
      <c r="HA7" t="e">
        <f>AND('Yamazumi Data'!M107,"AAAAAHqt89A=")</f>
        <v>#VALUE!</v>
      </c>
      <c r="HB7" t="e">
        <f>AND('Yamazumi Data'!N107,"AAAAAHqt89E=")</f>
        <v>#VALUE!</v>
      </c>
      <c r="HC7" t="e">
        <f>AND('Yamazumi Data'!O107,"AAAAAHqt89I=")</f>
        <v>#VALUE!</v>
      </c>
      <c r="HD7" t="e">
        <f>AND('Yamazumi Data'!P107,"AAAAAHqt89M=")</f>
        <v>#VALUE!</v>
      </c>
      <c r="HE7" t="e">
        <f>AND('Yamazumi Data'!Q107,"AAAAAHqt89Q=")</f>
        <v>#VALUE!</v>
      </c>
      <c r="HF7" t="e">
        <f>AND('Yamazumi Data'!#REF!,"AAAAAHqt89U=")</f>
        <v>#REF!</v>
      </c>
      <c r="HG7" t="e">
        <f>AND('Yamazumi Data'!#REF!,"AAAAAHqt89Y=")</f>
        <v>#REF!</v>
      </c>
      <c r="HH7" t="e">
        <f>AND('Yamazumi Data'!#REF!,"AAAAAHqt89c=")</f>
        <v>#REF!</v>
      </c>
      <c r="HI7">
        <f>IF('Yamazumi Data'!108:108,"AAAAAHqt89g=",0)</f>
        <v>0</v>
      </c>
      <c r="HJ7" t="e">
        <f>AND('Yamazumi Data'!C108,"AAAAAHqt89k=")</f>
        <v>#VALUE!</v>
      </c>
      <c r="HK7" t="e">
        <f>AND('Yamazumi Data'!D108,"AAAAAHqt89o=")</f>
        <v>#VALUE!</v>
      </c>
      <c r="HL7" t="e">
        <f>AND('Yamazumi Data'!F108,"AAAAAHqt89s=")</f>
        <v>#VALUE!</v>
      </c>
      <c r="HM7" t="e">
        <f>AND('Yamazumi Data'!G108,"AAAAAHqt89w=")</f>
        <v>#VALUE!</v>
      </c>
      <c r="HN7" t="e">
        <f>AND('Yamazumi Data'!H108,"AAAAAHqt890=")</f>
        <v>#VALUE!</v>
      </c>
      <c r="HO7" t="e">
        <f>AND('Yamazumi Data'!I108,"AAAAAHqt894=")</f>
        <v>#VALUE!</v>
      </c>
      <c r="HP7" t="e">
        <f>AND('Yamazumi Data'!J108,"AAAAAHqt898=")</f>
        <v>#VALUE!</v>
      </c>
      <c r="HQ7" t="e">
        <f>AND('Yamazumi Data'!K108,"AAAAAHqt8+A=")</f>
        <v>#VALUE!</v>
      </c>
      <c r="HR7" t="e">
        <f>AND('Yamazumi Data'!L108,"AAAAAHqt8+E=")</f>
        <v>#VALUE!</v>
      </c>
      <c r="HS7" t="e">
        <f>AND('Yamazumi Data'!M108,"AAAAAHqt8+I=")</f>
        <v>#VALUE!</v>
      </c>
      <c r="HT7" t="e">
        <f>AND('Yamazumi Data'!N108,"AAAAAHqt8+M=")</f>
        <v>#VALUE!</v>
      </c>
      <c r="HU7" t="e">
        <f>AND('Yamazumi Data'!O108,"AAAAAHqt8+Q=")</f>
        <v>#VALUE!</v>
      </c>
      <c r="HV7" t="e">
        <f>AND('Yamazumi Data'!P108,"AAAAAHqt8+U=")</f>
        <v>#VALUE!</v>
      </c>
      <c r="HW7" t="e">
        <f>AND('Yamazumi Data'!Q108,"AAAAAHqt8+Y=")</f>
        <v>#VALUE!</v>
      </c>
      <c r="HX7" t="e">
        <f>AND('Yamazumi Data'!#REF!,"AAAAAHqt8+c=")</f>
        <v>#REF!</v>
      </c>
      <c r="HY7" t="e">
        <f>AND('Yamazumi Data'!#REF!,"AAAAAHqt8+g=")</f>
        <v>#REF!</v>
      </c>
      <c r="HZ7" t="e">
        <f>AND('Yamazumi Data'!#REF!,"AAAAAHqt8+k=")</f>
        <v>#REF!</v>
      </c>
      <c r="IA7">
        <f>IF('Yamazumi Data'!109:109,"AAAAAHqt8+o=",0)</f>
        <v>0</v>
      </c>
      <c r="IB7" t="e">
        <f>AND('Yamazumi Data'!C109,"AAAAAHqt8+s=")</f>
        <v>#VALUE!</v>
      </c>
      <c r="IC7" t="e">
        <f>AND('Yamazumi Data'!D109,"AAAAAHqt8+w=")</f>
        <v>#VALUE!</v>
      </c>
      <c r="ID7" t="e">
        <f>AND('Yamazumi Data'!F109,"AAAAAHqt8+0=")</f>
        <v>#VALUE!</v>
      </c>
      <c r="IE7" t="e">
        <f>AND('Yamazumi Data'!G109,"AAAAAHqt8+4=")</f>
        <v>#VALUE!</v>
      </c>
      <c r="IF7" t="e">
        <f>AND('Yamazumi Data'!H109,"AAAAAHqt8+8=")</f>
        <v>#VALUE!</v>
      </c>
      <c r="IG7" t="e">
        <f>AND('Yamazumi Data'!I109,"AAAAAHqt8/A=")</f>
        <v>#VALUE!</v>
      </c>
      <c r="IH7" t="e">
        <f>AND('Yamazumi Data'!J109,"AAAAAHqt8/E=")</f>
        <v>#VALUE!</v>
      </c>
      <c r="II7" t="e">
        <f>AND('Yamazumi Data'!K109,"AAAAAHqt8/I=")</f>
        <v>#VALUE!</v>
      </c>
      <c r="IJ7" t="e">
        <f>AND('Yamazumi Data'!L109,"AAAAAHqt8/M=")</f>
        <v>#VALUE!</v>
      </c>
      <c r="IK7" t="e">
        <f>AND('Yamazumi Data'!M109,"AAAAAHqt8/Q=")</f>
        <v>#VALUE!</v>
      </c>
      <c r="IL7" t="e">
        <f>AND('Yamazumi Data'!N109,"AAAAAHqt8/U=")</f>
        <v>#VALUE!</v>
      </c>
      <c r="IM7" t="e">
        <f>AND('Yamazumi Data'!O109,"AAAAAHqt8/Y=")</f>
        <v>#VALUE!</v>
      </c>
      <c r="IN7" t="e">
        <f>AND('Yamazumi Data'!P109,"AAAAAHqt8/c=")</f>
        <v>#VALUE!</v>
      </c>
      <c r="IO7" t="e">
        <f>AND('Yamazumi Data'!Q109,"AAAAAHqt8/g=")</f>
        <v>#VALUE!</v>
      </c>
      <c r="IP7" t="e">
        <f>AND('Yamazumi Data'!#REF!,"AAAAAHqt8/k=")</f>
        <v>#REF!</v>
      </c>
      <c r="IQ7" t="e">
        <f>AND('Yamazumi Data'!#REF!,"AAAAAHqt8/o=")</f>
        <v>#REF!</v>
      </c>
      <c r="IR7" t="e">
        <f>AND('Yamazumi Data'!#REF!,"AAAAAHqt8/s=")</f>
        <v>#REF!</v>
      </c>
      <c r="IS7">
        <f>IF('Yamazumi Data'!110:110,"AAAAAHqt8/w=",0)</f>
        <v>0</v>
      </c>
      <c r="IT7" t="e">
        <f>AND('Yamazumi Data'!C110,"AAAAAHqt8/0=")</f>
        <v>#VALUE!</v>
      </c>
      <c r="IU7" t="e">
        <f>AND('Yamazumi Data'!D110,"AAAAAHqt8/4=")</f>
        <v>#VALUE!</v>
      </c>
      <c r="IV7" t="e">
        <f>AND('Yamazumi Data'!F110,"AAAAAHqt8/8=")</f>
        <v>#VALUE!</v>
      </c>
    </row>
    <row r="8" spans="1:256" ht="14.45" x14ac:dyDescent="0.3">
      <c r="A8" t="e">
        <f>AND('Yamazumi Data'!G110,"AAAAAE7+/gA=")</f>
        <v>#VALUE!</v>
      </c>
      <c r="B8" t="e">
        <f>AND('Yamazumi Data'!H110,"AAAAAE7+/gE=")</f>
        <v>#VALUE!</v>
      </c>
      <c r="C8" t="e">
        <f>AND('Yamazumi Data'!I110,"AAAAAE7+/gI=")</f>
        <v>#VALUE!</v>
      </c>
      <c r="D8" t="e">
        <f>AND('Yamazumi Data'!J110,"AAAAAE7+/gM=")</f>
        <v>#VALUE!</v>
      </c>
      <c r="E8" t="e">
        <f>AND('Yamazumi Data'!K110,"AAAAAE7+/gQ=")</f>
        <v>#VALUE!</v>
      </c>
      <c r="F8" t="e">
        <f>AND('Yamazumi Data'!L110,"AAAAAE7+/gU=")</f>
        <v>#VALUE!</v>
      </c>
      <c r="G8" t="e">
        <f>AND('Yamazumi Data'!M110,"AAAAAE7+/gY=")</f>
        <v>#VALUE!</v>
      </c>
      <c r="H8" t="e">
        <f>AND('Yamazumi Data'!N110,"AAAAAE7+/gc=")</f>
        <v>#VALUE!</v>
      </c>
      <c r="I8" t="e">
        <f>AND('Yamazumi Data'!O110,"AAAAAE7+/gg=")</f>
        <v>#VALUE!</v>
      </c>
      <c r="J8" t="e">
        <f>AND('Yamazumi Data'!P110,"AAAAAE7+/gk=")</f>
        <v>#VALUE!</v>
      </c>
      <c r="K8" t="e">
        <f>AND('Yamazumi Data'!Q110,"AAAAAE7+/go=")</f>
        <v>#VALUE!</v>
      </c>
      <c r="L8" t="e">
        <f>AND('Yamazumi Data'!#REF!,"AAAAAE7+/gs=")</f>
        <v>#REF!</v>
      </c>
      <c r="M8" t="e">
        <f>AND('Yamazumi Data'!#REF!,"AAAAAE7+/gw=")</f>
        <v>#REF!</v>
      </c>
      <c r="N8" t="e">
        <f>AND('Yamazumi Data'!#REF!,"AAAAAE7+/g0=")</f>
        <v>#REF!</v>
      </c>
      <c r="O8">
        <f>IF('Yamazumi Data'!111:111,"AAAAAE7+/g4=",0)</f>
        <v>0</v>
      </c>
      <c r="P8" t="e">
        <f>AND('Yamazumi Data'!C111,"AAAAAE7+/g8=")</f>
        <v>#VALUE!</v>
      </c>
      <c r="Q8" t="e">
        <f>AND('Yamazumi Data'!D111,"AAAAAE7+/hA=")</f>
        <v>#VALUE!</v>
      </c>
      <c r="R8" t="e">
        <f>AND('Yamazumi Data'!F111,"AAAAAE7+/hE=")</f>
        <v>#VALUE!</v>
      </c>
      <c r="S8" t="e">
        <f>AND('Yamazumi Data'!G111,"AAAAAE7+/hI=")</f>
        <v>#VALUE!</v>
      </c>
      <c r="T8" t="e">
        <f>AND('Yamazumi Data'!H111,"AAAAAE7+/hM=")</f>
        <v>#VALUE!</v>
      </c>
      <c r="U8" t="e">
        <f>AND('Yamazumi Data'!I111,"AAAAAE7+/hQ=")</f>
        <v>#VALUE!</v>
      </c>
      <c r="V8" t="e">
        <f>AND('Yamazumi Data'!J111,"AAAAAE7+/hU=")</f>
        <v>#VALUE!</v>
      </c>
      <c r="W8" t="e">
        <f>AND('Yamazumi Data'!K111,"AAAAAE7+/hY=")</f>
        <v>#VALUE!</v>
      </c>
      <c r="X8" t="e">
        <f>AND('Yamazumi Data'!L111,"AAAAAE7+/hc=")</f>
        <v>#VALUE!</v>
      </c>
      <c r="Y8" t="e">
        <f>AND('Yamazumi Data'!M111,"AAAAAE7+/hg=")</f>
        <v>#VALUE!</v>
      </c>
      <c r="Z8" t="e">
        <f>AND('Yamazumi Data'!N111,"AAAAAE7+/hk=")</f>
        <v>#VALUE!</v>
      </c>
      <c r="AA8" t="e">
        <f>AND('Yamazumi Data'!O111,"AAAAAE7+/ho=")</f>
        <v>#VALUE!</v>
      </c>
      <c r="AB8" t="e">
        <f>AND('Yamazumi Data'!P111,"AAAAAE7+/hs=")</f>
        <v>#VALUE!</v>
      </c>
      <c r="AC8" t="e">
        <f>AND('Yamazumi Data'!Q111,"AAAAAE7+/hw=")</f>
        <v>#VALUE!</v>
      </c>
      <c r="AD8" t="e">
        <f>AND('Yamazumi Data'!#REF!,"AAAAAE7+/h0=")</f>
        <v>#REF!</v>
      </c>
      <c r="AE8" t="e">
        <f>AND('Yamazumi Data'!#REF!,"AAAAAE7+/h4=")</f>
        <v>#REF!</v>
      </c>
      <c r="AF8" t="e">
        <f>AND('Yamazumi Data'!#REF!,"AAAAAE7+/h8=")</f>
        <v>#REF!</v>
      </c>
      <c r="AG8" t="e">
        <f>IF('Yamazumi Data'!#REF!,"AAAAAE7+/iA=",0)</f>
        <v>#REF!</v>
      </c>
      <c r="AH8" t="e">
        <f>AND('Yamazumi Data'!#REF!,"AAAAAE7+/iE=")</f>
        <v>#REF!</v>
      </c>
      <c r="AI8" t="e">
        <f>AND('Yamazumi Data'!#REF!,"AAAAAE7+/iI=")</f>
        <v>#REF!</v>
      </c>
      <c r="AJ8" t="e">
        <f>AND('Yamazumi Data'!#REF!,"AAAAAE7+/iM=")</f>
        <v>#REF!</v>
      </c>
      <c r="AK8" t="e">
        <f>AND('Yamazumi Data'!#REF!,"AAAAAE7+/iQ=")</f>
        <v>#REF!</v>
      </c>
      <c r="AL8" t="e">
        <f>AND('Yamazumi Data'!#REF!,"AAAAAE7+/iU=")</f>
        <v>#REF!</v>
      </c>
      <c r="AM8" t="e">
        <f>AND('Yamazumi Data'!#REF!,"AAAAAE7+/iY=")</f>
        <v>#REF!</v>
      </c>
      <c r="AN8" t="e">
        <f>AND('Yamazumi Data'!#REF!,"AAAAAE7+/ic=")</f>
        <v>#REF!</v>
      </c>
      <c r="AO8" t="e">
        <f>AND('Yamazumi Data'!#REF!,"AAAAAE7+/ig=")</f>
        <v>#REF!</v>
      </c>
      <c r="AP8" t="e">
        <f>AND('Yamazumi Data'!#REF!,"AAAAAE7+/ik=")</f>
        <v>#REF!</v>
      </c>
      <c r="AQ8" t="e">
        <f>AND('Yamazumi Data'!#REF!,"AAAAAE7+/io=")</f>
        <v>#REF!</v>
      </c>
      <c r="AR8" t="e">
        <f>AND('Yamazumi Data'!#REF!,"AAAAAE7+/is=")</f>
        <v>#REF!</v>
      </c>
      <c r="AS8" t="e">
        <f>AND('Yamazumi Data'!#REF!,"AAAAAE7+/iw=")</f>
        <v>#REF!</v>
      </c>
      <c r="AT8" t="e">
        <f>AND('Yamazumi Data'!#REF!,"AAAAAE7+/i0=")</f>
        <v>#REF!</v>
      </c>
      <c r="AU8" t="e">
        <f>AND('Yamazumi Data'!#REF!,"AAAAAE7+/i4=")</f>
        <v>#REF!</v>
      </c>
      <c r="AV8" t="e">
        <f>AND('Yamazumi Data'!#REF!,"AAAAAE7+/i8=")</f>
        <v>#REF!</v>
      </c>
      <c r="AW8" t="e">
        <f>AND('Yamazumi Data'!#REF!,"AAAAAE7+/jA=")</f>
        <v>#REF!</v>
      </c>
      <c r="AX8" t="e">
        <f>AND('Yamazumi Data'!#REF!,"AAAAAE7+/jE=")</f>
        <v>#REF!</v>
      </c>
      <c r="AY8" t="e">
        <f>IF('Yamazumi Data'!#REF!,"AAAAAE7+/jI=",0)</f>
        <v>#REF!</v>
      </c>
      <c r="AZ8" t="e">
        <f>AND('Yamazumi Data'!#REF!,"AAAAAE7+/jM=")</f>
        <v>#REF!</v>
      </c>
      <c r="BA8" t="e">
        <f>AND('Yamazumi Data'!D113,"AAAAAE7+/jQ=")</f>
        <v>#VALUE!</v>
      </c>
      <c r="BB8" t="e">
        <f>AND('Yamazumi Data'!F113,"AAAAAE7+/jU=")</f>
        <v>#VALUE!</v>
      </c>
      <c r="BC8" t="e">
        <f>AND('Yamazumi Data'!G113,"AAAAAE7+/jY=")</f>
        <v>#VALUE!</v>
      </c>
      <c r="BD8" t="e">
        <f>AND('Yamazumi Data'!H113,"AAAAAE7+/jc=")</f>
        <v>#VALUE!</v>
      </c>
      <c r="BE8" t="e">
        <f>AND('Yamazumi Data'!I113,"AAAAAE7+/jg=")</f>
        <v>#VALUE!</v>
      </c>
      <c r="BF8" t="e">
        <f>AND('Yamazumi Data'!J113,"AAAAAE7+/jk=")</f>
        <v>#VALUE!</v>
      </c>
      <c r="BG8" t="e">
        <f>AND('Yamazumi Data'!K113,"AAAAAE7+/jo=")</f>
        <v>#VALUE!</v>
      </c>
      <c r="BH8" t="e">
        <f>AND('Yamazumi Data'!L113,"AAAAAE7+/js=")</f>
        <v>#VALUE!</v>
      </c>
      <c r="BI8" t="e">
        <f>AND('Yamazumi Data'!#REF!,"AAAAAE7+/jw=")</f>
        <v>#REF!</v>
      </c>
      <c r="BJ8" t="e">
        <f>AND('Yamazumi Data'!#REF!,"AAAAAE7+/j0=")</f>
        <v>#REF!</v>
      </c>
      <c r="BK8" t="e">
        <f>AND('Yamazumi Data'!#REF!,"AAAAAE7+/j4=")</f>
        <v>#REF!</v>
      </c>
      <c r="BL8" t="e">
        <f>AND('Yamazumi Data'!#REF!,"AAAAAE7+/j8=")</f>
        <v>#REF!</v>
      </c>
      <c r="BM8" t="e">
        <f>AND('Yamazumi Data'!#REF!,"AAAAAE7+/kA=")</f>
        <v>#REF!</v>
      </c>
      <c r="BN8" t="e">
        <f>AND('Yamazumi Data'!#REF!,"AAAAAE7+/kE=")</f>
        <v>#REF!</v>
      </c>
      <c r="BO8" t="e">
        <f>AND('Yamazumi Data'!#REF!,"AAAAAE7+/kI=")</f>
        <v>#REF!</v>
      </c>
      <c r="BP8" t="e">
        <f>AND('Yamazumi Data'!#REF!,"AAAAAE7+/kM=")</f>
        <v>#REF!</v>
      </c>
      <c r="BQ8" t="e">
        <f>IF('Yamazumi Data'!#REF!,"AAAAAE7+/kQ=",0)</f>
        <v>#REF!</v>
      </c>
      <c r="BR8" t="e">
        <f>AND('Yamazumi Data'!#REF!,"AAAAAE7+/kU=")</f>
        <v>#REF!</v>
      </c>
      <c r="BS8" t="e">
        <f>AND('Yamazumi Data'!D114,"AAAAAE7+/kY=")</f>
        <v>#VALUE!</v>
      </c>
      <c r="BT8" t="e">
        <f>AND('Yamazumi Data'!F114,"AAAAAE7+/kc=")</f>
        <v>#VALUE!</v>
      </c>
      <c r="BU8" t="e">
        <f>AND('Yamazumi Data'!G114,"AAAAAE7+/kg=")</f>
        <v>#VALUE!</v>
      </c>
      <c r="BV8" t="e">
        <f>AND('Yamazumi Data'!H114,"AAAAAE7+/kk=")</f>
        <v>#VALUE!</v>
      </c>
      <c r="BW8" t="e">
        <f>AND('Yamazumi Data'!I114,"AAAAAE7+/ko=")</f>
        <v>#VALUE!</v>
      </c>
      <c r="BX8" t="e">
        <f>AND('Yamazumi Data'!J114,"AAAAAE7+/ks=")</f>
        <v>#VALUE!</v>
      </c>
      <c r="BY8" t="e">
        <f>AND('Yamazumi Data'!K114,"AAAAAE7+/kw=")</f>
        <v>#VALUE!</v>
      </c>
      <c r="BZ8" t="e">
        <f>AND('Yamazumi Data'!L114,"AAAAAE7+/k0=")</f>
        <v>#VALUE!</v>
      </c>
      <c r="CA8" t="e">
        <f>AND('Yamazumi Data'!#REF!,"AAAAAE7+/k4=")</f>
        <v>#REF!</v>
      </c>
      <c r="CB8" t="e">
        <f>AND('Yamazumi Data'!#REF!,"AAAAAE7+/k8=")</f>
        <v>#REF!</v>
      </c>
      <c r="CC8" t="e">
        <f>AND('Yamazumi Data'!#REF!,"AAAAAE7+/lA=")</f>
        <v>#REF!</v>
      </c>
      <c r="CD8" t="e">
        <f>AND('Yamazumi Data'!#REF!,"AAAAAE7+/lE=")</f>
        <v>#REF!</v>
      </c>
      <c r="CE8" t="e">
        <f>AND('Yamazumi Data'!#REF!,"AAAAAE7+/lI=")</f>
        <v>#REF!</v>
      </c>
      <c r="CF8" t="e">
        <f>AND('Yamazumi Data'!#REF!,"AAAAAE7+/lM=")</f>
        <v>#REF!</v>
      </c>
      <c r="CG8" t="e">
        <f>AND('Yamazumi Data'!#REF!,"AAAAAE7+/lQ=")</f>
        <v>#REF!</v>
      </c>
      <c r="CH8" t="e">
        <f>AND('Yamazumi Data'!#REF!,"AAAAAE7+/lU=")</f>
        <v>#REF!</v>
      </c>
      <c r="CI8" t="e">
        <f>IF('Yamazumi Data'!#REF!,"AAAAAE7+/lY=",0)</f>
        <v>#REF!</v>
      </c>
      <c r="CJ8" t="e">
        <f>AND('Yamazumi Data'!#REF!,"AAAAAE7+/lc=")</f>
        <v>#REF!</v>
      </c>
      <c r="CK8" t="e">
        <f>AND('Yamazumi Data'!D115,"AAAAAE7+/lg=")</f>
        <v>#VALUE!</v>
      </c>
      <c r="CL8" t="e">
        <f>AND('Yamazumi Data'!F115,"AAAAAE7+/lk=")</f>
        <v>#VALUE!</v>
      </c>
      <c r="CM8" t="e">
        <f>AND('Yamazumi Data'!G115,"AAAAAE7+/lo=")</f>
        <v>#VALUE!</v>
      </c>
      <c r="CN8" t="e">
        <f>AND('Yamazumi Data'!H115,"AAAAAE7+/ls=")</f>
        <v>#VALUE!</v>
      </c>
      <c r="CO8" t="e">
        <f>AND('Yamazumi Data'!I115,"AAAAAE7+/lw=")</f>
        <v>#VALUE!</v>
      </c>
      <c r="CP8" t="e">
        <f>AND('Yamazumi Data'!J115,"AAAAAE7+/l0=")</f>
        <v>#VALUE!</v>
      </c>
      <c r="CQ8" t="e">
        <f>AND('Yamazumi Data'!K115,"AAAAAE7+/l4=")</f>
        <v>#VALUE!</v>
      </c>
      <c r="CR8" t="e">
        <f>AND('Yamazumi Data'!L115,"AAAAAE7+/l8=")</f>
        <v>#VALUE!</v>
      </c>
      <c r="CS8" t="e">
        <f>AND('Yamazumi Data'!#REF!,"AAAAAE7+/mA=")</f>
        <v>#REF!</v>
      </c>
      <c r="CT8" t="e">
        <f>AND('Yamazumi Data'!#REF!,"AAAAAE7+/mE=")</f>
        <v>#REF!</v>
      </c>
      <c r="CU8" t="e">
        <f>AND('Yamazumi Data'!#REF!,"AAAAAE7+/mI=")</f>
        <v>#REF!</v>
      </c>
      <c r="CV8" t="e">
        <f>AND('Yamazumi Data'!#REF!,"AAAAAE7+/mM=")</f>
        <v>#REF!</v>
      </c>
      <c r="CW8" t="e">
        <f>AND('Yamazumi Data'!#REF!,"AAAAAE7+/mQ=")</f>
        <v>#REF!</v>
      </c>
      <c r="CX8" t="e">
        <f>AND('Yamazumi Data'!#REF!,"AAAAAE7+/mU=")</f>
        <v>#REF!</v>
      </c>
      <c r="CY8" t="e">
        <f>AND('Yamazumi Data'!#REF!,"AAAAAE7+/mY=")</f>
        <v>#REF!</v>
      </c>
      <c r="CZ8" t="e">
        <f>AND('Yamazumi Data'!#REF!,"AAAAAE7+/mc=")</f>
        <v>#REF!</v>
      </c>
      <c r="DA8" t="e">
        <f>IF('Yamazumi Data'!#REF!,"AAAAAE7+/mg=",0)</f>
        <v>#REF!</v>
      </c>
      <c r="DB8" t="e">
        <f>AND('Yamazumi Data'!#REF!,"AAAAAE7+/mk=")</f>
        <v>#REF!</v>
      </c>
      <c r="DC8" t="e">
        <f>AND('Yamazumi Data'!D117,"AAAAAE7+/mo=")</f>
        <v>#VALUE!</v>
      </c>
      <c r="DD8" t="e">
        <f>AND('Yamazumi Data'!F117,"AAAAAE7+/ms=")</f>
        <v>#VALUE!</v>
      </c>
      <c r="DE8" t="e">
        <f>AND('Yamazumi Data'!G117,"AAAAAE7+/mw=")</f>
        <v>#VALUE!</v>
      </c>
      <c r="DF8" t="e">
        <f>AND('Yamazumi Data'!H117,"AAAAAE7+/m0=")</f>
        <v>#VALUE!</v>
      </c>
      <c r="DG8" t="e">
        <f>AND('Yamazumi Data'!I117,"AAAAAE7+/m4=")</f>
        <v>#VALUE!</v>
      </c>
      <c r="DH8" t="e">
        <f>AND('Yamazumi Data'!J117,"AAAAAE7+/m8=")</f>
        <v>#VALUE!</v>
      </c>
      <c r="DI8" t="e">
        <f>AND('Yamazumi Data'!K117,"AAAAAE7+/nA=")</f>
        <v>#VALUE!</v>
      </c>
      <c r="DJ8" t="e">
        <f>AND('Yamazumi Data'!L117,"AAAAAE7+/nE=")</f>
        <v>#VALUE!</v>
      </c>
      <c r="DK8" t="e">
        <f>AND('Yamazumi Data'!#REF!,"AAAAAE7+/nI=")</f>
        <v>#REF!</v>
      </c>
      <c r="DL8" t="e">
        <f>AND('Yamazumi Data'!#REF!,"AAAAAE7+/nM=")</f>
        <v>#REF!</v>
      </c>
      <c r="DM8" t="e">
        <f>AND('Yamazumi Data'!#REF!,"AAAAAE7+/nQ=")</f>
        <v>#REF!</v>
      </c>
      <c r="DN8" t="e">
        <f>AND('Yamazumi Data'!#REF!,"AAAAAE7+/nU=")</f>
        <v>#REF!</v>
      </c>
      <c r="DO8" t="e">
        <f>AND('Yamazumi Data'!#REF!,"AAAAAE7+/nY=")</f>
        <v>#REF!</v>
      </c>
      <c r="DP8" t="e">
        <f>AND('Yamazumi Data'!#REF!,"AAAAAE7+/nc=")</f>
        <v>#REF!</v>
      </c>
      <c r="DQ8" t="e">
        <f>AND('Yamazumi Data'!#REF!,"AAAAAE7+/ng=")</f>
        <v>#REF!</v>
      </c>
      <c r="DR8" t="e">
        <f>AND('Yamazumi Data'!#REF!,"AAAAAE7+/nk=")</f>
        <v>#REF!</v>
      </c>
      <c r="DS8" t="e">
        <f>IF('Yamazumi Data'!#REF!,"AAAAAE7+/no=",0)</f>
        <v>#REF!</v>
      </c>
      <c r="DT8" t="e">
        <f>AND('Yamazumi Data'!#REF!,"AAAAAE7+/ns=")</f>
        <v>#REF!</v>
      </c>
      <c r="DU8" t="e">
        <f>AND('Yamazumi Data'!D118,"AAAAAE7+/nw=")</f>
        <v>#VALUE!</v>
      </c>
      <c r="DV8" t="e">
        <f>AND('Yamazumi Data'!F118,"AAAAAE7+/n0=")</f>
        <v>#VALUE!</v>
      </c>
      <c r="DW8" t="e">
        <f>AND('Yamazumi Data'!G118,"AAAAAE7+/n4=")</f>
        <v>#VALUE!</v>
      </c>
      <c r="DX8" t="e">
        <f>AND('Yamazumi Data'!H118,"AAAAAE7+/n8=")</f>
        <v>#VALUE!</v>
      </c>
      <c r="DY8" t="e">
        <f>AND('Yamazumi Data'!I118,"AAAAAE7+/oA=")</f>
        <v>#VALUE!</v>
      </c>
      <c r="DZ8" t="e">
        <f>AND('Yamazumi Data'!J118,"AAAAAE7+/oE=")</f>
        <v>#VALUE!</v>
      </c>
      <c r="EA8" t="e">
        <f>AND('Yamazumi Data'!K118,"AAAAAE7+/oI=")</f>
        <v>#VALUE!</v>
      </c>
      <c r="EB8" t="e">
        <f>AND('Yamazumi Data'!L118,"AAAAAE7+/oM=")</f>
        <v>#VALUE!</v>
      </c>
      <c r="EC8" t="e">
        <f>AND('Yamazumi Data'!#REF!,"AAAAAE7+/oQ=")</f>
        <v>#REF!</v>
      </c>
      <c r="ED8" t="e">
        <f>AND('Yamazumi Data'!#REF!,"AAAAAE7+/oU=")</f>
        <v>#REF!</v>
      </c>
      <c r="EE8" t="e">
        <f>AND('Yamazumi Data'!#REF!,"AAAAAE7+/oY=")</f>
        <v>#REF!</v>
      </c>
      <c r="EF8" t="e">
        <f>AND('Yamazumi Data'!#REF!,"AAAAAE7+/oc=")</f>
        <v>#REF!</v>
      </c>
      <c r="EG8" t="e">
        <f>AND('Yamazumi Data'!#REF!,"AAAAAE7+/og=")</f>
        <v>#REF!</v>
      </c>
      <c r="EH8" t="e">
        <f>AND('Yamazumi Data'!#REF!,"AAAAAE7+/ok=")</f>
        <v>#REF!</v>
      </c>
      <c r="EI8" t="e">
        <f>AND('Yamazumi Data'!#REF!,"AAAAAE7+/oo=")</f>
        <v>#REF!</v>
      </c>
      <c r="EJ8" t="e">
        <f>AND('Yamazumi Data'!#REF!,"AAAAAE7+/os=")</f>
        <v>#REF!</v>
      </c>
      <c r="EK8">
        <f>IF('Yamazumi Data'!A:A,"AAAAAE7+/ow=",0)</f>
        <v>0</v>
      </c>
      <c r="EL8">
        <f>IF('Yamazumi Data'!C:C,"AAAAAE7+/o0=",0)</f>
        <v>0</v>
      </c>
      <c r="EM8" t="e">
        <f>IF('Yamazumi Data'!D:D,"AAAAAE7+/o4=",0)</f>
        <v>#VALUE!</v>
      </c>
      <c r="EN8" t="e">
        <f>IF('Yamazumi Data'!F:F,"AAAAAE7+/o8=",0)</f>
        <v>#VALUE!</v>
      </c>
      <c r="EO8" t="e">
        <f>IF('Yamazumi Data'!G:G,"AAAAAE7+/pA=",0)</f>
        <v>#VALUE!</v>
      </c>
      <c r="EP8" t="e">
        <f>IF('Yamazumi Data'!H:H,"AAAAAE7+/pE=",0)</f>
        <v>#VALUE!</v>
      </c>
      <c r="EQ8" t="e">
        <f>IF('Yamazumi Data'!I:I,"AAAAAE7+/pI=",0)</f>
        <v>#VALUE!</v>
      </c>
      <c r="ER8" t="e">
        <f>IF('Yamazumi Data'!J:J,"AAAAAE7+/pM=",0)</f>
        <v>#VALUE!</v>
      </c>
      <c r="ES8" t="e">
        <f>IF('Yamazumi Data'!K:K,"AAAAAE7+/pQ=",0)</f>
        <v>#VALUE!</v>
      </c>
      <c r="ET8" t="e">
        <f>IF('Yamazumi Data'!L:L,"AAAAAE7+/pU=",0)</f>
        <v>#VALUE!</v>
      </c>
      <c r="EU8" t="e">
        <f>IF('Yamazumi Data'!M:M,"AAAAAE7+/pY=",0)</f>
        <v>#VALUE!</v>
      </c>
      <c r="EV8" t="e">
        <f>IF('Yamazumi Data'!N:N,"AAAAAE7+/pc=",0)</f>
        <v>#VALUE!</v>
      </c>
      <c r="EW8" t="e">
        <f>IF('Yamazumi Data'!O:O,"AAAAAE7+/pg=",0)</f>
        <v>#VALUE!</v>
      </c>
      <c r="EX8" t="e">
        <f>IF('Yamazumi Data'!P:P,"AAAAAE7+/pk=",0)</f>
        <v>#VALUE!</v>
      </c>
      <c r="EY8" t="e">
        <f>IF('Yamazumi Data'!Q:Q,"AAAAAE7+/po=",0)</f>
        <v>#VALUE!</v>
      </c>
      <c r="EZ8" t="e">
        <f>IF('Yamazumi Data'!#REF!,"AAAAAE7+/ps=",0)</f>
        <v>#REF!</v>
      </c>
      <c r="FA8" t="e">
        <f>IF('Yamazumi Data'!#REF!,"AAAAAE7+/pw=",0)</f>
        <v>#REF!</v>
      </c>
      <c r="FB8" t="e">
        <f>IF('Yamazumi Data'!#REF!,"AAAAAE7+/p0=",0)</f>
        <v>#REF!</v>
      </c>
      <c r="FC8" t="e">
        <f>IF('Yamazumi Data'!R:R,"AAAAAE7+/p4=",0)</f>
        <v>#VALUE!</v>
      </c>
      <c r="FD8" t="e">
        <f>IF('Yamazumi Data'!S:S,"AAAAAE7+/p8=",0)</f>
        <v>#VALUE!</v>
      </c>
      <c r="FE8" t="e">
        <f>IF('Yamazumi Data'!T:T,"AAAAAE7+/qA=",0)</f>
        <v>#VALUE!</v>
      </c>
      <c r="FF8" t="e">
        <f>IF('Yamazumi Data'!U:U,"AAAAAE7+/qE=",0)</f>
        <v>#VALUE!</v>
      </c>
      <c r="FG8" t="e">
        <f>IF('Yamazumi Data'!V:V,"AAAAAE7+/qI=",0)</f>
        <v>#VALUE!</v>
      </c>
      <c r="FH8" t="e">
        <f>IF('Yamazumi Data'!AK:AK,"AAAAAE7+/qM=",0)</f>
        <v>#VALUE!</v>
      </c>
      <c r="FI8">
        <f>IF('Yamazumi Chart'!1:1,"AAAAAE7+/qQ=",0)</f>
        <v>0</v>
      </c>
      <c r="FJ8" t="e">
        <f>AND('Yamazumi Chart'!A1,"AAAAAE7+/qU=")</f>
        <v>#VALUE!</v>
      </c>
      <c r="FK8">
        <f>IF('Yamazumi Chart'!A:A,"AAAAAE7+/qY=",0)</f>
        <v>0</v>
      </c>
      <c r="FL8" t="e">
        <f>IF(#REF!,"AAAAAE7+/qc=",0)</f>
        <v>#REF!</v>
      </c>
      <c r="FM8" t="e">
        <f>AND(#REF!,"AAAAAE7+/qg=")</f>
        <v>#REF!</v>
      </c>
      <c r="FN8" t="e">
        <f>IF(#REF!,"AAAAAE7+/qk=",0)</f>
        <v>#REF!</v>
      </c>
      <c r="FO8" t="s">
        <v>42</v>
      </c>
    </row>
    <row r="9" spans="1:256" ht="14.45" x14ac:dyDescent="0.3">
      <c r="A9" t="e">
        <f>AND('Yamazumi Data'!E4,"AAAAADv+dgA=")</f>
        <v>#VALUE!</v>
      </c>
      <c r="B9" t="e">
        <f>AND('Yamazumi Data'!E5,"AAAAADv+dgE=")</f>
        <v>#VALUE!</v>
      </c>
      <c r="C9" t="e">
        <f>AND('Yamazumi Data'!E6,"AAAAADv+dgI=")</f>
        <v>#VALUE!</v>
      </c>
      <c r="D9" t="e">
        <f>AND('Yamazumi Data'!E8,"AAAAADv+dgM=")</f>
        <v>#VALUE!</v>
      </c>
      <c r="E9" t="e">
        <f>AND('Yamazumi Data'!E10,"AAAAADv+dgQ=")</f>
        <v>#VALUE!</v>
      </c>
      <c r="F9" t="e">
        <f>AND('Yamazumi Data'!E11,"AAAAADv+dgU=")</f>
        <v>#VALUE!</v>
      </c>
      <c r="G9" t="e">
        <f>AND('Yamazumi Data'!E12,"AAAAADv+dgY=")</f>
        <v>#VALUE!</v>
      </c>
      <c r="H9" t="e">
        <f>AND('Yamazumi Data'!E13,"AAAAADv+dgc=")</f>
        <v>#VALUE!</v>
      </c>
      <c r="I9" t="e">
        <f>AND('Yamazumi Data'!E14,"AAAAADv+dgg=")</f>
        <v>#VALUE!</v>
      </c>
      <c r="J9" t="e">
        <f>AND('Yamazumi Data'!E15,"AAAAADv+dgk=")</f>
        <v>#VALUE!</v>
      </c>
      <c r="K9" t="e">
        <f>AND('Yamazumi Data'!E16,"AAAAADv+dgo=")</f>
        <v>#VALUE!</v>
      </c>
      <c r="L9" t="e">
        <f>AND('Yamazumi Data'!E17,"AAAAADv+dgs=")</f>
        <v>#VALUE!</v>
      </c>
      <c r="M9" t="e">
        <f>AND('Yamazumi Data'!E18,"AAAAADv+dgw=")</f>
        <v>#VALUE!</v>
      </c>
      <c r="N9" t="e">
        <f>AND('Yamazumi Data'!E19,"AAAAADv+dg0=")</f>
        <v>#VALUE!</v>
      </c>
      <c r="O9" t="e">
        <f>AND('Yamazumi Data'!E20,"AAAAADv+dg4=")</f>
        <v>#VALUE!</v>
      </c>
      <c r="P9" t="e">
        <f>AND('Yamazumi Data'!E21,"AAAAADv+dg8=")</f>
        <v>#VALUE!</v>
      </c>
      <c r="Q9" t="e">
        <f>AND('Yamazumi Data'!E22,"AAAAADv+dhA=")</f>
        <v>#VALUE!</v>
      </c>
      <c r="R9" t="e">
        <f>AND('Yamazumi Data'!E23,"AAAAADv+dhE=")</f>
        <v>#VALUE!</v>
      </c>
      <c r="S9" t="e">
        <f>AND('Yamazumi Data'!E24,"AAAAADv+dhI=")</f>
        <v>#VALUE!</v>
      </c>
      <c r="T9" t="e">
        <f>AND('Yamazumi Data'!E25,"AAAAADv+dhM=")</f>
        <v>#VALUE!</v>
      </c>
      <c r="U9" t="e">
        <f>AND('Yamazumi Data'!E26,"AAAAADv+dhQ=")</f>
        <v>#VALUE!</v>
      </c>
      <c r="V9" t="e">
        <f>AND('Yamazumi Data'!E27,"AAAAADv+dhU=")</f>
        <v>#VALUE!</v>
      </c>
      <c r="W9" t="e">
        <f>AND('Yamazumi Data'!E28,"AAAAADv+dhY=")</f>
        <v>#VALUE!</v>
      </c>
      <c r="X9" t="e">
        <f>AND('Yamazumi Data'!E29,"AAAAADv+dhc=")</f>
        <v>#VALUE!</v>
      </c>
      <c r="Y9" t="e">
        <f>AND('Yamazumi Data'!E30,"AAAAADv+dhg=")</f>
        <v>#VALUE!</v>
      </c>
      <c r="Z9" t="e">
        <f>AND('Yamazumi Data'!E31,"AAAAADv+dhk=")</f>
        <v>#VALUE!</v>
      </c>
      <c r="AA9" t="e">
        <f>AND('Yamazumi Data'!E32,"AAAAADv+dho=")</f>
        <v>#VALUE!</v>
      </c>
      <c r="AB9" t="e">
        <f>AND('Yamazumi Data'!E33,"AAAAADv+dhs=")</f>
        <v>#VALUE!</v>
      </c>
      <c r="AC9" t="e">
        <f>AND('Yamazumi Data'!E34,"AAAAADv+dhw=")</f>
        <v>#VALUE!</v>
      </c>
      <c r="AD9" t="e">
        <f>AND('Yamazumi Data'!E35,"AAAAADv+dh0=")</f>
        <v>#VALUE!</v>
      </c>
      <c r="AE9" t="e">
        <f>AND('Yamazumi Data'!E36,"AAAAADv+dh4=")</f>
        <v>#VALUE!</v>
      </c>
      <c r="AF9" t="e">
        <f>AND('Yamazumi Data'!E37,"AAAAADv+dh8=")</f>
        <v>#VALUE!</v>
      </c>
      <c r="AG9" t="e">
        <f>AND('Yamazumi Data'!E38,"AAAAADv+diA=")</f>
        <v>#VALUE!</v>
      </c>
      <c r="AH9" t="e">
        <f>AND('Yamazumi Data'!E39,"AAAAADv+diE=")</f>
        <v>#VALUE!</v>
      </c>
      <c r="AI9" t="e">
        <f>AND('Yamazumi Data'!E40,"AAAAADv+diI=")</f>
        <v>#VALUE!</v>
      </c>
      <c r="AJ9" t="e">
        <f>AND('Yamazumi Data'!E41,"AAAAADv+diM=")</f>
        <v>#VALUE!</v>
      </c>
      <c r="AK9" t="e">
        <f>AND('Yamazumi Data'!E42,"AAAAADv+diQ=")</f>
        <v>#VALUE!</v>
      </c>
      <c r="AL9" t="e">
        <f>AND('Yamazumi Data'!E43,"AAAAADv+diU=")</f>
        <v>#VALUE!</v>
      </c>
      <c r="AM9" t="e">
        <f>AND('Yamazumi Data'!E44,"AAAAADv+diY=")</f>
        <v>#VALUE!</v>
      </c>
      <c r="AN9" t="e">
        <f>AND('Yamazumi Data'!E45,"AAAAADv+dic=")</f>
        <v>#VALUE!</v>
      </c>
      <c r="AO9" t="e">
        <f>AND('Yamazumi Data'!E46,"AAAAADv+dig=")</f>
        <v>#VALUE!</v>
      </c>
      <c r="AP9" t="e">
        <f>AND('Yamazumi Data'!E47,"AAAAADv+dik=")</f>
        <v>#VALUE!</v>
      </c>
      <c r="AQ9" t="e">
        <f>AND('Yamazumi Data'!E48,"AAAAADv+dio=")</f>
        <v>#VALUE!</v>
      </c>
      <c r="AR9" t="e">
        <f>AND('Yamazumi Data'!E49,"AAAAADv+dis=")</f>
        <v>#VALUE!</v>
      </c>
      <c r="AS9" t="e">
        <f>AND('Yamazumi Data'!E50,"AAAAADv+diw=")</f>
        <v>#VALUE!</v>
      </c>
      <c r="AT9" t="e">
        <f>AND('Yamazumi Data'!E92,"AAAAADv+di0=")</f>
        <v>#VALUE!</v>
      </c>
      <c r="AU9" t="e">
        <f>AND('Yamazumi Data'!E93,"AAAAADv+di4=")</f>
        <v>#VALUE!</v>
      </c>
      <c r="AV9" t="e">
        <f>AND('Yamazumi Data'!E94,"AAAAADv+di8=")</f>
        <v>#VALUE!</v>
      </c>
      <c r="AW9" t="e">
        <f>AND('Yamazumi Data'!E95,"AAAAADv+djA=")</f>
        <v>#VALUE!</v>
      </c>
      <c r="AX9" t="e">
        <f>AND('Yamazumi Data'!E96,"AAAAADv+djE=")</f>
        <v>#VALUE!</v>
      </c>
      <c r="AY9" t="e">
        <f>AND('Yamazumi Data'!E97,"AAAAADv+djI=")</f>
        <v>#VALUE!</v>
      </c>
      <c r="AZ9" t="e">
        <f>AND('Yamazumi Data'!E98,"AAAAADv+djM=")</f>
        <v>#VALUE!</v>
      </c>
      <c r="BA9" t="e">
        <f>AND('Yamazumi Data'!E99,"AAAAADv+djQ=")</f>
        <v>#VALUE!</v>
      </c>
      <c r="BB9" t="e">
        <f>AND('Yamazumi Data'!E100,"AAAAADv+djU=")</f>
        <v>#VALUE!</v>
      </c>
      <c r="BC9" t="e">
        <f>AND('Yamazumi Data'!E101,"AAAAADv+djY=")</f>
        <v>#VALUE!</v>
      </c>
      <c r="BD9" t="e">
        <f>AND('Yamazumi Data'!E102,"AAAAADv+djc=")</f>
        <v>#VALUE!</v>
      </c>
      <c r="BE9" t="e">
        <f>AND('Yamazumi Data'!E103,"AAAAADv+djg=")</f>
        <v>#VALUE!</v>
      </c>
      <c r="BF9" t="e">
        <f>AND('Yamazumi Data'!E104,"AAAAADv+djk=")</f>
        <v>#VALUE!</v>
      </c>
      <c r="BG9" t="e">
        <f>AND('Yamazumi Data'!E106,"AAAAADv+djo=")</f>
        <v>#VALUE!</v>
      </c>
      <c r="BH9" t="e">
        <f>AND('Yamazumi Data'!E107,"AAAAADv+djs=")</f>
        <v>#VALUE!</v>
      </c>
      <c r="BI9" t="e">
        <f>AND('Yamazumi Data'!E108,"AAAAADv+djw=")</f>
        <v>#VALUE!</v>
      </c>
      <c r="BJ9" t="e">
        <f>AND('Yamazumi Data'!E109,"AAAAADv+dj0=")</f>
        <v>#VALUE!</v>
      </c>
      <c r="BK9" t="e">
        <f>AND('Yamazumi Data'!E110,"AAAAADv+dj4=")</f>
        <v>#VALUE!</v>
      </c>
      <c r="BL9" t="e">
        <f>AND('Yamazumi Data'!E111,"AAAAADv+dj8=")</f>
        <v>#VALUE!</v>
      </c>
      <c r="BM9" t="e">
        <f>AND('Yamazumi Data'!#REF!,"AAAAADv+dkA=")</f>
        <v>#REF!</v>
      </c>
      <c r="BN9" t="e">
        <f>AND('Yamazumi Data'!E113,"AAAAADv+dkE=")</f>
        <v>#VALUE!</v>
      </c>
      <c r="BO9" t="e">
        <f>AND('Yamazumi Data'!E114,"AAAAADv+dkI=")</f>
        <v>#VALUE!</v>
      </c>
      <c r="BP9" t="e">
        <f>AND('Yamazumi Data'!E115,"AAAAADv+dkM=")</f>
        <v>#VALUE!</v>
      </c>
      <c r="BQ9" t="e">
        <f>AND('Yamazumi Data'!E117,"AAAAADv+dkQ=")</f>
        <v>#VALUE!</v>
      </c>
      <c r="BR9" t="e">
        <f>AND('Yamazumi Data'!E118,"AAAAADv+dkU=")</f>
        <v>#VALUE!</v>
      </c>
      <c r="BS9" t="e">
        <f>IF('Yamazumi Data'!E:E,"AAAAADv+dkY=",0)</f>
        <v>#VALUE!</v>
      </c>
    </row>
    <row r="10" spans="1:256" ht="14.45" x14ac:dyDescent="0.3">
      <c r="A10" t="e">
        <f>IF('Yamazumi Data'!#REF!,"AAAAAFz7dwA=",0)</f>
        <v>#REF!</v>
      </c>
      <c r="B10" t="e">
        <f>AND('Yamazumi Data'!#REF!,"AAAAAFz7dwE=")</f>
        <v>#REF!</v>
      </c>
      <c r="C10" t="e">
        <f>AND('Yamazumi Data'!#REF!,"AAAAAFz7dwI=")</f>
        <v>#REF!</v>
      </c>
      <c r="D10" t="e">
        <f>AND('Yamazumi Data'!#REF!,"AAAAAFz7dwM=")</f>
        <v>#REF!</v>
      </c>
      <c r="E10" t="e">
        <f>AND('Yamazumi Data'!#REF!,"AAAAAFz7dwQ=")</f>
        <v>#REF!</v>
      </c>
      <c r="F10" t="e">
        <f>AND('Yamazumi Data'!#REF!,"AAAAAFz7dwU=")</f>
        <v>#REF!</v>
      </c>
      <c r="G10" t="e">
        <f>AND('Yamazumi Data'!#REF!,"AAAAAFz7dwY=")</f>
        <v>#REF!</v>
      </c>
      <c r="H10" t="e">
        <f>AND('Yamazumi Data'!#REF!,"AAAAAFz7dwc=")</f>
        <v>#REF!</v>
      </c>
      <c r="I10" t="e">
        <f>AND('Yamazumi Data'!#REF!,"AAAAAFz7dwg=")</f>
        <v>#REF!</v>
      </c>
      <c r="J10" t="e">
        <f>AND('Yamazumi Data'!#REF!,"AAAAAFz7dwk=")</f>
        <v>#REF!</v>
      </c>
      <c r="K10" t="e">
        <f>AND('Yamazumi Data'!#REF!,"AAAAAFz7dwo=")</f>
        <v>#REF!</v>
      </c>
      <c r="L10" t="e">
        <f>AND('Yamazumi Data'!#REF!,"AAAAAFz7dws=")</f>
        <v>#REF!</v>
      </c>
      <c r="M10" t="e">
        <f>AND('Yamazumi Data'!#REF!,"AAAAAFz7dww=")</f>
        <v>#REF!</v>
      </c>
      <c r="N10" t="e">
        <f>AND('Yamazumi Data'!#REF!,"AAAAAFz7dw0=")</f>
        <v>#REF!</v>
      </c>
      <c r="O10" t="e">
        <f>AND('Yamazumi Data'!#REF!,"AAAAAFz7dw4=")</f>
        <v>#REF!</v>
      </c>
      <c r="P10" t="e">
        <f>AND('Yamazumi Data'!N1,"AAAAAFz7dw8=")</f>
        <v>#VALUE!</v>
      </c>
      <c r="Q10" t="e">
        <f>AND('Yamazumi Data'!#REF!,"AAAAAFz7dxA=")</f>
        <v>#REF!</v>
      </c>
      <c r="R10" t="e">
        <f>AND('Yamazumi Data'!#REF!,"AAAAAFz7dxE=")</f>
        <v>#REF!</v>
      </c>
      <c r="S10" t="e">
        <f>AND('Yamazumi Data'!#REF!,"AAAAAFz7dxI=")</f>
        <v>#REF!</v>
      </c>
      <c r="T10" t="e">
        <f>AND('Yamazumi Data'!#REF!,"AAAAAFz7dxM=")</f>
        <v>#REF!</v>
      </c>
      <c r="U10" t="e">
        <f>AND('Yamazumi Data'!#REF!,"AAAAAFz7dxQ=")</f>
        <v>#REF!</v>
      </c>
      <c r="V10" t="e">
        <f>AND('Yamazumi Data'!#REF!,"AAAAAFz7dxU=")</f>
        <v>#REF!</v>
      </c>
      <c r="W10">
        <f>IF('Yamazumi Data'!1:1,"AAAAAFz7dxY=",0)</f>
        <v>0</v>
      </c>
      <c r="X10" t="e">
        <f>AND('Yamazumi Data'!B1,"AAAAAFz7dxc=")</f>
        <v>#VALUE!</v>
      </c>
      <c r="Y10" t="e">
        <f>AND('Yamazumi Data'!D1,"AAAAAFz7dxg=")</f>
        <v>#VALUE!</v>
      </c>
      <c r="Z10" t="e">
        <f>AND('Yamazumi Data'!E1,"AAAAAFz7dxk=")</f>
        <v>#VALUE!</v>
      </c>
      <c r="AA10" t="e">
        <f>AND('Yamazumi Data'!F1,"AAAAAFz7dxo=")</f>
        <v>#VALUE!</v>
      </c>
      <c r="AB10" t="e">
        <f>AND('Yamazumi Data'!G1,"AAAAAFz7dxs=")</f>
        <v>#VALUE!</v>
      </c>
      <c r="AC10" t="e">
        <f>AND('Yamazumi Data'!H1,"AAAAAFz7dxw=")</f>
        <v>#VALUE!</v>
      </c>
      <c r="AD10" t="e">
        <f>AND('Yamazumi Data'!I1,"AAAAAFz7dx0=")</f>
        <v>#VALUE!</v>
      </c>
      <c r="AE10" t="e">
        <f>AND('Yamazumi Data'!J1,"AAAAAFz7dx4=")</f>
        <v>#VALUE!</v>
      </c>
      <c r="AF10" t="e">
        <f>AND('Yamazumi Data'!K1,"AAAAAFz7dx8=")</f>
        <v>#VALUE!</v>
      </c>
      <c r="AG10" t="e">
        <f>AND('Yamazumi Data'!L1,"AAAAAFz7dyA=")</f>
        <v>#VALUE!</v>
      </c>
      <c r="AH10" t="e">
        <f>AND('Yamazumi Data'!M1,"AAAAAFz7dyE=")</f>
        <v>#VALUE!</v>
      </c>
      <c r="AI10" t="e">
        <f>AND('Yamazumi Data'!#REF!,"AAAAAFz7dyI=")</f>
        <v>#REF!</v>
      </c>
      <c r="AJ10" t="e">
        <f>AND('Yamazumi Data'!O1,"AAAAAFz7dyM=")</f>
        <v>#VALUE!</v>
      </c>
      <c r="AK10" t="e">
        <f>AND('Yamazumi Data'!P1,"AAAAAFz7dyQ=")</f>
        <v>#VALUE!</v>
      </c>
      <c r="AL10" t="e">
        <f>AND('Yamazumi Data'!#REF!,"AAAAAFz7dyU=")</f>
        <v>#REF!</v>
      </c>
      <c r="AM10" t="e">
        <f>AND('Yamazumi Data'!R1,"AAAAAFz7dyY=")</f>
        <v>#VALUE!</v>
      </c>
      <c r="AN10" t="e">
        <f>AND('Yamazumi Data'!S1,"AAAAAFz7dyc=")</f>
        <v>#VALUE!</v>
      </c>
      <c r="AO10" t="e">
        <f>AND('Yamazumi Data'!T1,"AAAAAFz7dyg=")</f>
        <v>#VALUE!</v>
      </c>
      <c r="AP10" t="e">
        <f>AND('Yamazumi Data'!U1,"AAAAAFz7dyk=")</f>
        <v>#VALUE!</v>
      </c>
      <c r="AQ10" t="e">
        <f>AND('Yamazumi Data'!V1,"AAAAAFz7dyo=")</f>
        <v>#VALUE!</v>
      </c>
      <c r="AR10" t="e">
        <f>AND('Yamazumi Data'!AK1,"AAAAAFz7dys=")</f>
        <v>#VALUE!</v>
      </c>
      <c r="AS10">
        <f>IF('Yamazumi Data'!2:2,"AAAAAFz7dyw=",0)</f>
        <v>0</v>
      </c>
      <c r="AT10" t="e">
        <f>AND('Yamazumi Data'!B2,"AAAAAFz7dy0=")</f>
        <v>#VALUE!</v>
      </c>
      <c r="AU10" t="e">
        <f>AND('Yamazumi Data'!D2,"AAAAAFz7dy4=")</f>
        <v>#VALUE!</v>
      </c>
      <c r="AV10" t="e">
        <f>AND('Yamazumi Data'!E2,"AAAAAFz7dy8=")</f>
        <v>#VALUE!</v>
      </c>
      <c r="AW10" t="e">
        <f>AND('Yamazumi Data'!F2,"AAAAAFz7dzA=")</f>
        <v>#VALUE!</v>
      </c>
      <c r="AX10" t="e">
        <f>AND('Yamazumi Data'!G2,"AAAAAFz7dzE=")</f>
        <v>#VALUE!</v>
      </c>
      <c r="AY10" t="e">
        <f>AND('Yamazumi Data'!H2,"AAAAAFz7dzI=")</f>
        <v>#VALUE!</v>
      </c>
      <c r="AZ10" t="e">
        <f>AND('Yamazumi Data'!I2,"AAAAAFz7dzM=")</f>
        <v>#VALUE!</v>
      </c>
      <c r="BA10" t="e">
        <f>AND('Yamazumi Data'!J2,"AAAAAFz7dzQ=")</f>
        <v>#VALUE!</v>
      </c>
      <c r="BB10" t="e">
        <f>AND('Yamazumi Data'!K2,"AAAAAFz7dzU=")</f>
        <v>#VALUE!</v>
      </c>
      <c r="BC10" t="e">
        <f>AND('Yamazumi Data'!L2,"AAAAAFz7dzY=")</f>
        <v>#VALUE!</v>
      </c>
      <c r="BD10" t="e">
        <f>AND('Yamazumi Data'!M2,"AAAAAFz7dzc=")</f>
        <v>#VALUE!</v>
      </c>
      <c r="BE10" t="e">
        <f>AND('Yamazumi Data'!N2,"AAAAAFz7dzg=")</f>
        <v>#VALUE!</v>
      </c>
      <c r="BF10" t="e">
        <f>AND('Yamazumi Data'!O2,"AAAAAFz7dzk=")</f>
        <v>#VALUE!</v>
      </c>
      <c r="BG10" t="e">
        <f>AND('Yamazumi Data'!P2,"AAAAAFz7dzo=")</f>
        <v>#VALUE!</v>
      </c>
      <c r="BH10" t="e">
        <f>AND('Yamazumi Data'!Q2,"AAAAAFz7dzs=")</f>
        <v>#VALUE!</v>
      </c>
      <c r="BI10" t="e">
        <f>AND('Yamazumi Data'!R2,"AAAAAFz7dzw=")</f>
        <v>#VALUE!</v>
      </c>
      <c r="BJ10" t="e">
        <f>AND('Yamazumi Data'!S2,"AAAAAFz7dz0=")</f>
        <v>#VALUE!</v>
      </c>
      <c r="BK10" t="e">
        <f>AND('Yamazumi Data'!T2,"AAAAAFz7dz4=")</f>
        <v>#VALUE!</v>
      </c>
      <c r="BL10" t="e">
        <f>AND('Yamazumi Data'!U2,"AAAAAFz7dz8=")</f>
        <v>#VALUE!</v>
      </c>
      <c r="BM10" t="e">
        <f>AND('Yamazumi Data'!V2,"AAAAAFz7d0A=")</f>
        <v>#VALUE!</v>
      </c>
      <c r="BN10" t="e">
        <f>AND('Yamazumi Data'!AK2,"AAAAAFz7d0E=")</f>
        <v>#VALUE!</v>
      </c>
      <c r="BO10">
        <f>IF('Yamazumi Data'!3:3,"AAAAAFz7d0I=",0)</f>
        <v>0</v>
      </c>
      <c r="BP10" t="e">
        <f>AND('Yamazumi Data'!B3,"AAAAAFz7d0M=")</f>
        <v>#VALUE!</v>
      </c>
      <c r="BQ10" t="e">
        <f>AND('Yamazumi Data'!D3,"AAAAAFz7d0Q=")</f>
        <v>#VALUE!</v>
      </c>
      <c r="BR10" t="e">
        <f>AND('Yamazumi Data'!E3,"AAAAAFz7d0U=")</f>
        <v>#VALUE!</v>
      </c>
      <c r="BS10" t="e">
        <f>AND('Yamazumi Data'!F3,"AAAAAFz7d0Y=")</f>
        <v>#VALUE!</v>
      </c>
      <c r="BT10" t="e">
        <f>AND('Yamazumi Data'!G3,"AAAAAFz7d0c=")</f>
        <v>#VALUE!</v>
      </c>
      <c r="BU10" t="e">
        <f>AND('Yamazumi Data'!H3,"AAAAAFz7d0g=")</f>
        <v>#VALUE!</v>
      </c>
      <c r="BV10" t="e">
        <f>AND('Yamazumi Data'!#REF!,"AAAAAFz7d0k=")</f>
        <v>#REF!</v>
      </c>
      <c r="BW10" t="e">
        <f>AND('Yamazumi Data'!J3,"AAAAAFz7d0o=")</f>
        <v>#VALUE!</v>
      </c>
      <c r="BX10" t="e">
        <f>AND('Yamazumi Data'!#REF!,"AAAAAFz7d0s=")</f>
        <v>#REF!</v>
      </c>
      <c r="BY10" t="e">
        <f>AND('Yamazumi Data'!I3,"AAAAAFz7d0w=")</f>
        <v>#VALUE!</v>
      </c>
      <c r="BZ10" t="e">
        <f>AND('Yamazumi Data'!M3,"AAAAAFz7d00=")</f>
        <v>#VALUE!</v>
      </c>
      <c r="CA10" t="e">
        <f>AND('Yamazumi Data'!N3,"AAAAAFz7d04=")</f>
        <v>#VALUE!</v>
      </c>
      <c r="CB10" t="e">
        <f>AND('Yamazumi Data'!K3,"AAAAAFz7d08=")</f>
        <v>#VALUE!</v>
      </c>
      <c r="CC10" t="e">
        <f>AND('Yamazumi Data'!P3,"AAAAAFz7d1A=")</f>
        <v>#VALUE!</v>
      </c>
      <c r="CD10" t="e">
        <f>AND('Yamazumi Data'!Q3,"AAAAAFz7d1E=")</f>
        <v>#VALUE!</v>
      </c>
      <c r="CE10" t="e">
        <f>AND('Yamazumi Data'!R3,"AAAAAFz7d1I=")</f>
        <v>#VALUE!</v>
      </c>
      <c r="CF10" t="e">
        <f>AND('Yamazumi Data'!S3,"AAAAAFz7d1M=")</f>
        <v>#VALUE!</v>
      </c>
      <c r="CG10" t="e">
        <f>AND('Yamazumi Data'!T3,"AAAAAFz7d1Q=")</f>
        <v>#VALUE!</v>
      </c>
      <c r="CH10" t="e">
        <f>AND('Yamazumi Data'!U3,"AAAAAFz7d1U=")</f>
        <v>#VALUE!</v>
      </c>
      <c r="CI10" t="e">
        <f>AND('Yamazumi Data'!V3,"AAAAAFz7d1Y=")</f>
        <v>#VALUE!</v>
      </c>
      <c r="CJ10" t="e">
        <f>AND('Yamazumi Data'!AK3,"AAAAAFz7d1c=")</f>
        <v>#VALUE!</v>
      </c>
      <c r="CK10" t="e">
        <f>AND('Yamazumi Data'!H4,"AAAAAFz7d1g=")</f>
        <v>#VALUE!</v>
      </c>
      <c r="CL10" s="2" t="s">
        <v>43</v>
      </c>
    </row>
    <row r="11" spans="1:256" ht="14.45" x14ac:dyDescent="0.3">
      <c r="A11" t="e">
        <f>AND(#REF!,"AAAAAD/9+QA=")</f>
        <v>#REF!</v>
      </c>
      <c r="B11" t="e">
        <f>IF(#REF!,"AAAAAD/9+QE=",0)</f>
        <v>#REF!</v>
      </c>
      <c r="C11" t="e">
        <f>AND(#REF!,"AAAAAD/9+QI=")</f>
        <v>#REF!</v>
      </c>
      <c r="D11" t="e">
        <f>IF(#REF!,"AAAAAD/9+QM=",0)</f>
        <v>#REF!</v>
      </c>
      <c r="E11" t="e">
        <f>AND(#REF!,"AAAAAD/9+QQ=")</f>
        <v>#REF!</v>
      </c>
      <c r="F11" t="e">
        <f>IF(#REF!,"AAAAAD/9+QU=",0)</f>
        <v>#REF!</v>
      </c>
      <c r="G11" t="e">
        <f>AND(#REF!,"AAAAAD/9+QY=")</f>
        <v>#REF!</v>
      </c>
      <c r="H11" t="e">
        <f>IF(#REF!,"AAAAAD/9+Qc=",0)</f>
        <v>#REF!</v>
      </c>
      <c r="I11" t="e">
        <f>AND(#REF!,"AAAAAD/9+Qg=")</f>
        <v>#REF!</v>
      </c>
      <c r="J11" t="e">
        <f>IF(#REF!,"AAAAAD/9+Qk=",0)</f>
        <v>#REF!</v>
      </c>
      <c r="K11" t="e">
        <f>AND(#REF!,"AAAAAD/9+Qo=")</f>
        <v>#REF!</v>
      </c>
      <c r="L11" t="e">
        <f>IF(#REF!,"AAAAAD/9+Qs=",0)</f>
        <v>#REF!</v>
      </c>
      <c r="M11" t="e">
        <f>AND(#REF!,"AAAAAD/9+Qw=")</f>
        <v>#REF!</v>
      </c>
      <c r="N11" t="e">
        <f>IF(#REF!,"AAAAAD/9+Q0=",0)</f>
        <v>#REF!</v>
      </c>
      <c r="O11" t="e">
        <f>AND(#REF!,"AAAAAD/9+Q4=")</f>
        <v>#REF!</v>
      </c>
      <c r="P11" t="e">
        <f>IF(#REF!,"AAAAAD/9+Q8=",0)</f>
        <v>#REF!</v>
      </c>
      <c r="Q11" t="e">
        <f>AND(#REF!,"AAAAAD/9+RA=")</f>
        <v>#REF!</v>
      </c>
      <c r="R11" t="e">
        <f>IF(#REF!,"AAAAAD/9+RE=",0)</f>
        <v>#REF!</v>
      </c>
      <c r="S11" t="e">
        <f>AND(#REF!,"AAAAAD/9+RI=")</f>
        <v>#REF!</v>
      </c>
      <c r="T11" t="e">
        <f>IF(#REF!,"AAAAAD/9+RM=",0)</f>
        <v>#REF!</v>
      </c>
      <c r="U11" t="e">
        <f>AND(#REF!,"AAAAAD/9+RQ=")</f>
        <v>#REF!</v>
      </c>
      <c r="V11" t="e">
        <f>IF(#REF!,"AAAAAD/9+RU=",0)</f>
        <v>#REF!</v>
      </c>
      <c r="W11" t="e">
        <f>AND(#REF!,"AAAAAD/9+RY=")</f>
        <v>#REF!</v>
      </c>
      <c r="X11" t="e">
        <f>IF(#REF!,"AAAAAD/9+Rc=",0)</f>
        <v>#REF!</v>
      </c>
      <c r="Y11" t="e">
        <f>IF(#REF!,"AAAAAD/9+Rg=",0)</f>
        <v>#REF!</v>
      </c>
      <c r="Z11" t="e">
        <f>IF(#REF!,"AAAAAD/9+Rk=",0)</f>
        <v>#REF!</v>
      </c>
      <c r="AA11" t="e">
        <f>IF(#REF!,"AAAAAD/9+Ro=",0)</f>
        <v>#REF!</v>
      </c>
      <c r="AB11" t="e">
        <f>IF(#REF!,"AAAAAD/9+Rs=",0)</f>
        <v>#REF!</v>
      </c>
      <c r="AC11" t="e">
        <f>IF(#REF!,"AAAAAD/9+Rw=",0)</f>
        <v>#REF!</v>
      </c>
      <c r="AD11" t="e">
        <f>IF(#REF!,"AAAAAD/9+R0=",0)</f>
        <v>#REF!</v>
      </c>
      <c r="AE11" t="e">
        <f>IF(#REF!,"AAAAAD/9+R4=",0)</f>
        <v>#REF!</v>
      </c>
      <c r="AF11" t="e">
        <f>IF(#REF!,"AAAAAD/9+R8=",0)</f>
        <v>#REF!</v>
      </c>
      <c r="AG11" t="e">
        <f>IF(#REF!,"AAAAAD/9+SA=",0)</f>
        <v>#REF!</v>
      </c>
      <c r="AH11" s="3" t="s">
        <v>44</v>
      </c>
    </row>
    <row r="12" spans="1:256" ht="14.45" x14ac:dyDescent="0.3">
      <c r="A12" t="e">
        <f>AND('Yamazumi Data'!O3,"AAAAABfuTwA=")</f>
        <v>#VALUE!</v>
      </c>
      <c r="B12" t="e">
        <f>AND('Yamazumi Data'!O4,"AAAAABfuTwE=")</f>
        <v>#VALUE!</v>
      </c>
    </row>
    <row r="13" spans="1:256" ht="14.45" x14ac:dyDescent="0.3">
      <c r="A13" t="e">
        <f>AND('Yamazumi Data'!#REF!,"AAAAAA7+9QA=")</f>
        <v>#REF!</v>
      </c>
    </row>
    <row r="14" spans="1:256" ht="14.45" x14ac:dyDescent="0.3">
      <c r="A14" t="e">
        <f>AND('Yamazumi Data'!#REF!,"AAAAAFlznwA=")</f>
        <v>#REF!</v>
      </c>
      <c r="B14" t="e">
        <f>AND('Yamazumi Data'!#REF!,"AAAAAFlznwE=")</f>
        <v>#REF!</v>
      </c>
      <c r="C14" t="e">
        <f>AND('Yamazumi Data'!#REF!,"AAAAAFlznwI=")</f>
        <v>#REF!</v>
      </c>
      <c r="D14" t="e">
        <f>AND('Yamazumi Data'!#REF!,"AAAAAFlznwM=")</f>
        <v>#REF!</v>
      </c>
      <c r="E14" t="e">
        <f>AND('Yamazumi Data'!#REF!,"AAAAAFlznwQ=")</f>
        <v>#REF!</v>
      </c>
      <c r="F14" t="e">
        <f>AND('Yamazumi Data'!#REF!,"AAAAAFlznwU=")</f>
        <v>#REF!</v>
      </c>
      <c r="G14" t="e">
        <f>AND('Yamazumi Data'!AL1,"AAAAAFlznwY=")</f>
        <v>#VALUE!</v>
      </c>
      <c r="H14" t="e">
        <f>AND('Yamazumi Data'!#REF!,"AAAAAFlznwc=")</f>
        <v>#REF!</v>
      </c>
      <c r="I14" t="e">
        <f>AND('Yamazumi Data'!#REF!,"AAAAAFlznwg=")</f>
        <v>#REF!</v>
      </c>
      <c r="J14" t="e">
        <f>AND('Yamazumi Data'!#REF!,"AAAAAFlznwk=")</f>
        <v>#REF!</v>
      </c>
      <c r="K14" t="e">
        <f>AND('Yamazumi Data'!AM1,"AAAAAFlznwo=")</f>
        <v>#VALUE!</v>
      </c>
      <c r="L14" t="e">
        <f>AND('Yamazumi Data'!AN1,"AAAAAFlznws=")</f>
        <v>#VALUE!</v>
      </c>
      <c r="M14" t="e">
        <f>AND('Yamazumi Data'!AL2,"AAAAAFlznww=")</f>
        <v>#VALUE!</v>
      </c>
      <c r="N14" t="e">
        <f>AND('Yamazumi Data'!#REF!,"AAAAAFlznw0=")</f>
        <v>#REF!</v>
      </c>
      <c r="O14" t="e">
        <f>AND('Yamazumi Data'!#REF!,"AAAAAFlznw4=")</f>
        <v>#REF!</v>
      </c>
      <c r="P14" t="e">
        <f>AND('Yamazumi Data'!#REF!,"AAAAAFlznw8=")</f>
        <v>#REF!</v>
      </c>
      <c r="Q14" t="e">
        <f>AND('Yamazumi Data'!AM2,"AAAAAFlznxA=")</f>
        <v>#VALUE!</v>
      </c>
      <c r="R14" t="e">
        <f>AND('Yamazumi Data'!AN2,"AAAAAFlznxE=")</f>
        <v>#VALUE!</v>
      </c>
      <c r="S14" t="e">
        <f>AND('Yamazumi Data'!AL3,"AAAAAFlznxI=")</f>
        <v>#VALUE!</v>
      </c>
      <c r="T14" t="e">
        <f>AND('Yamazumi Data'!#REF!,"AAAAAFlznxM=")</f>
        <v>#REF!</v>
      </c>
      <c r="U14" t="e">
        <f>AND('Yamazumi Data'!#REF!,"AAAAAFlznxQ=")</f>
        <v>#REF!</v>
      </c>
      <c r="V14" t="e">
        <f>AND('Yamazumi Data'!#REF!,"AAAAAFlznxU=")</f>
        <v>#REF!</v>
      </c>
      <c r="W14" t="e">
        <f>AND('Yamazumi Data'!AM3,"AAAAAFlznxY=")</f>
        <v>#VALUE!</v>
      </c>
      <c r="X14" t="e">
        <f>AND('Yamazumi Data'!AN3,"AAAAAFlznxc=")</f>
        <v>#VALUE!</v>
      </c>
      <c r="Y14" t="e">
        <f>AND('Yamazumi Data'!AL4,"AAAAAFlznxg=")</f>
        <v>#VALUE!</v>
      </c>
      <c r="Z14" t="e">
        <f>AND('Yamazumi Data'!#REF!,"AAAAAFlznxk=")</f>
        <v>#REF!</v>
      </c>
      <c r="AA14" t="e">
        <f>AND('Yamazumi Data'!#REF!,"AAAAAFlznxo=")</f>
        <v>#REF!</v>
      </c>
      <c r="AB14" t="e">
        <f>AND('Yamazumi Data'!#REF!,"AAAAAFlznxs=")</f>
        <v>#REF!</v>
      </c>
      <c r="AC14" t="e">
        <f>AND('Yamazumi Data'!AM4,"AAAAAFlznxw=")</f>
        <v>#VALUE!</v>
      </c>
      <c r="AD14" t="e">
        <f>AND('Yamazumi Data'!AN4,"AAAAAFlznx0=")</f>
        <v>#VALUE!</v>
      </c>
      <c r="AE14" t="e">
        <f>AND('Yamazumi Data'!AL5,"AAAAAFlznx4=")</f>
        <v>#VALUE!</v>
      </c>
      <c r="AF14" t="e">
        <f>AND('Yamazumi Data'!#REF!,"AAAAAFlznx8=")</f>
        <v>#REF!</v>
      </c>
      <c r="AG14" t="e">
        <f>AND('Yamazumi Data'!#REF!,"AAAAAFlznyA=")</f>
        <v>#REF!</v>
      </c>
      <c r="AH14" t="e">
        <f>AND('Yamazumi Data'!#REF!,"AAAAAFlznyE=")</f>
        <v>#REF!</v>
      </c>
      <c r="AI14" t="e">
        <f>AND('Yamazumi Data'!AM5,"AAAAAFlznyI=")</f>
        <v>#VALUE!</v>
      </c>
      <c r="AJ14" t="e">
        <f>AND('Yamazumi Data'!AN5,"AAAAAFlznyM=")</f>
        <v>#VALUE!</v>
      </c>
      <c r="AK14" t="e">
        <f>AND('Yamazumi Data'!AL6,"AAAAAFlznyQ=")</f>
        <v>#VALUE!</v>
      </c>
      <c r="AL14" t="e">
        <f>AND('Yamazumi Data'!#REF!,"AAAAAFlznyU=")</f>
        <v>#REF!</v>
      </c>
      <c r="AM14" t="e">
        <f>AND('Yamazumi Data'!#REF!,"AAAAAFlznyY=")</f>
        <v>#REF!</v>
      </c>
      <c r="AN14" t="e">
        <f>AND('Yamazumi Data'!#REF!,"AAAAAFlznyc=")</f>
        <v>#REF!</v>
      </c>
      <c r="AO14" t="e">
        <f>AND('Yamazumi Data'!AM6,"AAAAAFlznyg=")</f>
        <v>#VALUE!</v>
      </c>
      <c r="AP14" t="e">
        <f>AND('Yamazumi Data'!#REF!,"AAAAAFlznyk=")</f>
        <v>#REF!</v>
      </c>
      <c r="AQ14" t="e">
        <f>AND('Yamazumi Data'!AL8,"AAAAAFlznyo=")</f>
        <v>#VALUE!</v>
      </c>
      <c r="AR14" t="e">
        <f>AND('Yamazumi Data'!#REF!,"AAAAAFlznys=")</f>
        <v>#REF!</v>
      </c>
      <c r="AS14" t="e">
        <f>AND('Yamazumi Data'!#REF!,"AAAAAFlznyw=")</f>
        <v>#REF!</v>
      </c>
      <c r="AT14" t="e">
        <f>AND('Yamazumi Data'!#REF!,"AAAAAFlzny0=")</f>
        <v>#REF!</v>
      </c>
      <c r="AU14" t="e">
        <f>AND('Yamazumi Data'!AM8,"AAAAAFlzny4=")</f>
        <v>#VALUE!</v>
      </c>
      <c r="AV14" t="e">
        <f>AND('Yamazumi Data'!AN6,"AAAAAFlzny8=")</f>
        <v>#VALUE!</v>
      </c>
      <c r="AW14" t="e">
        <f>AND('Yamazumi Data'!R10,"AAAAAFlznzA=")</f>
        <v>#VALUE!</v>
      </c>
      <c r="AX14" t="e">
        <f>AND('Yamazumi Data'!S10,"AAAAAFlznzE=")</f>
        <v>#VALUE!</v>
      </c>
      <c r="AY14" t="e">
        <f>AND('Yamazumi Data'!T10,"AAAAAFlznzI=")</f>
        <v>#VALUE!</v>
      </c>
      <c r="AZ14" t="e">
        <f>AND('Yamazumi Data'!U10,"AAAAAFlznzM=")</f>
        <v>#VALUE!</v>
      </c>
      <c r="BA14" t="e">
        <f>AND('Yamazumi Data'!V10,"AAAAAFlznzQ=")</f>
        <v>#VALUE!</v>
      </c>
      <c r="BB14" t="e">
        <f>AND('Yamazumi Data'!AK10,"AAAAAFlznzU=")</f>
        <v>#VALUE!</v>
      </c>
      <c r="BC14" t="e">
        <f>AND('Yamazumi Data'!AL10,"AAAAAFlznzY=")</f>
        <v>#VALUE!</v>
      </c>
      <c r="BD14" t="e">
        <f>AND('Yamazumi Data'!#REF!,"AAAAAFlznzc=")</f>
        <v>#REF!</v>
      </c>
      <c r="BE14" t="e">
        <f>AND('Yamazumi Data'!#REF!,"AAAAAFlznzg=")</f>
        <v>#REF!</v>
      </c>
      <c r="BF14" t="e">
        <f>AND('Yamazumi Data'!#REF!,"AAAAAFlznzk=")</f>
        <v>#REF!</v>
      </c>
      <c r="BG14" t="e">
        <f>AND('Yamazumi Data'!AM10,"AAAAAFlznzo=")</f>
        <v>#VALUE!</v>
      </c>
      <c r="BH14" t="e">
        <f>AND('Yamazumi Data'!#REF!,"AAAAAFlznzs=")</f>
        <v>#REF!</v>
      </c>
      <c r="BI14" t="e">
        <f>AND('Yamazumi Data'!R11,"AAAAAFlznzw=")</f>
        <v>#VALUE!</v>
      </c>
      <c r="BJ14" t="e">
        <f>AND('Yamazumi Data'!S11,"AAAAAFlznz0=")</f>
        <v>#VALUE!</v>
      </c>
      <c r="BK14" t="e">
        <f>AND('Yamazumi Data'!T11,"AAAAAFlznz4=")</f>
        <v>#VALUE!</v>
      </c>
      <c r="BL14" t="e">
        <f>AND('Yamazumi Data'!U11,"AAAAAFlznz8=")</f>
        <v>#VALUE!</v>
      </c>
      <c r="BM14" t="e">
        <f>AND('Yamazumi Data'!V11,"AAAAAFlzn0A=")</f>
        <v>#VALUE!</v>
      </c>
      <c r="BN14" t="e">
        <f>AND('Yamazumi Data'!AK11,"AAAAAFlzn0E=")</f>
        <v>#VALUE!</v>
      </c>
      <c r="BO14" t="e">
        <f>AND('Yamazumi Data'!AL11,"AAAAAFlzn0I=")</f>
        <v>#VALUE!</v>
      </c>
      <c r="BP14" t="e">
        <f>AND('Yamazumi Data'!#REF!,"AAAAAFlzn0M=")</f>
        <v>#REF!</v>
      </c>
      <c r="BQ14" t="e">
        <f>AND('Yamazumi Data'!#REF!,"AAAAAFlzn0Q=")</f>
        <v>#REF!</v>
      </c>
      <c r="BR14" t="e">
        <f>AND('Yamazumi Data'!#REF!,"AAAAAFlzn0U=")</f>
        <v>#REF!</v>
      </c>
      <c r="BS14" t="e">
        <f>AND('Yamazumi Data'!AM11,"AAAAAFlzn0Y=")</f>
        <v>#VALUE!</v>
      </c>
      <c r="BT14" t="e">
        <f>AND('Yamazumi Data'!AN10,"AAAAAFlzn0c=")</f>
        <v>#VALUE!</v>
      </c>
      <c r="BU14">
        <f>IF('Yamazumi Data'!AL:AL,"AAAAAFlzn0g=",0)</f>
        <v>0</v>
      </c>
      <c r="BV14" t="e">
        <f>IF('Yamazumi Data'!#REF!,"AAAAAFlzn0k=",0)</f>
        <v>#REF!</v>
      </c>
      <c r="BW14" t="e">
        <f>IF('Yamazumi Data'!#REF!,"AAAAAFlzn0o=",0)</f>
        <v>#REF!</v>
      </c>
      <c r="BX14" t="e">
        <f>IF('Yamazumi Data'!#REF!,"AAAAAFlzn0s=",0)</f>
        <v>#REF!</v>
      </c>
      <c r="BY14">
        <f>IF('Yamazumi Data'!AM:AM,"AAAAAFlzn0w=",0)</f>
        <v>0</v>
      </c>
      <c r="BZ14">
        <f>IF('Yamazumi Data'!AN:AN,"AAAAAFlzn00=",0)</f>
        <v>0</v>
      </c>
    </row>
    <row r="15" spans="1:256" ht="14.45" x14ac:dyDescent="0.3">
      <c r="A15" t="e">
        <f>AND('Yamazumi Data'!L3,"AAAAAHg7/wA=")</f>
        <v>#VALUE!</v>
      </c>
      <c r="B15" t="e">
        <f>AND('Yamazumi Data'!L4,"AAAAAHg7/wE=")</f>
        <v>#VALUE!</v>
      </c>
    </row>
    <row r="16" spans="1:256" ht="14.45" x14ac:dyDescent="0.3">
      <c r="A16" t="e">
        <f>AND('Yamazumi Data'!#REF!,"AAAAADH+bQA=")</f>
        <v>#REF!</v>
      </c>
      <c r="B16" t="e">
        <f>AND('Yamazumi Data'!C1,"AAAAADH+bQE=")</f>
        <v>#VALUE!</v>
      </c>
      <c r="C16" t="e">
        <f>AND('Yamazumi Data'!C2,"AAAAADH+bQI=")</f>
        <v>#VALUE!</v>
      </c>
      <c r="D16" t="e">
        <f>AND('Yamazumi Data'!C3,"AAAAADH+bQM=")</f>
        <v>#VALUE!</v>
      </c>
      <c r="E16" t="e">
        <f>AND('Yamazumi Data'!C4,"AAAAADH+bQQ=")</f>
        <v>#VALUE!</v>
      </c>
      <c r="F16" t="e">
        <f>AND('Yamazumi Data'!B5,"AAAAADH+bQU=")</f>
        <v>#VALUE!</v>
      </c>
      <c r="G16" t="e">
        <f>AND('Yamazumi Data'!C6,"AAAAADH+bQY=")</f>
        <v>#VALUE!</v>
      </c>
      <c r="H16" t="e">
        <f>AND('Yamazumi Data'!C8,"AAAAADH+bQc=")</f>
        <v>#VALUE!</v>
      </c>
      <c r="I16" t="e">
        <f>AND('Yamazumi Data'!B10,"AAAAADH+bQg=")</f>
        <v>#VALUE!</v>
      </c>
      <c r="J16" t="e">
        <f>AND('Yamazumi Data'!B11,"AAAAADH+bQk=")</f>
        <v>#VALUE!</v>
      </c>
      <c r="K16" t="e">
        <f>AND('Yamazumi Data'!B12,"AAAAADH+bQo=")</f>
        <v>#VALUE!</v>
      </c>
      <c r="L16" t="e">
        <f>AND('Yamazumi Data'!B13,"AAAAADH+bQs=")</f>
        <v>#VALUE!</v>
      </c>
      <c r="M16" t="e">
        <f>AND('Yamazumi Data'!B14,"AAAAADH+bQw=")</f>
        <v>#VALUE!</v>
      </c>
      <c r="N16" t="e">
        <f>AND('Yamazumi Data'!B15,"AAAAADH+bQ0=")</f>
        <v>#VALUE!</v>
      </c>
      <c r="O16" t="e">
        <f>AND('Yamazumi Data'!B16,"AAAAADH+bQ4=")</f>
        <v>#VALUE!</v>
      </c>
      <c r="P16" t="e">
        <f>AND('Yamazumi Data'!B17,"AAAAADH+bQ8=")</f>
        <v>#VALUE!</v>
      </c>
      <c r="Q16" t="e">
        <f>AND('Yamazumi Data'!B18,"AAAAADH+bRA=")</f>
        <v>#VALUE!</v>
      </c>
      <c r="R16" t="e">
        <f>AND('Yamazumi Data'!B19,"AAAAADH+bRE=")</f>
        <v>#VALUE!</v>
      </c>
      <c r="S16" t="e">
        <f>AND('Yamazumi Data'!B20,"AAAAADH+bRI=")</f>
        <v>#VALUE!</v>
      </c>
      <c r="T16" t="e">
        <f>AND('Yamazumi Data'!B21,"AAAAADH+bRM=")</f>
        <v>#VALUE!</v>
      </c>
      <c r="U16" t="e">
        <f>AND('Yamazumi Data'!B22,"AAAAADH+bRQ=")</f>
        <v>#VALUE!</v>
      </c>
      <c r="V16" t="e">
        <f>AND('Yamazumi Data'!B23,"AAAAADH+bRU=")</f>
        <v>#VALUE!</v>
      </c>
      <c r="W16" t="e">
        <f>AND('Yamazumi Data'!B24,"AAAAADH+bRY=")</f>
        <v>#VALUE!</v>
      </c>
      <c r="X16" t="e">
        <f>AND('Yamazumi Data'!B25,"AAAAADH+bRc=")</f>
        <v>#VALUE!</v>
      </c>
      <c r="Y16" t="e">
        <f>AND('Yamazumi Data'!B26,"AAAAADH+bRg=")</f>
        <v>#VALUE!</v>
      </c>
      <c r="Z16" t="e">
        <f>AND('Yamazumi Data'!B27,"AAAAADH+bRk=")</f>
        <v>#VALUE!</v>
      </c>
      <c r="AA16" t="e">
        <f>AND('Yamazumi Data'!B28,"AAAAADH+bRo=")</f>
        <v>#VALUE!</v>
      </c>
      <c r="AB16" t="e">
        <f>AND('Yamazumi Data'!B29,"AAAAADH+bRs=")</f>
        <v>#VALUE!</v>
      </c>
      <c r="AC16" t="e">
        <f>AND('Yamazumi Data'!B30,"AAAAADH+bRw=")</f>
        <v>#VALUE!</v>
      </c>
      <c r="AD16" t="e">
        <f>AND('Yamazumi Data'!B31,"AAAAADH+bR0=")</f>
        <v>#VALUE!</v>
      </c>
      <c r="AE16" t="e">
        <f>AND('Yamazumi Data'!B32,"AAAAADH+bR4=")</f>
        <v>#VALUE!</v>
      </c>
      <c r="AF16" t="e">
        <f>AND('Yamazumi Data'!B33,"AAAAADH+bR8=")</f>
        <v>#VALUE!</v>
      </c>
      <c r="AG16" t="e">
        <f>AND('Yamazumi Data'!B34,"AAAAADH+bSA=")</f>
        <v>#VALUE!</v>
      </c>
      <c r="AH16" t="e">
        <f>AND('Yamazumi Data'!B35,"AAAAADH+bSE=")</f>
        <v>#VALUE!</v>
      </c>
      <c r="AI16" t="e">
        <f>AND('Yamazumi Data'!B36,"AAAAADH+bSI=")</f>
        <v>#VALUE!</v>
      </c>
      <c r="AJ16" t="e">
        <f>AND('Yamazumi Data'!B37,"AAAAADH+bSM=")</f>
        <v>#VALUE!</v>
      </c>
      <c r="AK16" t="e">
        <f>AND('Yamazumi Data'!B38,"AAAAADH+bSQ=")</f>
        <v>#VALUE!</v>
      </c>
      <c r="AL16" t="e">
        <f>AND('Yamazumi Data'!B39,"AAAAADH+bSU=")</f>
        <v>#VALUE!</v>
      </c>
      <c r="AM16" t="e">
        <f>AND('Yamazumi Data'!B40,"AAAAADH+bSY=")</f>
        <v>#VALUE!</v>
      </c>
      <c r="AN16" t="e">
        <f>AND('Yamazumi Data'!B41,"AAAAADH+bSc=")</f>
        <v>#VALUE!</v>
      </c>
      <c r="AO16" t="e">
        <f>AND('Yamazumi Data'!B42,"AAAAADH+bSg=")</f>
        <v>#VALUE!</v>
      </c>
      <c r="AP16" t="e">
        <f>AND('Yamazumi Data'!B43,"AAAAADH+bSk=")</f>
        <v>#VALUE!</v>
      </c>
      <c r="AQ16" t="e">
        <f>AND('Yamazumi Data'!B44,"AAAAADH+bSo=")</f>
        <v>#VALUE!</v>
      </c>
      <c r="AR16" t="e">
        <f>AND('Yamazumi Data'!B45,"AAAAADH+bSs=")</f>
        <v>#VALUE!</v>
      </c>
      <c r="AS16" t="e">
        <f>AND('Yamazumi Data'!B46,"AAAAADH+bSw=")</f>
        <v>#VALUE!</v>
      </c>
      <c r="AT16" t="e">
        <f>AND('Yamazumi Data'!B47,"AAAAADH+bS0=")</f>
        <v>#VALUE!</v>
      </c>
      <c r="AU16" t="e">
        <f>AND('Yamazumi Data'!B48,"AAAAADH+bS4=")</f>
        <v>#VALUE!</v>
      </c>
      <c r="AV16" t="e">
        <f>AND('Yamazumi Data'!B49,"AAAAADH+bS8=")</f>
        <v>#VALUE!</v>
      </c>
      <c r="AW16" t="e">
        <f>AND('Yamazumi Data'!B50,"AAAAADH+bTA=")</f>
        <v>#VALUE!</v>
      </c>
      <c r="AX16" t="e">
        <f>AND('Yamazumi Data'!B92,"AAAAADH+bTE=")</f>
        <v>#VALUE!</v>
      </c>
      <c r="AY16" t="e">
        <f>AND('Yamazumi Data'!B93,"AAAAADH+bTI=")</f>
        <v>#VALUE!</v>
      </c>
      <c r="AZ16" t="e">
        <f>AND('Yamazumi Data'!B94,"AAAAADH+bTM=")</f>
        <v>#VALUE!</v>
      </c>
      <c r="BA16" t="e">
        <f>AND('Yamazumi Data'!B95,"AAAAADH+bTQ=")</f>
        <v>#VALUE!</v>
      </c>
      <c r="BB16" t="e">
        <f>AND('Yamazumi Data'!B96,"AAAAADH+bTU=")</f>
        <v>#VALUE!</v>
      </c>
      <c r="BC16" t="e">
        <f>AND('Yamazumi Data'!B97,"AAAAADH+bTY=")</f>
        <v>#VALUE!</v>
      </c>
      <c r="BD16" t="e">
        <f>AND('Yamazumi Data'!B98,"AAAAADH+bTc=")</f>
        <v>#VALUE!</v>
      </c>
      <c r="BE16" t="e">
        <f>AND('Yamazumi Data'!B99,"AAAAADH+bTg=")</f>
        <v>#VALUE!</v>
      </c>
      <c r="BF16" t="e">
        <f>AND('Yamazumi Data'!B100,"AAAAADH+bTk=")</f>
        <v>#VALUE!</v>
      </c>
      <c r="BG16" t="e">
        <f>AND('Yamazumi Data'!B101,"AAAAADH+bTo=")</f>
        <v>#VALUE!</v>
      </c>
      <c r="BH16" t="e">
        <f>AND('Yamazumi Data'!B102,"AAAAADH+bTs=")</f>
        <v>#VALUE!</v>
      </c>
      <c r="BI16" t="e">
        <f>AND('Yamazumi Data'!B103,"AAAAADH+bTw=")</f>
        <v>#VALUE!</v>
      </c>
      <c r="BJ16" t="e">
        <f>AND('Yamazumi Data'!B104,"AAAAADH+bT0=")</f>
        <v>#VALUE!</v>
      </c>
      <c r="BK16" t="e">
        <f>AND('Yamazumi Data'!B106,"AAAAADH+bT4=")</f>
        <v>#VALUE!</v>
      </c>
      <c r="BL16" t="e">
        <f>AND('Yamazumi Data'!B107,"AAAAADH+bT8=")</f>
        <v>#VALUE!</v>
      </c>
      <c r="BM16" t="e">
        <f>AND('Yamazumi Data'!B108,"AAAAADH+bUA=")</f>
        <v>#VALUE!</v>
      </c>
      <c r="BN16" t="e">
        <f>AND('Yamazumi Data'!B109,"AAAAADH+bUE=")</f>
        <v>#VALUE!</v>
      </c>
      <c r="BO16" t="e">
        <f>AND('Yamazumi Data'!B110,"AAAAADH+bUI=")</f>
        <v>#VALUE!</v>
      </c>
      <c r="BP16" t="e">
        <f>AND('Yamazumi Data'!B111,"AAAAADH+bUM=")</f>
        <v>#VALUE!</v>
      </c>
      <c r="BQ16" t="e">
        <f>AND('Yamazumi Data'!#REF!,"AAAAADH+bUQ=")</f>
        <v>#REF!</v>
      </c>
      <c r="BR16" t="e">
        <f>AND('Yamazumi Data'!#REF!,"AAAAADH+bUU=")</f>
        <v>#REF!</v>
      </c>
      <c r="BS16" t="e">
        <f>AND('Yamazumi Data'!#REF!,"AAAAADH+bUY=")</f>
        <v>#REF!</v>
      </c>
      <c r="BT16" t="e">
        <f>AND('Yamazumi Data'!#REF!,"AAAAADH+bUc=")</f>
        <v>#REF!</v>
      </c>
      <c r="BU16" t="e">
        <f>AND('Yamazumi Data'!#REF!,"AAAAADH+bUg=")</f>
        <v>#REF!</v>
      </c>
      <c r="BV16" t="e">
        <f>AND('Yamazumi Data'!#REF!,"AAAAADH+bUk=")</f>
        <v>#REF!</v>
      </c>
      <c r="BW16" t="str">
        <f>IF('Yamazumi Data'!B:B,"AAAAADH+bUo=",0)</f>
        <v>AAAAADH+bUo=</v>
      </c>
      <c r="BX16" t="e">
        <f>IF("N",'Yamazumi Chart'!Print_Area,"AAAAADH+bUs=")</f>
        <v>#VALUE!</v>
      </c>
      <c r="BY16" t="e">
        <f>IF("N",'Yamazumi Data'!Print_Area,"AAAAADH+bUw=")</f>
        <v>#VALUE!</v>
      </c>
    </row>
    <row r="17" spans="1:256" ht="14.45" x14ac:dyDescent="0.3">
      <c r="A17" t="e">
        <f>AND('Yamazumi Data'!#REF!,"AAAAAD+fvwA=")</f>
        <v>#REF!</v>
      </c>
      <c r="B17" t="e">
        <f>AND('Yamazumi Data'!#REF!,"AAAAAD+fvwE=")</f>
        <v>#REF!</v>
      </c>
      <c r="C17" t="e">
        <f>AND('Yamazumi Data'!#REF!,"AAAAAD+fvwI=")</f>
        <v>#REF!</v>
      </c>
      <c r="D17" t="e">
        <f>AND('Yamazumi Data'!#REF!,"AAAAAD+fvwM=")</f>
        <v>#REF!</v>
      </c>
      <c r="E17" t="e">
        <f>AND('Yamazumi Data'!#REF!,"AAAAAD+fvwQ=")</f>
        <v>#REF!</v>
      </c>
      <c r="F17" t="e">
        <f>AND('Yamazumi Data'!#REF!,"AAAAAD+fvwU=")</f>
        <v>#REF!</v>
      </c>
      <c r="G17" t="e">
        <f>AND('Yamazumi Data'!#REF!,"AAAAAD+fvwY=")</f>
        <v>#REF!</v>
      </c>
      <c r="H17" t="e">
        <f>AND('Yamazumi Data'!#REF!,"AAAAAD+fvwc=")</f>
        <v>#REF!</v>
      </c>
      <c r="I17" t="e">
        <f>AND('Yamazumi Data'!#REF!,"AAAAAD+fvwg=")</f>
        <v>#REF!</v>
      </c>
      <c r="J17" t="e">
        <f>AND('Yamazumi Data'!#REF!,"AAAAAD+fvwk=")</f>
        <v>#REF!</v>
      </c>
      <c r="K17" t="e">
        <f>AND('Yamazumi Data'!#REF!,"AAAAAD+fvwo=")</f>
        <v>#REF!</v>
      </c>
      <c r="L17" t="e">
        <f>AND('Yamazumi Data'!#REF!,"AAAAAD+fvws=")</f>
        <v>#REF!</v>
      </c>
      <c r="M17" t="e">
        <f>AND('Yamazumi Data'!#REF!,"AAAAAD+fvww=")</f>
        <v>#REF!</v>
      </c>
      <c r="N17" t="e">
        <f>AND('Yamazumi Data'!#REF!,"AAAAAD+fvw0=")</f>
        <v>#REF!</v>
      </c>
      <c r="O17" t="e">
        <f>AND('Yamazumi Data'!#REF!,"AAAAAD+fvw4=")</f>
        <v>#REF!</v>
      </c>
      <c r="P17" t="e">
        <f>AND('Yamazumi Data'!Q1,"AAAAAD+fvw8=")</f>
        <v>#VALUE!</v>
      </c>
      <c r="Q17" t="e">
        <f>AND('Yamazumi Data'!W1,"AAAAAD+fvxA=")</f>
        <v>#VALUE!</v>
      </c>
      <c r="R17" t="e">
        <f>AND('Yamazumi Data'!X1,"AAAAAD+fvxE=")</f>
        <v>#VALUE!</v>
      </c>
      <c r="S17" t="e">
        <f>AND('Yamazumi Data'!Y1,"AAAAAD+fvxI=")</f>
        <v>#VALUE!</v>
      </c>
      <c r="T17" t="e">
        <f>AND('Yamazumi Data'!Z1,"AAAAAD+fvxM=")</f>
        <v>#VALUE!</v>
      </c>
      <c r="U17" t="e">
        <f>AND('Yamazumi Data'!AA1,"AAAAAD+fvxQ=")</f>
        <v>#VALUE!</v>
      </c>
      <c r="V17" t="e">
        <f>AND('Yamazumi Data'!AB1,"AAAAAD+fvxU=")</f>
        <v>#VALUE!</v>
      </c>
      <c r="W17" t="e">
        <f>AND('Yamazumi Data'!AC1,"AAAAAD+fvxY=")</f>
        <v>#VALUE!</v>
      </c>
      <c r="X17" t="e">
        <f>AND('Yamazumi Data'!AD1,"AAAAAD+fvxc=")</f>
        <v>#VALUE!</v>
      </c>
      <c r="Y17" t="e">
        <f>AND('Yamazumi Data'!AE1,"AAAAAD+fvxg=")</f>
        <v>#VALUE!</v>
      </c>
      <c r="Z17" t="e">
        <f>AND('Yamazumi Data'!AF1,"AAAAAD+fvxk=")</f>
        <v>#VALUE!</v>
      </c>
      <c r="AA17" t="e">
        <f>AND('Yamazumi Data'!AG1,"AAAAAD+fvxo=")</f>
        <v>#VALUE!</v>
      </c>
      <c r="AB17" t="e">
        <f>AND('Yamazumi Data'!AH1,"AAAAAD+fvxs=")</f>
        <v>#VALUE!</v>
      </c>
      <c r="AC17" t="e">
        <f>AND('Yamazumi Data'!AI1,"AAAAAD+fvxw=")</f>
        <v>#VALUE!</v>
      </c>
      <c r="AD17" t="e">
        <f>AND('Yamazumi Data'!AJ1,"AAAAAD+fvx0=")</f>
        <v>#VALUE!</v>
      </c>
      <c r="AE17" t="e">
        <f>AND('Yamazumi Data'!AO1,"AAAAAD+fvx4=")</f>
        <v>#VALUE!</v>
      </c>
      <c r="AF17" t="e">
        <f>AND('Yamazumi Data'!W2,"AAAAAD+fvx8=")</f>
        <v>#VALUE!</v>
      </c>
      <c r="AG17" t="e">
        <f>AND('Yamazumi Data'!X2,"AAAAAD+fvyA=")</f>
        <v>#VALUE!</v>
      </c>
      <c r="AH17" t="e">
        <f>AND('Yamazumi Data'!Y2,"AAAAAD+fvyE=")</f>
        <v>#VALUE!</v>
      </c>
      <c r="AI17" t="e">
        <f>AND('Yamazumi Data'!Z2,"AAAAAD+fvyI=")</f>
        <v>#VALUE!</v>
      </c>
      <c r="AJ17" t="e">
        <f>AND('Yamazumi Data'!AA2,"AAAAAD+fvyM=")</f>
        <v>#VALUE!</v>
      </c>
      <c r="AK17" t="e">
        <f>AND('Yamazumi Data'!AB2,"AAAAAD+fvyQ=")</f>
        <v>#VALUE!</v>
      </c>
      <c r="AL17" t="e">
        <f>AND('Yamazumi Data'!AC2,"AAAAAD+fvyU=")</f>
        <v>#VALUE!</v>
      </c>
      <c r="AM17" t="e">
        <f>AND('Yamazumi Data'!AD2,"AAAAAD+fvyY=")</f>
        <v>#VALUE!</v>
      </c>
      <c r="AN17" t="e">
        <f>AND('Yamazumi Data'!AE2,"AAAAAD+fvyc=")</f>
        <v>#VALUE!</v>
      </c>
      <c r="AO17" t="e">
        <f>AND('Yamazumi Data'!AF2,"AAAAAD+fvyg=")</f>
        <v>#VALUE!</v>
      </c>
      <c r="AP17" t="e">
        <f>AND('Yamazumi Data'!AG2,"AAAAAD+fvyk=")</f>
        <v>#VALUE!</v>
      </c>
      <c r="AQ17" t="e">
        <f>AND('Yamazumi Data'!AH2,"AAAAAD+fvyo=")</f>
        <v>#VALUE!</v>
      </c>
      <c r="AR17" t="e">
        <f>AND('Yamazumi Data'!AI2,"AAAAAD+fvys=")</f>
        <v>#VALUE!</v>
      </c>
      <c r="AS17" t="e">
        <f>AND('Yamazumi Data'!AJ2,"AAAAAD+fvyw=")</f>
        <v>#VALUE!</v>
      </c>
      <c r="AT17" t="e">
        <f>AND('Yamazumi Data'!AO2,"AAAAAD+fvy0=")</f>
        <v>#VALUE!</v>
      </c>
      <c r="AU17" t="e">
        <f>AND('Yamazumi Data'!W3,"AAAAAD+fvy4=")</f>
        <v>#VALUE!</v>
      </c>
      <c r="AV17" t="e">
        <f>AND('Yamazumi Data'!X3,"AAAAAD+fvy8=")</f>
        <v>#VALUE!</v>
      </c>
      <c r="AW17" t="e">
        <f>AND('Yamazumi Data'!Y3,"AAAAAD+fvzA=")</f>
        <v>#VALUE!</v>
      </c>
      <c r="AX17" t="e">
        <f>AND('Yamazumi Data'!Z3,"AAAAAD+fvzE=")</f>
        <v>#VALUE!</v>
      </c>
      <c r="AY17" t="e">
        <f>AND('Yamazumi Data'!AA3,"AAAAAD+fvzI=")</f>
        <v>#VALUE!</v>
      </c>
      <c r="AZ17" t="e">
        <f>AND('Yamazumi Data'!AB3,"AAAAAD+fvzM=")</f>
        <v>#VALUE!</v>
      </c>
      <c r="BA17" t="e">
        <f>AND('Yamazumi Data'!AC3,"AAAAAD+fvzQ=")</f>
        <v>#VALUE!</v>
      </c>
      <c r="BB17" t="e">
        <f>AND('Yamazumi Data'!AD3,"AAAAAD+fvzU=")</f>
        <v>#VALUE!</v>
      </c>
      <c r="BC17" t="e">
        <f>AND('Yamazumi Data'!AE3,"AAAAAD+fvzY=")</f>
        <v>#VALUE!</v>
      </c>
      <c r="BD17" t="e">
        <f>AND('Yamazumi Data'!AF3,"AAAAAD+fvzc=")</f>
        <v>#VALUE!</v>
      </c>
      <c r="BE17" t="e">
        <f>AND('Yamazumi Data'!AG3,"AAAAAD+fvzg=")</f>
        <v>#VALUE!</v>
      </c>
      <c r="BF17" t="e">
        <f>AND('Yamazumi Data'!AH3,"AAAAAD+fvzk=")</f>
        <v>#VALUE!</v>
      </c>
      <c r="BG17" t="e">
        <f>AND('Yamazumi Data'!AI3,"AAAAAD+fvzo=")</f>
        <v>#VALUE!</v>
      </c>
      <c r="BH17" t="e">
        <f>AND('Yamazumi Data'!AJ3,"AAAAAD+fvzs=")</f>
        <v>#VALUE!</v>
      </c>
      <c r="BI17" t="e">
        <f>AND('Yamazumi Data'!AO3,"AAAAAD+fvzw=")</f>
        <v>#VALUE!</v>
      </c>
      <c r="BJ17" t="e">
        <f>AND('Yamazumi Data'!W4,"AAAAAD+fvz0=")</f>
        <v>#VALUE!</v>
      </c>
      <c r="BK17" t="e">
        <f>AND('Yamazumi Data'!X4,"AAAAAD+fvz4=")</f>
        <v>#VALUE!</v>
      </c>
      <c r="BL17" t="e">
        <f>AND('Yamazumi Data'!Y4,"AAAAAD+fvz8=")</f>
        <v>#VALUE!</v>
      </c>
      <c r="BM17" t="e">
        <f>AND('Yamazumi Data'!Z4,"AAAAAD+fv0A=")</f>
        <v>#VALUE!</v>
      </c>
      <c r="BN17" t="e">
        <f>AND('Yamazumi Data'!AA4,"AAAAAD+fv0E=")</f>
        <v>#VALUE!</v>
      </c>
      <c r="BO17" t="e">
        <f>AND('Yamazumi Data'!AB4,"AAAAAD+fv0I=")</f>
        <v>#VALUE!</v>
      </c>
      <c r="BP17" t="e">
        <f>AND('Yamazumi Data'!AC4,"AAAAAD+fv0M=")</f>
        <v>#VALUE!</v>
      </c>
      <c r="BQ17" t="e">
        <f>AND('Yamazumi Data'!AD4,"AAAAAD+fv0Q=")</f>
        <v>#VALUE!</v>
      </c>
      <c r="BR17" t="e">
        <f>AND('Yamazumi Data'!AE4,"AAAAAD+fv0U=")</f>
        <v>#VALUE!</v>
      </c>
      <c r="BS17" t="e">
        <f>AND('Yamazumi Data'!AF4,"AAAAAD+fv0Y=")</f>
        <v>#VALUE!</v>
      </c>
      <c r="BT17" t="e">
        <f>AND('Yamazumi Data'!AG4,"AAAAAD+fv0c=")</f>
        <v>#VALUE!</v>
      </c>
      <c r="BU17" t="e">
        <f>AND('Yamazumi Data'!AH4,"AAAAAD+fv0g=")</f>
        <v>#VALUE!</v>
      </c>
      <c r="BV17" t="e">
        <f>AND('Yamazumi Data'!AI4,"AAAAAD+fv0k=")</f>
        <v>#VALUE!</v>
      </c>
      <c r="BW17" t="e">
        <f>AND('Yamazumi Data'!AJ4,"AAAAAD+fv0o=")</f>
        <v>#VALUE!</v>
      </c>
      <c r="BX17" t="e">
        <f>AND('Yamazumi Data'!AO4,"AAAAAD+fv0s=")</f>
        <v>#VALUE!</v>
      </c>
      <c r="BY17" t="e">
        <f>AND('Yamazumi Data'!W5,"AAAAAD+fv0w=")</f>
        <v>#VALUE!</v>
      </c>
      <c r="BZ17" t="e">
        <f>AND('Yamazumi Data'!X5,"AAAAAD+fv00=")</f>
        <v>#VALUE!</v>
      </c>
      <c r="CA17" t="e">
        <f>AND('Yamazumi Data'!Y5,"AAAAAD+fv04=")</f>
        <v>#VALUE!</v>
      </c>
      <c r="CB17" t="e">
        <f>AND('Yamazumi Data'!Z5,"AAAAAD+fv08=")</f>
        <v>#VALUE!</v>
      </c>
      <c r="CC17" t="e">
        <f>AND('Yamazumi Data'!AA5,"AAAAAD+fv1A=")</f>
        <v>#VALUE!</v>
      </c>
      <c r="CD17" t="e">
        <f>AND('Yamazumi Data'!AB5,"AAAAAD+fv1E=")</f>
        <v>#VALUE!</v>
      </c>
      <c r="CE17" t="e">
        <f>AND('Yamazumi Data'!AC5,"AAAAAD+fv1I=")</f>
        <v>#VALUE!</v>
      </c>
      <c r="CF17" t="e">
        <f>AND('Yamazumi Data'!AD5,"AAAAAD+fv1M=")</f>
        <v>#VALUE!</v>
      </c>
      <c r="CG17" t="e">
        <f>AND('Yamazumi Data'!AE5,"AAAAAD+fv1Q=")</f>
        <v>#VALUE!</v>
      </c>
      <c r="CH17" t="e">
        <f>AND('Yamazumi Data'!AF5,"AAAAAD+fv1U=")</f>
        <v>#VALUE!</v>
      </c>
      <c r="CI17" t="e">
        <f>AND('Yamazumi Data'!AG5,"AAAAAD+fv1Y=")</f>
        <v>#VALUE!</v>
      </c>
      <c r="CJ17" t="e">
        <f>AND('Yamazumi Data'!AH5,"AAAAAD+fv1c=")</f>
        <v>#VALUE!</v>
      </c>
      <c r="CK17" t="e">
        <f>AND('Yamazumi Data'!AI5,"AAAAAD+fv1g=")</f>
        <v>#VALUE!</v>
      </c>
      <c r="CL17" t="e">
        <f>AND('Yamazumi Data'!AJ5,"AAAAAD+fv1k=")</f>
        <v>#VALUE!</v>
      </c>
      <c r="CM17" t="e">
        <f>AND('Yamazumi Data'!AO5,"AAAAAD+fv1o=")</f>
        <v>#VALUE!</v>
      </c>
      <c r="CN17" t="e">
        <f>AND('Yamazumi Data'!W6,"AAAAAD+fv1s=")</f>
        <v>#VALUE!</v>
      </c>
      <c r="CO17" t="e">
        <f>AND('Yamazumi Data'!X6,"AAAAAD+fv1w=")</f>
        <v>#VALUE!</v>
      </c>
      <c r="CP17" t="e">
        <f>AND('Yamazumi Data'!Y6,"AAAAAD+fv10=")</f>
        <v>#VALUE!</v>
      </c>
      <c r="CQ17" t="e">
        <f>AND('Yamazumi Data'!Z6,"AAAAAD+fv14=")</f>
        <v>#VALUE!</v>
      </c>
      <c r="CR17" t="e">
        <f>AND('Yamazumi Data'!AA6,"AAAAAD+fv18=")</f>
        <v>#VALUE!</v>
      </c>
      <c r="CS17" t="e">
        <f>AND('Yamazumi Data'!AB6,"AAAAAD+fv2A=")</f>
        <v>#VALUE!</v>
      </c>
      <c r="CT17" t="e">
        <f>AND('Yamazumi Data'!AC6,"AAAAAD+fv2E=")</f>
        <v>#VALUE!</v>
      </c>
      <c r="CU17" t="e">
        <f>AND('Yamazumi Data'!AD6,"AAAAAD+fv2I=")</f>
        <v>#VALUE!</v>
      </c>
      <c r="CV17" t="e">
        <f>AND('Yamazumi Data'!AE6,"AAAAAD+fv2M=")</f>
        <v>#VALUE!</v>
      </c>
      <c r="CW17" t="e">
        <f>AND('Yamazumi Data'!AF6,"AAAAAD+fv2Q=")</f>
        <v>#VALUE!</v>
      </c>
      <c r="CX17" t="e">
        <f>AND('Yamazumi Data'!AG6,"AAAAAD+fv2U=")</f>
        <v>#VALUE!</v>
      </c>
      <c r="CY17" t="e">
        <f>AND('Yamazumi Data'!AH6,"AAAAAD+fv2Y=")</f>
        <v>#VALUE!</v>
      </c>
      <c r="CZ17" t="e">
        <f>AND('Yamazumi Data'!AI6,"AAAAAD+fv2c=")</f>
        <v>#VALUE!</v>
      </c>
      <c r="DA17" t="e">
        <f>AND('Yamazumi Data'!AJ6,"AAAAAD+fv2g=")</f>
        <v>#VALUE!</v>
      </c>
      <c r="DB17" t="e">
        <f>AND('Yamazumi Data'!AO6,"AAAAAD+fv2k=")</f>
        <v>#VALUE!</v>
      </c>
      <c r="DC17" t="e">
        <f>AND('Yamazumi Data'!W8,"AAAAAD+fv2o=")</f>
        <v>#VALUE!</v>
      </c>
      <c r="DD17" t="e">
        <f>AND('Yamazumi Data'!X8,"AAAAAD+fv2s=")</f>
        <v>#VALUE!</v>
      </c>
      <c r="DE17" t="e">
        <f>AND('Yamazumi Data'!Y8,"AAAAAD+fv2w=")</f>
        <v>#VALUE!</v>
      </c>
      <c r="DF17" t="e">
        <f>AND('Yamazumi Data'!Z8,"AAAAAD+fv20=")</f>
        <v>#VALUE!</v>
      </c>
      <c r="DG17" t="e">
        <f>AND('Yamazumi Data'!AA8,"AAAAAD+fv24=")</f>
        <v>#VALUE!</v>
      </c>
      <c r="DH17" t="e">
        <f>AND('Yamazumi Data'!AB8,"AAAAAD+fv28=")</f>
        <v>#VALUE!</v>
      </c>
      <c r="DI17" t="e">
        <f>AND('Yamazumi Data'!AC8,"AAAAAD+fv3A=")</f>
        <v>#VALUE!</v>
      </c>
      <c r="DJ17" t="e">
        <f>AND('Yamazumi Data'!AD8,"AAAAAD+fv3E=")</f>
        <v>#VALUE!</v>
      </c>
      <c r="DK17" t="e">
        <f>AND('Yamazumi Data'!AE8,"AAAAAD+fv3I=")</f>
        <v>#VALUE!</v>
      </c>
      <c r="DL17" t="e">
        <f>AND('Yamazumi Data'!AF8,"AAAAAD+fv3M=")</f>
        <v>#VALUE!</v>
      </c>
      <c r="DM17" t="e">
        <f>AND('Yamazumi Data'!AG8,"AAAAAD+fv3Q=")</f>
        <v>#VALUE!</v>
      </c>
      <c r="DN17" t="e">
        <f>AND('Yamazumi Data'!AH8,"AAAAAD+fv3U=")</f>
        <v>#VALUE!</v>
      </c>
      <c r="DO17" t="e">
        <f>AND('Yamazumi Data'!AI8,"AAAAAD+fv3Y=")</f>
        <v>#VALUE!</v>
      </c>
      <c r="DP17" t="e">
        <f>AND('Yamazumi Data'!AJ8,"AAAAAD+fv3c=")</f>
        <v>#VALUE!</v>
      </c>
      <c r="DQ17" t="e">
        <f>AND('Yamazumi Data'!AO8,"AAAAAD+fv3g=")</f>
        <v>#VALUE!</v>
      </c>
      <c r="DR17" t="e">
        <f>AND('Yamazumi Data'!W10,"AAAAAD+fv3k=")</f>
        <v>#VALUE!</v>
      </c>
      <c r="DS17" t="e">
        <f>AND('Yamazumi Data'!X10,"AAAAAD+fv3o=")</f>
        <v>#VALUE!</v>
      </c>
      <c r="DT17" t="e">
        <f>AND('Yamazumi Data'!Y10,"AAAAAD+fv3s=")</f>
        <v>#VALUE!</v>
      </c>
      <c r="DU17" t="e">
        <f>AND('Yamazumi Data'!Z10,"AAAAAD+fv3w=")</f>
        <v>#VALUE!</v>
      </c>
      <c r="DV17" t="e">
        <f>AND('Yamazumi Data'!AA10,"AAAAAD+fv30=")</f>
        <v>#VALUE!</v>
      </c>
      <c r="DW17" t="e">
        <f>AND('Yamazumi Data'!AB10,"AAAAAD+fv34=")</f>
        <v>#VALUE!</v>
      </c>
      <c r="DX17" t="e">
        <f>AND('Yamazumi Data'!AC10,"AAAAAD+fv38=")</f>
        <v>#VALUE!</v>
      </c>
      <c r="DY17" t="e">
        <f>AND('Yamazumi Data'!AD10,"AAAAAD+fv4A=")</f>
        <v>#VALUE!</v>
      </c>
      <c r="DZ17" t="e">
        <f>AND('Yamazumi Data'!AE10,"AAAAAD+fv4E=")</f>
        <v>#VALUE!</v>
      </c>
      <c r="EA17" t="e">
        <f>AND('Yamazumi Data'!AF10,"AAAAAD+fv4I=")</f>
        <v>#VALUE!</v>
      </c>
      <c r="EB17" t="e">
        <f>AND('Yamazumi Data'!AG10,"AAAAAD+fv4M=")</f>
        <v>#VALUE!</v>
      </c>
      <c r="EC17" t="e">
        <f>AND('Yamazumi Data'!AH10,"AAAAAD+fv4Q=")</f>
        <v>#VALUE!</v>
      </c>
      <c r="ED17" t="e">
        <f>AND('Yamazumi Data'!AI10,"AAAAAD+fv4U=")</f>
        <v>#VALUE!</v>
      </c>
      <c r="EE17" t="e">
        <f>AND('Yamazumi Data'!AJ10,"AAAAAD+fv4Y=")</f>
        <v>#VALUE!</v>
      </c>
      <c r="EF17" t="e">
        <f>AND('Yamazumi Data'!AO10,"AAAAAD+fv4c=")</f>
        <v>#VALUE!</v>
      </c>
      <c r="EG17" t="e">
        <f>AND('Yamazumi Data'!W11,"AAAAAD+fv4g=")</f>
        <v>#VALUE!</v>
      </c>
      <c r="EH17" t="e">
        <f>AND('Yamazumi Data'!X11,"AAAAAD+fv4k=")</f>
        <v>#VALUE!</v>
      </c>
      <c r="EI17" t="e">
        <f>AND('Yamazumi Data'!Y11,"AAAAAD+fv4o=")</f>
        <v>#VALUE!</v>
      </c>
      <c r="EJ17" t="e">
        <f>AND('Yamazumi Data'!Z11,"AAAAAD+fv4s=")</f>
        <v>#VALUE!</v>
      </c>
      <c r="EK17" t="e">
        <f>AND('Yamazumi Data'!AA11,"AAAAAD+fv4w=")</f>
        <v>#VALUE!</v>
      </c>
      <c r="EL17" t="e">
        <f>AND('Yamazumi Data'!AB11,"AAAAAD+fv40=")</f>
        <v>#VALUE!</v>
      </c>
      <c r="EM17" t="e">
        <f>AND('Yamazumi Data'!AC11,"AAAAAD+fv44=")</f>
        <v>#VALUE!</v>
      </c>
      <c r="EN17" t="e">
        <f>AND('Yamazumi Data'!AD11,"AAAAAD+fv48=")</f>
        <v>#VALUE!</v>
      </c>
      <c r="EO17" t="e">
        <f>AND('Yamazumi Data'!AE11,"AAAAAD+fv5A=")</f>
        <v>#VALUE!</v>
      </c>
      <c r="EP17" t="e">
        <f>AND('Yamazumi Data'!AF11,"AAAAAD+fv5E=")</f>
        <v>#VALUE!</v>
      </c>
      <c r="EQ17" t="e">
        <f>AND('Yamazumi Data'!AG11,"AAAAAD+fv5I=")</f>
        <v>#VALUE!</v>
      </c>
      <c r="ER17" t="e">
        <f>AND('Yamazumi Data'!AH11,"AAAAAD+fv5M=")</f>
        <v>#VALUE!</v>
      </c>
      <c r="ES17" t="e">
        <f>AND('Yamazumi Data'!AI11,"AAAAAD+fv5Q=")</f>
        <v>#VALUE!</v>
      </c>
      <c r="ET17" t="e">
        <f>AND('Yamazumi Data'!AJ11,"AAAAAD+fv5U=")</f>
        <v>#VALUE!</v>
      </c>
      <c r="EU17" t="e">
        <f>AND('Yamazumi Data'!AN11,"AAAAAD+fv5Y=")</f>
        <v>#VALUE!</v>
      </c>
      <c r="EV17" t="e">
        <f>AND('Yamazumi Data'!AO11,"AAAAAD+fv5c=")</f>
        <v>#VALUE!</v>
      </c>
      <c r="EW17" t="e">
        <f>AND('Yamazumi Data'!R12,"AAAAAD+fv5g=")</f>
        <v>#VALUE!</v>
      </c>
      <c r="EX17" t="e">
        <f>AND('Yamazumi Data'!S12,"AAAAAD+fv5k=")</f>
        <v>#VALUE!</v>
      </c>
      <c r="EY17" t="e">
        <f>AND('Yamazumi Data'!T12,"AAAAAD+fv5o=")</f>
        <v>#VALUE!</v>
      </c>
      <c r="EZ17" t="e">
        <f>AND('Yamazumi Data'!U12,"AAAAAD+fv5s=")</f>
        <v>#VALUE!</v>
      </c>
      <c r="FA17" t="e">
        <f>AND('Yamazumi Data'!V12,"AAAAAD+fv5w=")</f>
        <v>#VALUE!</v>
      </c>
      <c r="FB17" t="e">
        <f>AND('Yamazumi Data'!W12,"AAAAAD+fv50=")</f>
        <v>#VALUE!</v>
      </c>
      <c r="FC17" t="e">
        <f>AND('Yamazumi Data'!X12,"AAAAAD+fv54=")</f>
        <v>#VALUE!</v>
      </c>
      <c r="FD17" t="e">
        <f>AND('Yamazumi Data'!Y12,"AAAAAD+fv58=")</f>
        <v>#VALUE!</v>
      </c>
      <c r="FE17" t="e">
        <f>AND('Yamazumi Data'!Z12,"AAAAAD+fv6A=")</f>
        <v>#VALUE!</v>
      </c>
      <c r="FF17" t="e">
        <f>AND('Yamazumi Data'!AA12,"AAAAAD+fv6E=")</f>
        <v>#VALUE!</v>
      </c>
      <c r="FG17" t="e">
        <f>AND('Yamazumi Data'!AB12,"AAAAAD+fv6I=")</f>
        <v>#VALUE!</v>
      </c>
      <c r="FH17" t="e">
        <f>AND('Yamazumi Data'!AC12,"AAAAAD+fv6M=")</f>
        <v>#VALUE!</v>
      </c>
      <c r="FI17" t="e">
        <f>AND('Yamazumi Data'!AD12,"AAAAAD+fv6Q=")</f>
        <v>#VALUE!</v>
      </c>
      <c r="FJ17" t="e">
        <f>AND('Yamazumi Data'!AE12,"AAAAAD+fv6U=")</f>
        <v>#VALUE!</v>
      </c>
      <c r="FK17" t="e">
        <f>AND('Yamazumi Data'!AF12,"AAAAAD+fv6Y=")</f>
        <v>#VALUE!</v>
      </c>
      <c r="FL17" t="e">
        <f>AND('Yamazumi Data'!AG12,"AAAAAD+fv6c=")</f>
        <v>#VALUE!</v>
      </c>
      <c r="FM17" t="e">
        <f>AND('Yamazumi Data'!AH12,"AAAAAD+fv6g=")</f>
        <v>#VALUE!</v>
      </c>
      <c r="FN17" t="e">
        <f>AND('Yamazumi Data'!AI12,"AAAAAD+fv6k=")</f>
        <v>#VALUE!</v>
      </c>
      <c r="FO17" t="e">
        <f>AND('Yamazumi Data'!AJ12,"AAAAAD+fv6o=")</f>
        <v>#VALUE!</v>
      </c>
      <c r="FP17" t="e">
        <f>AND('Yamazumi Data'!AK12,"AAAAAD+fv6s=")</f>
        <v>#VALUE!</v>
      </c>
      <c r="FQ17" t="e">
        <f>AND('Yamazumi Data'!AL12,"AAAAAD+fv6w=")</f>
        <v>#VALUE!</v>
      </c>
      <c r="FR17" t="e">
        <f>AND('Yamazumi Data'!AM12,"AAAAAD+fv60=")</f>
        <v>#VALUE!</v>
      </c>
      <c r="FS17" t="e">
        <f>AND('Yamazumi Data'!AN12,"AAAAAD+fv64=")</f>
        <v>#VALUE!</v>
      </c>
      <c r="FT17" t="e">
        <f>AND('Yamazumi Data'!AO12,"AAAAAD+fv68=")</f>
        <v>#VALUE!</v>
      </c>
      <c r="FU17" t="e">
        <f>AND('Yamazumi Data'!R13,"AAAAAD+fv7A=")</f>
        <v>#VALUE!</v>
      </c>
      <c r="FV17" t="e">
        <f>AND('Yamazumi Data'!S13,"AAAAAD+fv7E=")</f>
        <v>#VALUE!</v>
      </c>
      <c r="FW17" t="e">
        <f>AND('Yamazumi Data'!T13,"AAAAAD+fv7I=")</f>
        <v>#VALUE!</v>
      </c>
      <c r="FX17" t="e">
        <f>AND('Yamazumi Data'!U13,"AAAAAD+fv7M=")</f>
        <v>#VALUE!</v>
      </c>
      <c r="FY17" t="e">
        <f>AND('Yamazumi Data'!V13,"AAAAAD+fv7Q=")</f>
        <v>#VALUE!</v>
      </c>
      <c r="FZ17" t="e">
        <f>AND('Yamazumi Data'!W13,"AAAAAD+fv7U=")</f>
        <v>#VALUE!</v>
      </c>
      <c r="GA17" t="e">
        <f>AND('Yamazumi Data'!X13,"AAAAAD+fv7Y=")</f>
        <v>#VALUE!</v>
      </c>
      <c r="GB17" t="e">
        <f>AND('Yamazumi Data'!Y13,"AAAAAD+fv7c=")</f>
        <v>#VALUE!</v>
      </c>
      <c r="GC17" t="e">
        <f>AND('Yamazumi Data'!Z13,"AAAAAD+fv7g=")</f>
        <v>#VALUE!</v>
      </c>
      <c r="GD17" t="e">
        <f>AND('Yamazumi Data'!AA13,"AAAAAD+fv7k=")</f>
        <v>#VALUE!</v>
      </c>
      <c r="GE17" t="e">
        <f>AND('Yamazumi Data'!AB13,"AAAAAD+fv7o=")</f>
        <v>#VALUE!</v>
      </c>
      <c r="GF17" t="e">
        <f>AND('Yamazumi Data'!AC13,"AAAAAD+fv7s=")</f>
        <v>#VALUE!</v>
      </c>
      <c r="GG17" t="e">
        <f>AND('Yamazumi Data'!AD13,"AAAAAD+fv7w=")</f>
        <v>#VALUE!</v>
      </c>
      <c r="GH17" t="e">
        <f>AND('Yamazumi Data'!AE13,"AAAAAD+fv70=")</f>
        <v>#VALUE!</v>
      </c>
      <c r="GI17" t="e">
        <f>AND('Yamazumi Data'!AF13,"AAAAAD+fv74=")</f>
        <v>#VALUE!</v>
      </c>
      <c r="GJ17" t="e">
        <f>AND('Yamazumi Data'!AG13,"AAAAAD+fv78=")</f>
        <v>#VALUE!</v>
      </c>
      <c r="GK17" t="e">
        <f>AND('Yamazumi Data'!AH13,"AAAAAD+fv8A=")</f>
        <v>#VALUE!</v>
      </c>
      <c r="GL17" t="e">
        <f>AND('Yamazumi Data'!AI13,"AAAAAD+fv8E=")</f>
        <v>#VALUE!</v>
      </c>
      <c r="GM17" t="e">
        <f>AND('Yamazumi Data'!AJ13,"AAAAAD+fv8I=")</f>
        <v>#VALUE!</v>
      </c>
      <c r="GN17" t="e">
        <f>AND('Yamazumi Data'!AK13,"AAAAAD+fv8M=")</f>
        <v>#VALUE!</v>
      </c>
      <c r="GO17" t="e">
        <f>AND('Yamazumi Data'!AL13,"AAAAAD+fv8Q=")</f>
        <v>#VALUE!</v>
      </c>
      <c r="GP17" t="e">
        <f>AND('Yamazumi Data'!AM13,"AAAAAD+fv8U=")</f>
        <v>#VALUE!</v>
      </c>
      <c r="GQ17" t="e">
        <f>AND('Yamazumi Data'!AN13,"AAAAAD+fv8Y=")</f>
        <v>#VALUE!</v>
      </c>
      <c r="GR17" t="e">
        <f>AND('Yamazumi Data'!AO13,"AAAAAD+fv8c=")</f>
        <v>#VALUE!</v>
      </c>
      <c r="GS17" t="e">
        <f>AND('Yamazumi Data'!R14,"AAAAAD+fv8g=")</f>
        <v>#VALUE!</v>
      </c>
      <c r="GT17" t="e">
        <f>AND('Yamazumi Data'!S14,"AAAAAD+fv8k=")</f>
        <v>#VALUE!</v>
      </c>
      <c r="GU17" t="e">
        <f>AND('Yamazumi Data'!T14,"AAAAAD+fv8o=")</f>
        <v>#VALUE!</v>
      </c>
      <c r="GV17" t="e">
        <f>AND('Yamazumi Data'!U14,"AAAAAD+fv8s=")</f>
        <v>#VALUE!</v>
      </c>
      <c r="GW17" t="e">
        <f>AND('Yamazumi Data'!V14,"AAAAAD+fv8w=")</f>
        <v>#VALUE!</v>
      </c>
      <c r="GX17" t="e">
        <f>AND('Yamazumi Data'!W14,"AAAAAD+fv80=")</f>
        <v>#VALUE!</v>
      </c>
      <c r="GY17" t="e">
        <f>AND('Yamazumi Data'!X14,"AAAAAD+fv84=")</f>
        <v>#VALUE!</v>
      </c>
      <c r="GZ17" t="e">
        <f>AND('Yamazumi Data'!Y14,"AAAAAD+fv88=")</f>
        <v>#VALUE!</v>
      </c>
      <c r="HA17" t="e">
        <f>AND('Yamazumi Data'!Z14,"AAAAAD+fv9A=")</f>
        <v>#VALUE!</v>
      </c>
      <c r="HB17" t="e">
        <f>AND('Yamazumi Data'!AA14,"AAAAAD+fv9E=")</f>
        <v>#VALUE!</v>
      </c>
      <c r="HC17" t="e">
        <f>AND('Yamazumi Data'!AB14,"AAAAAD+fv9I=")</f>
        <v>#VALUE!</v>
      </c>
      <c r="HD17" t="e">
        <f>AND('Yamazumi Data'!AC14,"AAAAAD+fv9M=")</f>
        <v>#VALUE!</v>
      </c>
      <c r="HE17" t="e">
        <f>AND('Yamazumi Data'!AD14,"AAAAAD+fv9Q=")</f>
        <v>#VALUE!</v>
      </c>
      <c r="HF17" t="e">
        <f>AND('Yamazumi Data'!AE14,"AAAAAD+fv9U=")</f>
        <v>#VALUE!</v>
      </c>
      <c r="HG17" t="e">
        <f>AND('Yamazumi Data'!AF14,"AAAAAD+fv9Y=")</f>
        <v>#VALUE!</v>
      </c>
      <c r="HH17" t="e">
        <f>AND('Yamazumi Data'!AG14,"AAAAAD+fv9c=")</f>
        <v>#VALUE!</v>
      </c>
      <c r="HI17" t="e">
        <f>AND('Yamazumi Data'!AH14,"AAAAAD+fv9g=")</f>
        <v>#VALUE!</v>
      </c>
      <c r="HJ17" t="e">
        <f>AND('Yamazumi Data'!AI14,"AAAAAD+fv9k=")</f>
        <v>#VALUE!</v>
      </c>
      <c r="HK17" t="e">
        <f>AND('Yamazumi Data'!AJ14,"AAAAAD+fv9o=")</f>
        <v>#VALUE!</v>
      </c>
      <c r="HL17" t="e">
        <f>AND('Yamazumi Data'!AK14,"AAAAAD+fv9s=")</f>
        <v>#VALUE!</v>
      </c>
      <c r="HM17" t="e">
        <f>AND('Yamazumi Data'!AL14,"AAAAAD+fv9w=")</f>
        <v>#VALUE!</v>
      </c>
      <c r="HN17" t="e">
        <f>AND('Yamazumi Data'!AM14,"AAAAAD+fv90=")</f>
        <v>#VALUE!</v>
      </c>
      <c r="HO17" t="e">
        <f>AND('Yamazumi Data'!AN14,"AAAAAD+fv94=")</f>
        <v>#VALUE!</v>
      </c>
      <c r="HP17" t="e">
        <f>AND('Yamazumi Data'!AO14,"AAAAAD+fv98=")</f>
        <v>#VALUE!</v>
      </c>
      <c r="HQ17" t="e">
        <f>AND('Yamazumi Data'!R15,"AAAAAD+fv+A=")</f>
        <v>#VALUE!</v>
      </c>
      <c r="HR17" t="e">
        <f>AND('Yamazumi Data'!S15,"AAAAAD+fv+E=")</f>
        <v>#VALUE!</v>
      </c>
      <c r="HS17" t="e">
        <f>AND('Yamazumi Data'!T15,"AAAAAD+fv+I=")</f>
        <v>#VALUE!</v>
      </c>
      <c r="HT17" t="e">
        <f>AND('Yamazumi Data'!U15,"AAAAAD+fv+M=")</f>
        <v>#VALUE!</v>
      </c>
      <c r="HU17" t="e">
        <f>AND('Yamazumi Data'!V15,"AAAAAD+fv+Q=")</f>
        <v>#VALUE!</v>
      </c>
      <c r="HV17" t="e">
        <f>AND('Yamazumi Data'!W15,"AAAAAD+fv+U=")</f>
        <v>#VALUE!</v>
      </c>
      <c r="HW17" t="e">
        <f>AND('Yamazumi Data'!X15,"AAAAAD+fv+Y=")</f>
        <v>#VALUE!</v>
      </c>
      <c r="HX17" t="e">
        <f>AND('Yamazumi Data'!Y15,"AAAAAD+fv+c=")</f>
        <v>#VALUE!</v>
      </c>
      <c r="HY17" t="e">
        <f>AND('Yamazumi Data'!Z15,"AAAAAD+fv+g=")</f>
        <v>#VALUE!</v>
      </c>
      <c r="HZ17" t="e">
        <f>AND('Yamazumi Data'!AA15,"AAAAAD+fv+k=")</f>
        <v>#VALUE!</v>
      </c>
      <c r="IA17" t="e">
        <f>AND('Yamazumi Data'!AB15,"AAAAAD+fv+o=")</f>
        <v>#VALUE!</v>
      </c>
      <c r="IB17" t="e">
        <f>AND('Yamazumi Data'!AC15,"AAAAAD+fv+s=")</f>
        <v>#VALUE!</v>
      </c>
      <c r="IC17" t="e">
        <f>AND('Yamazumi Data'!AD15,"AAAAAD+fv+w=")</f>
        <v>#VALUE!</v>
      </c>
      <c r="ID17" t="e">
        <f>AND('Yamazumi Data'!AE15,"AAAAAD+fv+0=")</f>
        <v>#VALUE!</v>
      </c>
      <c r="IE17" t="e">
        <f>AND('Yamazumi Data'!AF15,"AAAAAD+fv+4=")</f>
        <v>#VALUE!</v>
      </c>
      <c r="IF17" t="e">
        <f>AND('Yamazumi Data'!AG15,"AAAAAD+fv+8=")</f>
        <v>#VALUE!</v>
      </c>
      <c r="IG17" t="e">
        <f>AND('Yamazumi Data'!AH15,"AAAAAD+fv/A=")</f>
        <v>#VALUE!</v>
      </c>
      <c r="IH17" t="e">
        <f>AND('Yamazumi Data'!AI15,"AAAAAD+fv/E=")</f>
        <v>#VALUE!</v>
      </c>
      <c r="II17" t="e">
        <f>AND('Yamazumi Data'!AJ15,"AAAAAD+fv/I=")</f>
        <v>#VALUE!</v>
      </c>
      <c r="IJ17" t="e">
        <f>AND('Yamazumi Data'!AK15,"AAAAAD+fv/M=")</f>
        <v>#VALUE!</v>
      </c>
      <c r="IK17" t="e">
        <f>AND('Yamazumi Data'!AL15,"AAAAAD+fv/Q=")</f>
        <v>#VALUE!</v>
      </c>
      <c r="IL17" t="e">
        <f>AND('Yamazumi Data'!AM15,"AAAAAD+fv/U=")</f>
        <v>#VALUE!</v>
      </c>
      <c r="IM17" t="e">
        <f>AND('Yamazumi Data'!AN15,"AAAAAD+fv/Y=")</f>
        <v>#VALUE!</v>
      </c>
      <c r="IN17" t="e">
        <f>AND('Yamazumi Data'!AO15,"AAAAAD+fv/c=")</f>
        <v>#VALUE!</v>
      </c>
      <c r="IO17" t="e">
        <f>AND('Yamazumi Data'!R16,"AAAAAD+fv/g=")</f>
        <v>#VALUE!</v>
      </c>
      <c r="IP17" t="e">
        <f>AND('Yamazumi Data'!S16,"AAAAAD+fv/k=")</f>
        <v>#VALUE!</v>
      </c>
      <c r="IQ17" t="e">
        <f>AND('Yamazumi Data'!T16,"AAAAAD+fv/o=")</f>
        <v>#VALUE!</v>
      </c>
      <c r="IR17" t="e">
        <f>AND('Yamazumi Data'!U16,"AAAAAD+fv/s=")</f>
        <v>#VALUE!</v>
      </c>
      <c r="IS17" t="e">
        <f>AND('Yamazumi Data'!V16,"AAAAAD+fv/w=")</f>
        <v>#VALUE!</v>
      </c>
      <c r="IT17" t="e">
        <f>AND('Yamazumi Data'!W16,"AAAAAD+fv/0=")</f>
        <v>#VALUE!</v>
      </c>
      <c r="IU17" t="e">
        <f>AND('Yamazumi Data'!X16,"AAAAAD+fv/4=")</f>
        <v>#VALUE!</v>
      </c>
      <c r="IV17" t="e">
        <f>AND('Yamazumi Data'!Y16,"AAAAAD+fv/8=")</f>
        <v>#VALUE!</v>
      </c>
    </row>
    <row r="18" spans="1:256" ht="14.45" x14ac:dyDescent="0.3">
      <c r="A18" t="e">
        <f>AND('Yamazumi Data'!Z16,"AAAAAF/9PwA=")</f>
        <v>#VALUE!</v>
      </c>
      <c r="B18" t="e">
        <f>AND('Yamazumi Data'!AA16,"AAAAAF/9PwE=")</f>
        <v>#VALUE!</v>
      </c>
      <c r="C18" t="e">
        <f>AND('Yamazumi Data'!AB16,"AAAAAF/9PwI=")</f>
        <v>#VALUE!</v>
      </c>
      <c r="D18" t="e">
        <f>AND('Yamazumi Data'!AC16,"AAAAAF/9PwM=")</f>
        <v>#VALUE!</v>
      </c>
      <c r="E18" t="e">
        <f>AND('Yamazumi Data'!AD16,"AAAAAF/9PwQ=")</f>
        <v>#VALUE!</v>
      </c>
      <c r="F18" t="e">
        <f>AND('Yamazumi Data'!AE16,"AAAAAF/9PwU=")</f>
        <v>#VALUE!</v>
      </c>
      <c r="G18" t="e">
        <f>AND('Yamazumi Data'!AF16,"AAAAAF/9PwY=")</f>
        <v>#VALUE!</v>
      </c>
      <c r="H18" t="e">
        <f>AND('Yamazumi Data'!AG16,"AAAAAF/9Pwc=")</f>
        <v>#VALUE!</v>
      </c>
      <c r="I18" t="e">
        <f>AND('Yamazumi Data'!AH16,"AAAAAF/9Pwg=")</f>
        <v>#VALUE!</v>
      </c>
      <c r="J18" t="e">
        <f>AND('Yamazumi Data'!AI16,"AAAAAF/9Pwk=")</f>
        <v>#VALUE!</v>
      </c>
      <c r="K18" t="e">
        <f>AND('Yamazumi Data'!AJ16,"AAAAAF/9Pwo=")</f>
        <v>#VALUE!</v>
      </c>
      <c r="L18" t="e">
        <f>AND('Yamazumi Data'!AK16,"AAAAAF/9Pws=")</f>
        <v>#VALUE!</v>
      </c>
      <c r="M18" t="e">
        <f>AND('Yamazumi Data'!AL16,"AAAAAF/9Pww=")</f>
        <v>#VALUE!</v>
      </c>
      <c r="N18" t="e">
        <f>AND('Yamazumi Data'!AM16,"AAAAAF/9Pw0=")</f>
        <v>#VALUE!</v>
      </c>
      <c r="O18" t="e">
        <f>AND('Yamazumi Data'!AN16,"AAAAAF/9Pw4=")</f>
        <v>#VALUE!</v>
      </c>
      <c r="P18" t="e">
        <f>AND('Yamazumi Data'!AO16,"AAAAAF/9Pw8=")</f>
        <v>#VALUE!</v>
      </c>
      <c r="Q18" t="e">
        <f>AND('Yamazumi Data'!R17,"AAAAAF/9PxA=")</f>
        <v>#VALUE!</v>
      </c>
      <c r="R18" t="e">
        <f>AND('Yamazumi Data'!S17,"AAAAAF/9PxE=")</f>
        <v>#VALUE!</v>
      </c>
      <c r="S18" t="e">
        <f>AND('Yamazumi Data'!T17,"AAAAAF/9PxI=")</f>
        <v>#VALUE!</v>
      </c>
      <c r="T18" t="e">
        <f>AND('Yamazumi Data'!U17,"AAAAAF/9PxM=")</f>
        <v>#VALUE!</v>
      </c>
      <c r="U18" t="e">
        <f>AND('Yamazumi Data'!V17,"AAAAAF/9PxQ=")</f>
        <v>#VALUE!</v>
      </c>
      <c r="V18" t="e">
        <f>AND('Yamazumi Data'!W17,"AAAAAF/9PxU=")</f>
        <v>#VALUE!</v>
      </c>
      <c r="W18" t="e">
        <f>AND('Yamazumi Data'!X17,"AAAAAF/9PxY=")</f>
        <v>#VALUE!</v>
      </c>
      <c r="X18" t="e">
        <f>AND('Yamazumi Data'!Y17,"AAAAAF/9Pxc=")</f>
        <v>#VALUE!</v>
      </c>
      <c r="Y18" t="e">
        <f>AND('Yamazumi Data'!Z17,"AAAAAF/9Pxg=")</f>
        <v>#VALUE!</v>
      </c>
      <c r="Z18" t="e">
        <f>AND('Yamazumi Data'!AA17,"AAAAAF/9Pxk=")</f>
        <v>#VALUE!</v>
      </c>
      <c r="AA18" t="e">
        <f>AND('Yamazumi Data'!AB17,"AAAAAF/9Pxo=")</f>
        <v>#VALUE!</v>
      </c>
      <c r="AB18" t="e">
        <f>AND('Yamazumi Data'!AC17,"AAAAAF/9Pxs=")</f>
        <v>#VALUE!</v>
      </c>
      <c r="AC18" t="e">
        <f>AND('Yamazumi Data'!AD17,"AAAAAF/9Pxw=")</f>
        <v>#VALUE!</v>
      </c>
      <c r="AD18" t="e">
        <f>AND('Yamazumi Data'!AE17,"AAAAAF/9Px0=")</f>
        <v>#VALUE!</v>
      </c>
      <c r="AE18" t="e">
        <f>AND('Yamazumi Data'!AF17,"AAAAAF/9Px4=")</f>
        <v>#VALUE!</v>
      </c>
      <c r="AF18" t="e">
        <f>AND('Yamazumi Data'!AG17,"AAAAAF/9Px8=")</f>
        <v>#VALUE!</v>
      </c>
      <c r="AG18" t="e">
        <f>AND('Yamazumi Data'!AH17,"AAAAAF/9PyA=")</f>
        <v>#VALUE!</v>
      </c>
      <c r="AH18" t="e">
        <f>AND('Yamazumi Data'!AI17,"AAAAAF/9PyE=")</f>
        <v>#VALUE!</v>
      </c>
      <c r="AI18" t="e">
        <f>AND('Yamazumi Data'!AJ17,"AAAAAF/9PyI=")</f>
        <v>#VALUE!</v>
      </c>
      <c r="AJ18" t="e">
        <f>AND('Yamazumi Data'!AK17,"AAAAAF/9PyM=")</f>
        <v>#VALUE!</v>
      </c>
      <c r="AK18" t="e">
        <f>AND('Yamazumi Data'!AL17,"AAAAAF/9PyQ=")</f>
        <v>#VALUE!</v>
      </c>
      <c r="AL18" t="e">
        <f>AND('Yamazumi Data'!AM17,"AAAAAF/9PyU=")</f>
        <v>#VALUE!</v>
      </c>
      <c r="AM18" t="e">
        <f>AND('Yamazumi Data'!AN17,"AAAAAF/9PyY=")</f>
        <v>#VALUE!</v>
      </c>
      <c r="AN18" t="e">
        <f>AND('Yamazumi Data'!AO17,"AAAAAF/9Pyc=")</f>
        <v>#VALUE!</v>
      </c>
      <c r="AO18" t="e">
        <f>AND('Yamazumi Data'!R18,"AAAAAF/9Pyg=")</f>
        <v>#VALUE!</v>
      </c>
      <c r="AP18" t="e">
        <f>AND('Yamazumi Data'!S18,"AAAAAF/9Pyk=")</f>
        <v>#VALUE!</v>
      </c>
      <c r="AQ18" t="e">
        <f>AND('Yamazumi Data'!T18,"AAAAAF/9Pyo=")</f>
        <v>#VALUE!</v>
      </c>
      <c r="AR18" t="e">
        <f>AND('Yamazumi Data'!U18,"AAAAAF/9Pys=")</f>
        <v>#VALUE!</v>
      </c>
      <c r="AS18" t="e">
        <f>AND('Yamazumi Data'!V18,"AAAAAF/9Pyw=")</f>
        <v>#VALUE!</v>
      </c>
      <c r="AT18" t="e">
        <f>AND('Yamazumi Data'!W18,"AAAAAF/9Py0=")</f>
        <v>#VALUE!</v>
      </c>
      <c r="AU18" t="e">
        <f>AND('Yamazumi Data'!X18,"AAAAAF/9Py4=")</f>
        <v>#VALUE!</v>
      </c>
      <c r="AV18" t="e">
        <f>AND('Yamazumi Data'!Y18,"AAAAAF/9Py8=")</f>
        <v>#VALUE!</v>
      </c>
      <c r="AW18" t="e">
        <f>AND('Yamazumi Data'!Z18,"AAAAAF/9PzA=")</f>
        <v>#VALUE!</v>
      </c>
      <c r="AX18" t="e">
        <f>AND('Yamazumi Data'!AA18,"AAAAAF/9PzE=")</f>
        <v>#VALUE!</v>
      </c>
      <c r="AY18" t="e">
        <f>AND('Yamazumi Data'!AB18,"AAAAAF/9PzI=")</f>
        <v>#VALUE!</v>
      </c>
      <c r="AZ18" t="e">
        <f>AND('Yamazumi Data'!AC18,"AAAAAF/9PzM=")</f>
        <v>#VALUE!</v>
      </c>
      <c r="BA18" t="e">
        <f>AND('Yamazumi Data'!AD18,"AAAAAF/9PzQ=")</f>
        <v>#VALUE!</v>
      </c>
      <c r="BB18" t="e">
        <f>AND('Yamazumi Data'!AE18,"AAAAAF/9PzU=")</f>
        <v>#VALUE!</v>
      </c>
      <c r="BC18" t="e">
        <f>AND('Yamazumi Data'!AF18,"AAAAAF/9PzY=")</f>
        <v>#VALUE!</v>
      </c>
      <c r="BD18" t="e">
        <f>AND('Yamazumi Data'!AG18,"AAAAAF/9Pzc=")</f>
        <v>#VALUE!</v>
      </c>
      <c r="BE18" t="e">
        <f>AND('Yamazumi Data'!AH18,"AAAAAF/9Pzg=")</f>
        <v>#VALUE!</v>
      </c>
      <c r="BF18" t="e">
        <f>AND('Yamazumi Data'!AI18,"AAAAAF/9Pzk=")</f>
        <v>#VALUE!</v>
      </c>
      <c r="BG18" t="e">
        <f>AND('Yamazumi Data'!AJ18,"AAAAAF/9Pzo=")</f>
        <v>#VALUE!</v>
      </c>
      <c r="BH18" t="e">
        <f>AND('Yamazumi Data'!AK18,"AAAAAF/9Pzs=")</f>
        <v>#VALUE!</v>
      </c>
      <c r="BI18" t="e">
        <f>AND('Yamazumi Data'!AL18,"AAAAAF/9Pzw=")</f>
        <v>#VALUE!</v>
      </c>
      <c r="BJ18" t="e">
        <f>AND('Yamazumi Data'!AM18,"AAAAAF/9Pz0=")</f>
        <v>#VALUE!</v>
      </c>
      <c r="BK18" t="e">
        <f>AND('Yamazumi Data'!AN18,"AAAAAF/9Pz4=")</f>
        <v>#VALUE!</v>
      </c>
      <c r="BL18" t="e">
        <f>AND('Yamazumi Data'!AO18,"AAAAAF/9Pz8=")</f>
        <v>#VALUE!</v>
      </c>
      <c r="BM18" t="e">
        <f>AND('Yamazumi Data'!R19,"AAAAAF/9P0A=")</f>
        <v>#VALUE!</v>
      </c>
      <c r="BN18" t="e">
        <f>AND('Yamazumi Data'!S19,"AAAAAF/9P0E=")</f>
        <v>#VALUE!</v>
      </c>
      <c r="BO18" t="e">
        <f>AND('Yamazumi Data'!T19,"AAAAAF/9P0I=")</f>
        <v>#VALUE!</v>
      </c>
      <c r="BP18" t="e">
        <f>AND('Yamazumi Data'!U19,"AAAAAF/9P0M=")</f>
        <v>#VALUE!</v>
      </c>
      <c r="BQ18" t="e">
        <f>AND('Yamazumi Data'!V19,"AAAAAF/9P0Q=")</f>
        <v>#VALUE!</v>
      </c>
      <c r="BR18" t="e">
        <f>AND('Yamazumi Data'!W19,"AAAAAF/9P0U=")</f>
        <v>#VALUE!</v>
      </c>
      <c r="BS18" t="e">
        <f>AND('Yamazumi Data'!X19,"AAAAAF/9P0Y=")</f>
        <v>#VALUE!</v>
      </c>
      <c r="BT18" t="e">
        <f>AND('Yamazumi Data'!Y19,"AAAAAF/9P0c=")</f>
        <v>#VALUE!</v>
      </c>
      <c r="BU18" t="e">
        <f>AND('Yamazumi Data'!Z19,"AAAAAF/9P0g=")</f>
        <v>#VALUE!</v>
      </c>
      <c r="BV18" t="e">
        <f>AND('Yamazumi Data'!AA19,"AAAAAF/9P0k=")</f>
        <v>#VALUE!</v>
      </c>
      <c r="BW18" t="e">
        <f>AND('Yamazumi Data'!AB19,"AAAAAF/9P0o=")</f>
        <v>#VALUE!</v>
      </c>
      <c r="BX18" t="e">
        <f>AND('Yamazumi Data'!AC19,"AAAAAF/9P0s=")</f>
        <v>#VALUE!</v>
      </c>
      <c r="BY18" t="e">
        <f>AND('Yamazumi Data'!AD19,"AAAAAF/9P0w=")</f>
        <v>#VALUE!</v>
      </c>
      <c r="BZ18" t="e">
        <f>AND('Yamazumi Data'!AE19,"AAAAAF/9P00=")</f>
        <v>#VALUE!</v>
      </c>
      <c r="CA18" t="e">
        <f>AND('Yamazumi Data'!AF19,"AAAAAF/9P04=")</f>
        <v>#VALUE!</v>
      </c>
      <c r="CB18" t="e">
        <f>AND('Yamazumi Data'!AG19,"AAAAAF/9P08=")</f>
        <v>#VALUE!</v>
      </c>
      <c r="CC18" t="e">
        <f>AND('Yamazumi Data'!AH19,"AAAAAF/9P1A=")</f>
        <v>#VALUE!</v>
      </c>
      <c r="CD18" t="e">
        <f>AND('Yamazumi Data'!AI19,"AAAAAF/9P1E=")</f>
        <v>#VALUE!</v>
      </c>
      <c r="CE18" t="e">
        <f>AND('Yamazumi Data'!AJ19,"AAAAAF/9P1I=")</f>
        <v>#VALUE!</v>
      </c>
      <c r="CF18" t="e">
        <f>AND('Yamazumi Data'!AK19,"AAAAAF/9P1M=")</f>
        <v>#VALUE!</v>
      </c>
      <c r="CG18" t="e">
        <f>AND('Yamazumi Data'!AL19,"AAAAAF/9P1Q=")</f>
        <v>#VALUE!</v>
      </c>
      <c r="CH18" t="e">
        <f>AND('Yamazumi Data'!AM19,"AAAAAF/9P1U=")</f>
        <v>#VALUE!</v>
      </c>
      <c r="CI18" t="e">
        <f>AND('Yamazumi Data'!AN19,"AAAAAF/9P1Y=")</f>
        <v>#VALUE!</v>
      </c>
      <c r="CJ18" t="e">
        <f>AND('Yamazumi Data'!AO19,"AAAAAF/9P1c=")</f>
        <v>#VALUE!</v>
      </c>
      <c r="CK18" t="e">
        <f>AND('Yamazumi Data'!R20,"AAAAAF/9P1g=")</f>
        <v>#VALUE!</v>
      </c>
      <c r="CL18" t="e">
        <f>AND('Yamazumi Data'!S20,"AAAAAF/9P1k=")</f>
        <v>#VALUE!</v>
      </c>
      <c r="CM18" t="e">
        <f>AND('Yamazumi Data'!T20,"AAAAAF/9P1o=")</f>
        <v>#VALUE!</v>
      </c>
      <c r="CN18" t="e">
        <f>AND('Yamazumi Data'!U20,"AAAAAF/9P1s=")</f>
        <v>#VALUE!</v>
      </c>
      <c r="CO18" t="e">
        <f>AND('Yamazumi Data'!V20,"AAAAAF/9P1w=")</f>
        <v>#VALUE!</v>
      </c>
      <c r="CP18" t="e">
        <f>AND('Yamazumi Data'!W20,"AAAAAF/9P10=")</f>
        <v>#VALUE!</v>
      </c>
      <c r="CQ18" t="e">
        <f>AND('Yamazumi Data'!X20,"AAAAAF/9P14=")</f>
        <v>#VALUE!</v>
      </c>
      <c r="CR18" t="e">
        <f>AND('Yamazumi Data'!Y20,"AAAAAF/9P18=")</f>
        <v>#VALUE!</v>
      </c>
      <c r="CS18" t="e">
        <f>AND('Yamazumi Data'!Z20,"AAAAAF/9P2A=")</f>
        <v>#VALUE!</v>
      </c>
      <c r="CT18" t="e">
        <f>AND('Yamazumi Data'!AA20,"AAAAAF/9P2E=")</f>
        <v>#VALUE!</v>
      </c>
      <c r="CU18" t="e">
        <f>AND('Yamazumi Data'!AB20,"AAAAAF/9P2I=")</f>
        <v>#VALUE!</v>
      </c>
      <c r="CV18" t="e">
        <f>AND('Yamazumi Data'!AC20,"AAAAAF/9P2M=")</f>
        <v>#VALUE!</v>
      </c>
      <c r="CW18" t="e">
        <f>AND('Yamazumi Data'!AD20,"AAAAAF/9P2Q=")</f>
        <v>#VALUE!</v>
      </c>
      <c r="CX18" t="e">
        <f>AND('Yamazumi Data'!AE20,"AAAAAF/9P2U=")</f>
        <v>#VALUE!</v>
      </c>
      <c r="CY18" t="e">
        <f>AND('Yamazumi Data'!AF20,"AAAAAF/9P2Y=")</f>
        <v>#VALUE!</v>
      </c>
      <c r="CZ18" t="e">
        <f>AND('Yamazumi Data'!AG20,"AAAAAF/9P2c=")</f>
        <v>#VALUE!</v>
      </c>
      <c r="DA18" t="e">
        <f>AND('Yamazumi Data'!AH20,"AAAAAF/9P2g=")</f>
        <v>#VALUE!</v>
      </c>
      <c r="DB18" t="e">
        <f>AND('Yamazumi Data'!AI20,"AAAAAF/9P2k=")</f>
        <v>#VALUE!</v>
      </c>
      <c r="DC18" t="e">
        <f>AND('Yamazumi Data'!AJ20,"AAAAAF/9P2o=")</f>
        <v>#VALUE!</v>
      </c>
      <c r="DD18" t="e">
        <f>AND('Yamazumi Data'!AK20,"AAAAAF/9P2s=")</f>
        <v>#VALUE!</v>
      </c>
      <c r="DE18" t="e">
        <f>AND('Yamazumi Data'!AL20,"AAAAAF/9P2w=")</f>
        <v>#VALUE!</v>
      </c>
      <c r="DF18" t="e">
        <f>AND('Yamazumi Data'!AM20,"AAAAAF/9P20=")</f>
        <v>#VALUE!</v>
      </c>
      <c r="DG18" t="e">
        <f>AND('Yamazumi Data'!AN20,"AAAAAF/9P24=")</f>
        <v>#VALUE!</v>
      </c>
      <c r="DH18" t="e">
        <f>AND('Yamazumi Data'!AO20,"AAAAAF/9P28=")</f>
        <v>#VALUE!</v>
      </c>
      <c r="DI18" t="e">
        <f>AND('Yamazumi Data'!R21,"AAAAAF/9P3A=")</f>
        <v>#VALUE!</v>
      </c>
      <c r="DJ18" t="e">
        <f>AND('Yamazumi Data'!S21,"AAAAAF/9P3E=")</f>
        <v>#VALUE!</v>
      </c>
      <c r="DK18" t="e">
        <f>AND('Yamazumi Data'!T21,"AAAAAF/9P3I=")</f>
        <v>#VALUE!</v>
      </c>
      <c r="DL18" t="e">
        <f>AND('Yamazumi Data'!U21,"AAAAAF/9P3M=")</f>
        <v>#VALUE!</v>
      </c>
      <c r="DM18" t="e">
        <f>AND('Yamazumi Data'!V21,"AAAAAF/9P3Q=")</f>
        <v>#VALUE!</v>
      </c>
      <c r="DN18" t="e">
        <f>AND('Yamazumi Data'!W21,"AAAAAF/9P3U=")</f>
        <v>#VALUE!</v>
      </c>
      <c r="DO18" t="e">
        <f>AND('Yamazumi Data'!X21,"AAAAAF/9P3Y=")</f>
        <v>#VALUE!</v>
      </c>
      <c r="DP18" t="e">
        <f>AND('Yamazumi Data'!Y21,"AAAAAF/9P3c=")</f>
        <v>#VALUE!</v>
      </c>
      <c r="DQ18" t="e">
        <f>AND('Yamazumi Data'!Z21,"AAAAAF/9P3g=")</f>
        <v>#VALUE!</v>
      </c>
      <c r="DR18" t="e">
        <f>AND('Yamazumi Data'!AA21,"AAAAAF/9P3k=")</f>
        <v>#VALUE!</v>
      </c>
      <c r="DS18" t="e">
        <f>AND('Yamazumi Data'!AB21,"AAAAAF/9P3o=")</f>
        <v>#VALUE!</v>
      </c>
      <c r="DT18" t="e">
        <f>AND('Yamazumi Data'!AC21,"AAAAAF/9P3s=")</f>
        <v>#VALUE!</v>
      </c>
      <c r="DU18" t="e">
        <f>AND('Yamazumi Data'!AD21,"AAAAAF/9P3w=")</f>
        <v>#VALUE!</v>
      </c>
      <c r="DV18" t="e">
        <f>AND('Yamazumi Data'!AE21,"AAAAAF/9P30=")</f>
        <v>#VALUE!</v>
      </c>
      <c r="DW18" t="e">
        <f>AND('Yamazumi Data'!AF21,"AAAAAF/9P34=")</f>
        <v>#VALUE!</v>
      </c>
      <c r="DX18" t="e">
        <f>AND('Yamazumi Data'!AG21,"AAAAAF/9P38=")</f>
        <v>#VALUE!</v>
      </c>
      <c r="DY18" t="e">
        <f>AND('Yamazumi Data'!AH21,"AAAAAF/9P4A=")</f>
        <v>#VALUE!</v>
      </c>
      <c r="DZ18" t="e">
        <f>AND('Yamazumi Data'!AI21,"AAAAAF/9P4E=")</f>
        <v>#VALUE!</v>
      </c>
      <c r="EA18" t="e">
        <f>AND('Yamazumi Data'!AJ21,"AAAAAF/9P4I=")</f>
        <v>#VALUE!</v>
      </c>
      <c r="EB18" t="e">
        <f>AND('Yamazumi Data'!AK21,"AAAAAF/9P4M=")</f>
        <v>#VALUE!</v>
      </c>
      <c r="EC18" t="e">
        <f>AND('Yamazumi Data'!AL21,"AAAAAF/9P4Q=")</f>
        <v>#VALUE!</v>
      </c>
      <c r="ED18" t="e">
        <f>AND('Yamazumi Data'!AM21,"AAAAAF/9P4U=")</f>
        <v>#VALUE!</v>
      </c>
      <c r="EE18" t="e">
        <f>AND('Yamazumi Data'!AN21,"AAAAAF/9P4Y=")</f>
        <v>#VALUE!</v>
      </c>
      <c r="EF18" t="e">
        <f>AND('Yamazumi Data'!AO21,"AAAAAF/9P4c=")</f>
        <v>#VALUE!</v>
      </c>
      <c r="EG18" t="e">
        <f>AND('Yamazumi Data'!R22,"AAAAAF/9P4g=")</f>
        <v>#VALUE!</v>
      </c>
      <c r="EH18" t="e">
        <f>AND('Yamazumi Data'!S22,"AAAAAF/9P4k=")</f>
        <v>#VALUE!</v>
      </c>
      <c r="EI18" t="e">
        <f>AND('Yamazumi Data'!T22,"AAAAAF/9P4o=")</f>
        <v>#VALUE!</v>
      </c>
      <c r="EJ18" t="e">
        <f>AND('Yamazumi Data'!U22,"AAAAAF/9P4s=")</f>
        <v>#VALUE!</v>
      </c>
      <c r="EK18" t="e">
        <f>AND('Yamazumi Data'!V22,"AAAAAF/9P4w=")</f>
        <v>#VALUE!</v>
      </c>
      <c r="EL18" t="e">
        <f>AND('Yamazumi Data'!W22,"AAAAAF/9P40=")</f>
        <v>#VALUE!</v>
      </c>
      <c r="EM18" t="e">
        <f>AND('Yamazumi Data'!X22,"AAAAAF/9P44=")</f>
        <v>#VALUE!</v>
      </c>
      <c r="EN18" t="e">
        <f>AND('Yamazumi Data'!Y22,"AAAAAF/9P48=")</f>
        <v>#VALUE!</v>
      </c>
      <c r="EO18" t="e">
        <f>AND('Yamazumi Data'!Z22,"AAAAAF/9P5A=")</f>
        <v>#VALUE!</v>
      </c>
      <c r="EP18" t="e">
        <f>AND('Yamazumi Data'!AA22,"AAAAAF/9P5E=")</f>
        <v>#VALUE!</v>
      </c>
      <c r="EQ18" t="e">
        <f>AND('Yamazumi Data'!AB22,"AAAAAF/9P5I=")</f>
        <v>#VALUE!</v>
      </c>
      <c r="ER18" t="e">
        <f>AND('Yamazumi Data'!AC22,"AAAAAF/9P5M=")</f>
        <v>#VALUE!</v>
      </c>
      <c r="ES18" t="e">
        <f>AND('Yamazumi Data'!AD22,"AAAAAF/9P5Q=")</f>
        <v>#VALUE!</v>
      </c>
      <c r="ET18" t="e">
        <f>AND('Yamazumi Data'!AE22,"AAAAAF/9P5U=")</f>
        <v>#VALUE!</v>
      </c>
      <c r="EU18" t="e">
        <f>AND('Yamazumi Data'!AF22,"AAAAAF/9P5Y=")</f>
        <v>#VALUE!</v>
      </c>
      <c r="EV18" t="e">
        <f>AND('Yamazumi Data'!AG22,"AAAAAF/9P5c=")</f>
        <v>#VALUE!</v>
      </c>
      <c r="EW18" t="e">
        <f>AND('Yamazumi Data'!AH22,"AAAAAF/9P5g=")</f>
        <v>#VALUE!</v>
      </c>
      <c r="EX18" t="e">
        <f>AND('Yamazumi Data'!AI22,"AAAAAF/9P5k=")</f>
        <v>#VALUE!</v>
      </c>
      <c r="EY18" t="e">
        <f>AND('Yamazumi Data'!AJ22,"AAAAAF/9P5o=")</f>
        <v>#VALUE!</v>
      </c>
      <c r="EZ18" t="e">
        <f>AND('Yamazumi Data'!AK22,"AAAAAF/9P5s=")</f>
        <v>#VALUE!</v>
      </c>
      <c r="FA18" t="e">
        <f>AND('Yamazumi Data'!AL22,"AAAAAF/9P5w=")</f>
        <v>#VALUE!</v>
      </c>
      <c r="FB18" t="e">
        <f>AND('Yamazumi Data'!AM22,"AAAAAF/9P50=")</f>
        <v>#VALUE!</v>
      </c>
      <c r="FC18" t="e">
        <f>AND('Yamazumi Data'!AN22,"AAAAAF/9P54=")</f>
        <v>#VALUE!</v>
      </c>
      <c r="FD18" t="e">
        <f>AND('Yamazumi Data'!AO22,"AAAAAF/9P58=")</f>
        <v>#VALUE!</v>
      </c>
      <c r="FE18" t="e">
        <f>AND('Yamazumi Data'!R23,"AAAAAF/9P6A=")</f>
        <v>#VALUE!</v>
      </c>
      <c r="FF18" t="e">
        <f>AND('Yamazumi Data'!S23,"AAAAAF/9P6E=")</f>
        <v>#VALUE!</v>
      </c>
      <c r="FG18" t="e">
        <f>AND('Yamazumi Data'!T23,"AAAAAF/9P6I=")</f>
        <v>#VALUE!</v>
      </c>
      <c r="FH18" t="e">
        <f>AND('Yamazumi Data'!U23,"AAAAAF/9P6M=")</f>
        <v>#VALUE!</v>
      </c>
      <c r="FI18" t="e">
        <f>AND('Yamazumi Data'!V23,"AAAAAF/9P6Q=")</f>
        <v>#VALUE!</v>
      </c>
      <c r="FJ18" t="e">
        <f>AND('Yamazumi Data'!W23,"AAAAAF/9P6U=")</f>
        <v>#VALUE!</v>
      </c>
      <c r="FK18" t="e">
        <f>AND('Yamazumi Data'!X23,"AAAAAF/9P6Y=")</f>
        <v>#VALUE!</v>
      </c>
      <c r="FL18" t="e">
        <f>AND('Yamazumi Data'!Y23,"AAAAAF/9P6c=")</f>
        <v>#VALUE!</v>
      </c>
      <c r="FM18" t="e">
        <f>AND('Yamazumi Data'!Z23,"AAAAAF/9P6g=")</f>
        <v>#VALUE!</v>
      </c>
      <c r="FN18" t="e">
        <f>AND('Yamazumi Data'!AA23,"AAAAAF/9P6k=")</f>
        <v>#VALUE!</v>
      </c>
      <c r="FO18" t="e">
        <f>AND('Yamazumi Data'!AB23,"AAAAAF/9P6o=")</f>
        <v>#VALUE!</v>
      </c>
      <c r="FP18" t="e">
        <f>AND('Yamazumi Data'!AC23,"AAAAAF/9P6s=")</f>
        <v>#VALUE!</v>
      </c>
      <c r="FQ18" t="e">
        <f>AND('Yamazumi Data'!AD23,"AAAAAF/9P6w=")</f>
        <v>#VALUE!</v>
      </c>
      <c r="FR18" t="e">
        <f>AND('Yamazumi Data'!AE23,"AAAAAF/9P60=")</f>
        <v>#VALUE!</v>
      </c>
      <c r="FS18" t="e">
        <f>AND('Yamazumi Data'!AF23,"AAAAAF/9P64=")</f>
        <v>#VALUE!</v>
      </c>
      <c r="FT18" t="e">
        <f>AND('Yamazumi Data'!AG23,"AAAAAF/9P68=")</f>
        <v>#VALUE!</v>
      </c>
      <c r="FU18" t="e">
        <f>AND('Yamazumi Data'!AH23,"AAAAAF/9P7A=")</f>
        <v>#VALUE!</v>
      </c>
      <c r="FV18" t="e">
        <f>AND('Yamazumi Data'!AI23,"AAAAAF/9P7E=")</f>
        <v>#VALUE!</v>
      </c>
      <c r="FW18" t="e">
        <f>AND('Yamazumi Data'!AJ23,"AAAAAF/9P7I=")</f>
        <v>#VALUE!</v>
      </c>
      <c r="FX18" t="e">
        <f>AND('Yamazumi Data'!AK23,"AAAAAF/9P7M=")</f>
        <v>#VALUE!</v>
      </c>
      <c r="FY18" t="e">
        <f>AND('Yamazumi Data'!AL23,"AAAAAF/9P7Q=")</f>
        <v>#VALUE!</v>
      </c>
      <c r="FZ18" t="e">
        <f>AND('Yamazumi Data'!AM23,"AAAAAF/9P7U=")</f>
        <v>#VALUE!</v>
      </c>
      <c r="GA18" t="e">
        <f>AND('Yamazumi Data'!AN23,"AAAAAF/9P7Y=")</f>
        <v>#VALUE!</v>
      </c>
      <c r="GB18" t="e">
        <f>AND('Yamazumi Data'!AO23,"AAAAAF/9P7c=")</f>
        <v>#VALUE!</v>
      </c>
      <c r="GC18" t="e">
        <f>AND('Yamazumi Data'!R24,"AAAAAF/9P7g=")</f>
        <v>#VALUE!</v>
      </c>
      <c r="GD18" t="e">
        <f>AND('Yamazumi Data'!S24,"AAAAAF/9P7k=")</f>
        <v>#VALUE!</v>
      </c>
      <c r="GE18" t="e">
        <f>AND('Yamazumi Data'!T24,"AAAAAF/9P7o=")</f>
        <v>#VALUE!</v>
      </c>
      <c r="GF18" t="e">
        <f>AND('Yamazumi Data'!U24,"AAAAAF/9P7s=")</f>
        <v>#VALUE!</v>
      </c>
      <c r="GG18" t="e">
        <f>AND('Yamazumi Data'!V24,"AAAAAF/9P7w=")</f>
        <v>#VALUE!</v>
      </c>
      <c r="GH18" t="e">
        <f>AND('Yamazumi Data'!W24,"AAAAAF/9P70=")</f>
        <v>#VALUE!</v>
      </c>
      <c r="GI18" t="e">
        <f>AND('Yamazumi Data'!X24,"AAAAAF/9P74=")</f>
        <v>#VALUE!</v>
      </c>
      <c r="GJ18" t="e">
        <f>AND('Yamazumi Data'!Y24,"AAAAAF/9P78=")</f>
        <v>#VALUE!</v>
      </c>
      <c r="GK18" t="e">
        <f>AND('Yamazumi Data'!Z24,"AAAAAF/9P8A=")</f>
        <v>#VALUE!</v>
      </c>
      <c r="GL18" t="e">
        <f>AND('Yamazumi Data'!AA24,"AAAAAF/9P8E=")</f>
        <v>#VALUE!</v>
      </c>
      <c r="GM18" t="e">
        <f>AND('Yamazumi Data'!AB24,"AAAAAF/9P8I=")</f>
        <v>#VALUE!</v>
      </c>
      <c r="GN18" t="e">
        <f>AND('Yamazumi Data'!AC24,"AAAAAF/9P8M=")</f>
        <v>#VALUE!</v>
      </c>
      <c r="GO18" t="e">
        <f>AND('Yamazumi Data'!AD24,"AAAAAF/9P8Q=")</f>
        <v>#VALUE!</v>
      </c>
      <c r="GP18" t="e">
        <f>AND('Yamazumi Data'!AE24,"AAAAAF/9P8U=")</f>
        <v>#VALUE!</v>
      </c>
      <c r="GQ18" t="e">
        <f>AND('Yamazumi Data'!AF24,"AAAAAF/9P8Y=")</f>
        <v>#VALUE!</v>
      </c>
      <c r="GR18" t="e">
        <f>AND('Yamazumi Data'!AG24,"AAAAAF/9P8c=")</f>
        <v>#VALUE!</v>
      </c>
      <c r="GS18" t="e">
        <f>AND('Yamazumi Data'!AH24,"AAAAAF/9P8g=")</f>
        <v>#VALUE!</v>
      </c>
      <c r="GT18" t="e">
        <f>AND('Yamazumi Data'!AI24,"AAAAAF/9P8k=")</f>
        <v>#VALUE!</v>
      </c>
      <c r="GU18" t="e">
        <f>AND('Yamazumi Data'!AJ24,"AAAAAF/9P8o=")</f>
        <v>#VALUE!</v>
      </c>
      <c r="GV18" t="e">
        <f>AND('Yamazumi Data'!AK24,"AAAAAF/9P8s=")</f>
        <v>#VALUE!</v>
      </c>
      <c r="GW18" t="e">
        <f>AND('Yamazumi Data'!AL24,"AAAAAF/9P8w=")</f>
        <v>#VALUE!</v>
      </c>
      <c r="GX18" t="e">
        <f>AND('Yamazumi Data'!AM24,"AAAAAF/9P80=")</f>
        <v>#VALUE!</v>
      </c>
      <c r="GY18" t="e">
        <f>AND('Yamazumi Data'!AN24,"AAAAAF/9P84=")</f>
        <v>#VALUE!</v>
      </c>
      <c r="GZ18" t="e">
        <f>AND('Yamazumi Data'!AO24,"AAAAAF/9P88=")</f>
        <v>#VALUE!</v>
      </c>
      <c r="HA18" t="e">
        <f>AND('Yamazumi Data'!R25,"AAAAAF/9P9A=")</f>
        <v>#VALUE!</v>
      </c>
      <c r="HB18" t="e">
        <f>AND('Yamazumi Data'!S25,"AAAAAF/9P9E=")</f>
        <v>#VALUE!</v>
      </c>
      <c r="HC18" t="e">
        <f>AND('Yamazumi Data'!T25,"AAAAAF/9P9I=")</f>
        <v>#VALUE!</v>
      </c>
      <c r="HD18" t="e">
        <f>AND('Yamazumi Data'!U25,"AAAAAF/9P9M=")</f>
        <v>#VALUE!</v>
      </c>
      <c r="HE18" t="e">
        <f>AND('Yamazumi Data'!V25,"AAAAAF/9P9Q=")</f>
        <v>#VALUE!</v>
      </c>
      <c r="HF18" t="e">
        <f>AND('Yamazumi Data'!W25,"AAAAAF/9P9U=")</f>
        <v>#VALUE!</v>
      </c>
      <c r="HG18" t="e">
        <f>AND('Yamazumi Data'!X25,"AAAAAF/9P9Y=")</f>
        <v>#VALUE!</v>
      </c>
      <c r="HH18" t="e">
        <f>AND('Yamazumi Data'!Y25,"AAAAAF/9P9c=")</f>
        <v>#VALUE!</v>
      </c>
      <c r="HI18" t="e">
        <f>AND('Yamazumi Data'!Z25,"AAAAAF/9P9g=")</f>
        <v>#VALUE!</v>
      </c>
      <c r="HJ18" t="e">
        <f>AND('Yamazumi Data'!AA25,"AAAAAF/9P9k=")</f>
        <v>#VALUE!</v>
      </c>
      <c r="HK18" t="e">
        <f>AND('Yamazumi Data'!AB25,"AAAAAF/9P9o=")</f>
        <v>#VALUE!</v>
      </c>
      <c r="HL18" t="e">
        <f>AND('Yamazumi Data'!AC25,"AAAAAF/9P9s=")</f>
        <v>#VALUE!</v>
      </c>
      <c r="HM18" t="e">
        <f>AND('Yamazumi Data'!AD25,"AAAAAF/9P9w=")</f>
        <v>#VALUE!</v>
      </c>
      <c r="HN18" t="e">
        <f>AND('Yamazumi Data'!AE25,"AAAAAF/9P90=")</f>
        <v>#VALUE!</v>
      </c>
      <c r="HO18" t="e">
        <f>AND('Yamazumi Data'!AF25,"AAAAAF/9P94=")</f>
        <v>#VALUE!</v>
      </c>
      <c r="HP18" t="e">
        <f>AND('Yamazumi Data'!AG25,"AAAAAF/9P98=")</f>
        <v>#VALUE!</v>
      </c>
      <c r="HQ18" t="e">
        <f>AND('Yamazumi Data'!AH25,"AAAAAF/9P+A=")</f>
        <v>#VALUE!</v>
      </c>
      <c r="HR18" t="e">
        <f>AND('Yamazumi Data'!AI25,"AAAAAF/9P+E=")</f>
        <v>#VALUE!</v>
      </c>
      <c r="HS18" t="e">
        <f>AND('Yamazumi Data'!AJ25,"AAAAAF/9P+I=")</f>
        <v>#VALUE!</v>
      </c>
      <c r="HT18" t="e">
        <f>AND('Yamazumi Data'!AK25,"AAAAAF/9P+M=")</f>
        <v>#VALUE!</v>
      </c>
      <c r="HU18" t="e">
        <f>AND('Yamazumi Data'!AL25,"AAAAAF/9P+Q=")</f>
        <v>#VALUE!</v>
      </c>
      <c r="HV18" t="e">
        <f>AND('Yamazumi Data'!AM25,"AAAAAF/9P+U=")</f>
        <v>#VALUE!</v>
      </c>
      <c r="HW18" t="e">
        <f>AND('Yamazumi Data'!AN25,"AAAAAF/9P+Y=")</f>
        <v>#VALUE!</v>
      </c>
      <c r="HX18" t="e">
        <f>AND('Yamazumi Data'!AO25,"AAAAAF/9P+c=")</f>
        <v>#VALUE!</v>
      </c>
      <c r="HY18" t="e">
        <f>AND('Yamazumi Data'!R26,"AAAAAF/9P+g=")</f>
        <v>#VALUE!</v>
      </c>
      <c r="HZ18" t="e">
        <f>AND('Yamazumi Data'!S26,"AAAAAF/9P+k=")</f>
        <v>#VALUE!</v>
      </c>
      <c r="IA18" t="e">
        <f>AND('Yamazumi Data'!T26,"AAAAAF/9P+o=")</f>
        <v>#VALUE!</v>
      </c>
      <c r="IB18" t="e">
        <f>AND('Yamazumi Data'!U26,"AAAAAF/9P+s=")</f>
        <v>#VALUE!</v>
      </c>
      <c r="IC18" t="e">
        <f>AND('Yamazumi Data'!V26,"AAAAAF/9P+w=")</f>
        <v>#VALUE!</v>
      </c>
      <c r="ID18" t="e">
        <f>AND('Yamazumi Data'!W26,"AAAAAF/9P+0=")</f>
        <v>#VALUE!</v>
      </c>
      <c r="IE18" t="e">
        <f>AND('Yamazumi Data'!X26,"AAAAAF/9P+4=")</f>
        <v>#VALUE!</v>
      </c>
      <c r="IF18" t="e">
        <f>AND('Yamazumi Data'!Y26,"AAAAAF/9P+8=")</f>
        <v>#VALUE!</v>
      </c>
      <c r="IG18" t="e">
        <f>AND('Yamazumi Data'!Z26,"AAAAAF/9P/A=")</f>
        <v>#VALUE!</v>
      </c>
      <c r="IH18" t="e">
        <f>AND('Yamazumi Data'!AA26,"AAAAAF/9P/E=")</f>
        <v>#VALUE!</v>
      </c>
      <c r="II18" t="e">
        <f>AND('Yamazumi Data'!AB26,"AAAAAF/9P/I=")</f>
        <v>#VALUE!</v>
      </c>
      <c r="IJ18" t="e">
        <f>AND('Yamazumi Data'!AC26,"AAAAAF/9P/M=")</f>
        <v>#VALUE!</v>
      </c>
      <c r="IK18" t="e">
        <f>AND('Yamazumi Data'!AD26,"AAAAAF/9P/Q=")</f>
        <v>#VALUE!</v>
      </c>
      <c r="IL18" t="e">
        <f>AND('Yamazumi Data'!AE26,"AAAAAF/9P/U=")</f>
        <v>#VALUE!</v>
      </c>
      <c r="IM18" t="e">
        <f>AND('Yamazumi Data'!AF26,"AAAAAF/9P/Y=")</f>
        <v>#VALUE!</v>
      </c>
      <c r="IN18" t="e">
        <f>AND('Yamazumi Data'!AG26,"AAAAAF/9P/c=")</f>
        <v>#VALUE!</v>
      </c>
      <c r="IO18" t="e">
        <f>AND('Yamazumi Data'!AH26,"AAAAAF/9P/g=")</f>
        <v>#VALUE!</v>
      </c>
      <c r="IP18" t="e">
        <f>AND('Yamazumi Data'!AI26,"AAAAAF/9P/k=")</f>
        <v>#VALUE!</v>
      </c>
      <c r="IQ18" t="e">
        <f>AND('Yamazumi Data'!AJ26,"AAAAAF/9P/o=")</f>
        <v>#VALUE!</v>
      </c>
      <c r="IR18" t="e">
        <f>AND('Yamazumi Data'!AK26,"AAAAAF/9P/s=")</f>
        <v>#VALUE!</v>
      </c>
      <c r="IS18" t="e">
        <f>AND('Yamazumi Data'!AL26,"AAAAAF/9P/w=")</f>
        <v>#VALUE!</v>
      </c>
      <c r="IT18" t="e">
        <f>AND('Yamazumi Data'!AM26,"AAAAAF/9P/0=")</f>
        <v>#VALUE!</v>
      </c>
      <c r="IU18" t="e">
        <f>AND('Yamazumi Data'!AN26,"AAAAAF/9P/4=")</f>
        <v>#VALUE!</v>
      </c>
      <c r="IV18" t="e">
        <f>AND('Yamazumi Data'!AO26,"AAAAAF/9P/8=")</f>
        <v>#VALUE!</v>
      </c>
    </row>
    <row r="19" spans="1:256" ht="14.45" x14ac:dyDescent="0.3">
      <c r="A19" t="e">
        <f>AND('Yamazumi Data'!R27,"AAAAAFfg9wA=")</f>
        <v>#VALUE!</v>
      </c>
      <c r="B19" t="e">
        <f>AND('Yamazumi Data'!S27,"AAAAAFfg9wE=")</f>
        <v>#VALUE!</v>
      </c>
      <c r="C19" t="e">
        <f>AND('Yamazumi Data'!T27,"AAAAAFfg9wI=")</f>
        <v>#VALUE!</v>
      </c>
      <c r="D19" t="e">
        <f>AND('Yamazumi Data'!U27,"AAAAAFfg9wM=")</f>
        <v>#VALUE!</v>
      </c>
      <c r="E19" t="e">
        <f>AND('Yamazumi Data'!V27,"AAAAAFfg9wQ=")</f>
        <v>#VALUE!</v>
      </c>
      <c r="F19" t="e">
        <f>AND('Yamazumi Data'!W27,"AAAAAFfg9wU=")</f>
        <v>#VALUE!</v>
      </c>
      <c r="G19" t="e">
        <f>AND('Yamazumi Data'!X27,"AAAAAFfg9wY=")</f>
        <v>#VALUE!</v>
      </c>
      <c r="H19" t="e">
        <f>AND('Yamazumi Data'!Y27,"AAAAAFfg9wc=")</f>
        <v>#VALUE!</v>
      </c>
      <c r="I19" t="e">
        <f>AND('Yamazumi Data'!Z27,"AAAAAFfg9wg=")</f>
        <v>#VALUE!</v>
      </c>
      <c r="J19" t="e">
        <f>AND('Yamazumi Data'!AA27,"AAAAAFfg9wk=")</f>
        <v>#VALUE!</v>
      </c>
      <c r="K19" t="e">
        <f>AND('Yamazumi Data'!AB27,"AAAAAFfg9wo=")</f>
        <v>#VALUE!</v>
      </c>
      <c r="L19" t="e">
        <f>AND('Yamazumi Data'!AC27,"AAAAAFfg9ws=")</f>
        <v>#VALUE!</v>
      </c>
      <c r="M19" t="e">
        <f>AND('Yamazumi Data'!AD27,"AAAAAFfg9ww=")</f>
        <v>#VALUE!</v>
      </c>
      <c r="N19" t="e">
        <f>AND('Yamazumi Data'!AE27,"AAAAAFfg9w0=")</f>
        <v>#VALUE!</v>
      </c>
      <c r="O19" t="e">
        <f>AND('Yamazumi Data'!AF27,"AAAAAFfg9w4=")</f>
        <v>#VALUE!</v>
      </c>
      <c r="P19" t="e">
        <f>AND('Yamazumi Data'!AG27,"AAAAAFfg9w8=")</f>
        <v>#VALUE!</v>
      </c>
      <c r="Q19" t="e">
        <f>AND('Yamazumi Data'!AH27,"AAAAAFfg9xA=")</f>
        <v>#VALUE!</v>
      </c>
      <c r="R19" t="e">
        <f>AND('Yamazumi Data'!AI27,"AAAAAFfg9xE=")</f>
        <v>#VALUE!</v>
      </c>
      <c r="S19" t="e">
        <f>AND('Yamazumi Data'!AJ27,"AAAAAFfg9xI=")</f>
        <v>#VALUE!</v>
      </c>
      <c r="T19" t="e">
        <f>AND('Yamazumi Data'!AK27,"AAAAAFfg9xM=")</f>
        <v>#VALUE!</v>
      </c>
      <c r="U19" t="e">
        <f>AND('Yamazumi Data'!AL27,"AAAAAFfg9xQ=")</f>
        <v>#VALUE!</v>
      </c>
      <c r="V19" t="e">
        <f>AND('Yamazumi Data'!AM27,"AAAAAFfg9xU=")</f>
        <v>#VALUE!</v>
      </c>
      <c r="W19" t="e">
        <f>AND('Yamazumi Data'!AN27,"AAAAAFfg9xY=")</f>
        <v>#VALUE!</v>
      </c>
      <c r="X19" t="e">
        <f>AND('Yamazumi Data'!AO27,"AAAAAFfg9xc=")</f>
        <v>#VALUE!</v>
      </c>
      <c r="Y19" t="e">
        <f>AND('Yamazumi Data'!R28,"AAAAAFfg9xg=")</f>
        <v>#VALUE!</v>
      </c>
      <c r="Z19" t="e">
        <f>AND('Yamazumi Data'!S28,"AAAAAFfg9xk=")</f>
        <v>#VALUE!</v>
      </c>
      <c r="AA19" t="e">
        <f>AND('Yamazumi Data'!T28,"AAAAAFfg9xo=")</f>
        <v>#VALUE!</v>
      </c>
      <c r="AB19" t="e">
        <f>AND('Yamazumi Data'!U28,"AAAAAFfg9xs=")</f>
        <v>#VALUE!</v>
      </c>
      <c r="AC19" t="e">
        <f>AND('Yamazumi Data'!V28,"AAAAAFfg9xw=")</f>
        <v>#VALUE!</v>
      </c>
      <c r="AD19" t="e">
        <f>AND('Yamazumi Data'!W28,"AAAAAFfg9x0=")</f>
        <v>#VALUE!</v>
      </c>
      <c r="AE19" t="e">
        <f>AND('Yamazumi Data'!X28,"AAAAAFfg9x4=")</f>
        <v>#VALUE!</v>
      </c>
      <c r="AF19" t="e">
        <f>AND('Yamazumi Data'!Y28,"AAAAAFfg9x8=")</f>
        <v>#VALUE!</v>
      </c>
      <c r="AG19" t="e">
        <f>AND('Yamazumi Data'!Z28,"AAAAAFfg9yA=")</f>
        <v>#VALUE!</v>
      </c>
      <c r="AH19" t="e">
        <f>AND('Yamazumi Data'!AA28,"AAAAAFfg9yE=")</f>
        <v>#VALUE!</v>
      </c>
      <c r="AI19" t="e">
        <f>AND('Yamazumi Data'!AB28,"AAAAAFfg9yI=")</f>
        <v>#VALUE!</v>
      </c>
      <c r="AJ19" t="e">
        <f>AND('Yamazumi Data'!AC28,"AAAAAFfg9yM=")</f>
        <v>#VALUE!</v>
      </c>
      <c r="AK19" t="e">
        <f>AND('Yamazumi Data'!AD28,"AAAAAFfg9yQ=")</f>
        <v>#VALUE!</v>
      </c>
      <c r="AL19" t="e">
        <f>AND('Yamazumi Data'!AE28,"AAAAAFfg9yU=")</f>
        <v>#VALUE!</v>
      </c>
      <c r="AM19" t="e">
        <f>AND('Yamazumi Data'!AF28,"AAAAAFfg9yY=")</f>
        <v>#VALUE!</v>
      </c>
      <c r="AN19" t="e">
        <f>AND('Yamazumi Data'!AG28,"AAAAAFfg9yc=")</f>
        <v>#VALUE!</v>
      </c>
      <c r="AO19" t="e">
        <f>AND('Yamazumi Data'!AH28,"AAAAAFfg9yg=")</f>
        <v>#VALUE!</v>
      </c>
      <c r="AP19" t="e">
        <f>AND('Yamazumi Data'!AI28,"AAAAAFfg9yk=")</f>
        <v>#VALUE!</v>
      </c>
      <c r="AQ19" t="e">
        <f>AND('Yamazumi Data'!AJ28,"AAAAAFfg9yo=")</f>
        <v>#VALUE!</v>
      </c>
      <c r="AR19" t="e">
        <f>AND('Yamazumi Data'!AK28,"AAAAAFfg9ys=")</f>
        <v>#VALUE!</v>
      </c>
      <c r="AS19" t="e">
        <f>AND('Yamazumi Data'!AL28,"AAAAAFfg9yw=")</f>
        <v>#VALUE!</v>
      </c>
      <c r="AT19" t="e">
        <f>AND('Yamazumi Data'!AM28,"AAAAAFfg9y0=")</f>
        <v>#VALUE!</v>
      </c>
      <c r="AU19" t="e">
        <f>AND('Yamazumi Data'!AN28,"AAAAAFfg9y4=")</f>
        <v>#VALUE!</v>
      </c>
      <c r="AV19" t="e">
        <f>AND('Yamazumi Data'!AO28,"AAAAAFfg9y8=")</f>
        <v>#VALUE!</v>
      </c>
      <c r="AW19" t="e">
        <f>AND('Yamazumi Data'!R29,"AAAAAFfg9zA=")</f>
        <v>#VALUE!</v>
      </c>
      <c r="AX19" t="e">
        <f>AND('Yamazumi Data'!S29,"AAAAAFfg9zE=")</f>
        <v>#VALUE!</v>
      </c>
      <c r="AY19" t="e">
        <f>AND('Yamazumi Data'!T29,"AAAAAFfg9zI=")</f>
        <v>#VALUE!</v>
      </c>
      <c r="AZ19" t="e">
        <f>AND('Yamazumi Data'!U29,"AAAAAFfg9zM=")</f>
        <v>#VALUE!</v>
      </c>
      <c r="BA19" t="e">
        <f>AND('Yamazumi Data'!V29,"AAAAAFfg9zQ=")</f>
        <v>#VALUE!</v>
      </c>
      <c r="BB19" t="e">
        <f>AND('Yamazumi Data'!W29,"AAAAAFfg9zU=")</f>
        <v>#VALUE!</v>
      </c>
      <c r="BC19" t="e">
        <f>AND('Yamazumi Data'!X29,"AAAAAFfg9zY=")</f>
        <v>#VALUE!</v>
      </c>
      <c r="BD19" t="e">
        <f>AND('Yamazumi Data'!Y29,"AAAAAFfg9zc=")</f>
        <v>#VALUE!</v>
      </c>
      <c r="BE19" t="e">
        <f>AND('Yamazumi Data'!Z29,"AAAAAFfg9zg=")</f>
        <v>#VALUE!</v>
      </c>
      <c r="BF19" t="e">
        <f>AND('Yamazumi Data'!AA29,"AAAAAFfg9zk=")</f>
        <v>#VALUE!</v>
      </c>
      <c r="BG19" t="e">
        <f>AND('Yamazumi Data'!AB29,"AAAAAFfg9zo=")</f>
        <v>#VALUE!</v>
      </c>
      <c r="BH19" t="e">
        <f>AND('Yamazumi Data'!AC29,"AAAAAFfg9zs=")</f>
        <v>#VALUE!</v>
      </c>
      <c r="BI19" t="e">
        <f>AND('Yamazumi Data'!AD29,"AAAAAFfg9zw=")</f>
        <v>#VALUE!</v>
      </c>
      <c r="BJ19" t="e">
        <f>AND('Yamazumi Data'!AE29,"AAAAAFfg9z0=")</f>
        <v>#VALUE!</v>
      </c>
      <c r="BK19" t="e">
        <f>AND('Yamazumi Data'!AF29,"AAAAAFfg9z4=")</f>
        <v>#VALUE!</v>
      </c>
      <c r="BL19" t="e">
        <f>AND('Yamazumi Data'!AG29,"AAAAAFfg9z8=")</f>
        <v>#VALUE!</v>
      </c>
      <c r="BM19" t="e">
        <f>AND('Yamazumi Data'!AH29,"AAAAAFfg90A=")</f>
        <v>#VALUE!</v>
      </c>
      <c r="BN19" t="e">
        <f>AND('Yamazumi Data'!AI29,"AAAAAFfg90E=")</f>
        <v>#VALUE!</v>
      </c>
      <c r="BO19" t="e">
        <f>AND('Yamazumi Data'!AJ29,"AAAAAFfg90I=")</f>
        <v>#VALUE!</v>
      </c>
      <c r="BP19" t="e">
        <f>AND('Yamazumi Data'!AK29,"AAAAAFfg90M=")</f>
        <v>#VALUE!</v>
      </c>
      <c r="BQ19" t="e">
        <f>AND('Yamazumi Data'!AL29,"AAAAAFfg90Q=")</f>
        <v>#VALUE!</v>
      </c>
      <c r="BR19" t="e">
        <f>AND('Yamazumi Data'!AM29,"AAAAAFfg90U=")</f>
        <v>#VALUE!</v>
      </c>
      <c r="BS19" t="e">
        <f>AND('Yamazumi Data'!AN29,"AAAAAFfg90Y=")</f>
        <v>#VALUE!</v>
      </c>
      <c r="BT19" t="e">
        <f>AND('Yamazumi Data'!AO29,"AAAAAFfg90c=")</f>
        <v>#VALUE!</v>
      </c>
      <c r="BU19" t="e">
        <f>AND('Yamazumi Data'!R30,"AAAAAFfg90g=")</f>
        <v>#VALUE!</v>
      </c>
      <c r="BV19" t="e">
        <f>AND('Yamazumi Data'!S30,"AAAAAFfg90k=")</f>
        <v>#VALUE!</v>
      </c>
      <c r="BW19" t="e">
        <f>AND('Yamazumi Data'!T30,"AAAAAFfg90o=")</f>
        <v>#VALUE!</v>
      </c>
      <c r="BX19" t="e">
        <f>AND('Yamazumi Data'!U30,"AAAAAFfg90s=")</f>
        <v>#VALUE!</v>
      </c>
      <c r="BY19" t="e">
        <f>AND('Yamazumi Data'!V30,"AAAAAFfg90w=")</f>
        <v>#VALUE!</v>
      </c>
      <c r="BZ19" t="e">
        <f>AND('Yamazumi Data'!W30,"AAAAAFfg900=")</f>
        <v>#VALUE!</v>
      </c>
      <c r="CA19" t="e">
        <f>AND('Yamazumi Data'!X30,"AAAAAFfg904=")</f>
        <v>#VALUE!</v>
      </c>
      <c r="CB19" t="e">
        <f>AND('Yamazumi Data'!Y30,"AAAAAFfg908=")</f>
        <v>#VALUE!</v>
      </c>
      <c r="CC19" t="e">
        <f>AND('Yamazumi Data'!Z30,"AAAAAFfg91A=")</f>
        <v>#VALUE!</v>
      </c>
      <c r="CD19" t="e">
        <f>AND('Yamazumi Data'!AA30,"AAAAAFfg91E=")</f>
        <v>#VALUE!</v>
      </c>
      <c r="CE19" t="e">
        <f>AND('Yamazumi Data'!AB30,"AAAAAFfg91I=")</f>
        <v>#VALUE!</v>
      </c>
      <c r="CF19" t="e">
        <f>AND('Yamazumi Data'!AC30,"AAAAAFfg91M=")</f>
        <v>#VALUE!</v>
      </c>
      <c r="CG19" t="e">
        <f>AND('Yamazumi Data'!AD30,"AAAAAFfg91Q=")</f>
        <v>#VALUE!</v>
      </c>
      <c r="CH19" t="e">
        <f>AND('Yamazumi Data'!AE30,"AAAAAFfg91U=")</f>
        <v>#VALUE!</v>
      </c>
      <c r="CI19" t="e">
        <f>AND('Yamazumi Data'!AF30,"AAAAAFfg91Y=")</f>
        <v>#VALUE!</v>
      </c>
      <c r="CJ19" t="e">
        <f>AND('Yamazumi Data'!AG30,"AAAAAFfg91c=")</f>
        <v>#VALUE!</v>
      </c>
      <c r="CK19" t="e">
        <f>AND('Yamazumi Data'!AH30,"AAAAAFfg91g=")</f>
        <v>#VALUE!</v>
      </c>
      <c r="CL19" t="e">
        <f>AND('Yamazumi Data'!AI30,"AAAAAFfg91k=")</f>
        <v>#VALUE!</v>
      </c>
      <c r="CM19" t="e">
        <f>AND('Yamazumi Data'!AJ30,"AAAAAFfg91o=")</f>
        <v>#VALUE!</v>
      </c>
      <c r="CN19" t="e">
        <f>AND('Yamazumi Data'!AK30,"AAAAAFfg91s=")</f>
        <v>#VALUE!</v>
      </c>
      <c r="CO19" t="e">
        <f>AND('Yamazumi Data'!AL30,"AAAAAFfg91w=")</f>
        <v>#VALUE!</v>
      </c>
      <c r="CP19" t="e">
        <f>AND('Yamazumi Data'!AM30,"AAAAAFfg910=")</f>
        <v>#VALUE!</v>
      </c>
      <c r="CQ19" t="e">
        <f>AND('Yamazumi Data'!AN30,"AAAAAFfg914=")</f>
        <v>#VALUE!</v>
      </c>
      <c r="CR19" t="e">
        <f>AND('Yamazumi Data'!AO30,"AAAAAFfg918=")</f>
        <v>#VALUE!</v>
      </c>
      <c r="CS19" t="e">
        <f>AND('Yamazumi Data'!R31,"AAAAAFfg92A=")</f>
        <v>#VALUE!</v>
      </c>
      <c r="CT19" t="e">
        <f>AND('Yamazumi Data'!S31,"AAAAAFfg92E=")</f>
        <v>#VALUE!</v>
      </c>
      <c r="CU19" t="e">
        <f>AND('Yamazumi Data'!T31,"AAAAAFfg92I=")</f>
        <v>#VALUE!</v>
      </c>
      <c r="CV19" t="e">
        <f>AND('Yamazumi Data'!U31,"AAAAAFfg92M=")</f>
        <v>#VALUE!</v>
      </c>
      <c r="CW19" t="e">
        <f>AND('Yamazumi Data'!V31,"AAAAAFfg92Q=")</f>
        <v>#VALUE!</v>
      </c>
      <c r="CX19" t="e">
        <f>AND('Yamazumi Data'!W31,"AAAAAFfg92U=")</f>
        <v>#VALUE!</v>
      </c>
      <c r="CY19" t="e">
        <f>AND('Yamazumi Data'!X31,"AAAAAFfg92Y=")</f>
        <v>#VALUE!</v>
      </c>
      <c r="CZ19" t="e">
        <f>AND('Yamazumi Data'!Y31,"AAAAAFfg92c=")</f>
        <v>#VALUE!</v>
      </c>
      <c r="DA19" t="e">
        <f>AND('Yamazumi Data'!Z31,"AAAAAFfg92g=")</f>
        <v>#VALUE!</v>
      </c>
      <c r="DB19" t="e">
        <f>AND('Yamazumi Data'!AA31,"AAAAAFfg92k=")</f>
        <v>#VALUE!</v>
      </c>
      <c r="DC19" t="e">
        <f>AND('Yamazumi Data'!AB31,"AAAAAFfg92o=")</f>
        <v>#VALUE!</v>
      </c>
      <c r="DD19" t="e">
        <f>AND('Yamazumi Data'!AC31,"AAAAAFfg92s=")</f>
        <v>#VALUE!</v>
      </c>
      <c r="DE19" t="e">
        <f>AND('Yamazumi Data'!AD31,"AAAAAFfg92w=")</f>
        <v>#VALUE!</v>
      </c>
      <c r="DF19" t="e">
        <f>AND('Yamazumi Data'!AE31,"AAAAAFfg920=")</f>
        <v>#VALUE!</v>
      </c>
      <c r="DG19" t="e">
        <f>AND('Yamazumi Data'!AF31,"AAAAAFfg924=")</f>
        <v>#VALUE!</v>
      </c>
      <c r="DH19" t="e">
        <f>AND('Yamazumi Data'!AG31,"AAAAAFfg928=")</f>
        <v>#VALUE!</v>
      </c>
      <c r="DI19" t="e">
        <f>AND('Yamazumi Data'!AH31,"AAAAAFfg93A=")</f>
        <v>#VALUE!</v>
      </c>
      <c r="DJ19" t="e">
        <f>AND('Yamazumi Data'!AI31,"AAAAAFfg93E=")</f>
        <v>#VALUE!</v>
      </c>
      <c r="DK19" t="e">
        <f>AND('Yamazumi Data'!AJ31,"AAAAAFfg93I=")</f>
        <v>#VALUE!</v>
      </c>
      <c r="DL19" t="e">
        <f>AND('Yamazumi Data'!AK31,"AAAAAFfg93M=")</f>
        <v>#VALUE!</v>
      </c>
      <c r="DM19" t="e">
        <f>AND('Yamazumi Data'!AL31,"AAAAAFfg93Q=")</f>
        <v>#VALUE!</v>
      </c>
      <c r="DN19" t="e">
        <f>AND('Yamazumi Data'!AM31,"AAAAAFfg93U=")</f>
        <v>#VALUE!</v>
      </c>
      <c r="DO19" t="e">
        <f>AND('Yamazumi Data'!AN31,"AAAAAFfg93Y=")</f>
        <v>#VALUE!</v>
      </c>
      <c r="DP19" t="e">
        <f>AND('Yamazumi Data'!AO31,"AAAAAFfg93c=")</f>
        <v>#VALUE!</v>
      </c>
      <c r="DQ19" t="e">
        <f>AND('Yamazumi Data'!R32,"AAAAAFfg93g=")</f>
        <v>#VALUE!</v>
      </c>
      <c r="DR19" t="e">
        <f>AND('Yamazumi Data'!S32,"AAAAAFfg93k=")</f>
        <v>#VALUE!</v>
      </c>
      <c r="DS19" t="e">
        <f>AND('Yamazumi Data'!T32,"AAAAAFfg93o=")</f>
        <v>#VALUE!</v>
      </c>
      <c r="DT19" t="e">
        <f>AND('Yamazumi Data'!U32,"AAAAAFfg93s=")</f>
        <v>#VALUE!</v>
      </c>
      <c r="DU19" t="e">
        <f>AND('Yamazumi Data'!V32,"AAAAAFfg93w=")</f>
        <v>#VALUE!</v>
      </c>
      <c r="DV19" t="e">
        <f>AND('Yamazumi Data'!W32,"AAAAAFfg930=")</f>
        <v>#VALUE!</v>
      </c>
      <c r="DW19" t="e">
        <f>AND('Yamazumi Data'!X32,"AAAAAFfg934=")</f>
        <v>#VALUE!</v>
      </c>
      <c r="DX19" t="e">
        <f>AND('Yamazumi Data'!Y32,"AAAAAFfg938=")</f>
        <v>#VALUE!</v>
      </c>
      <c r="DY19" t="e">
        <f>AND('Yamazumi Data'!Z32,"AAAAAFfg94A=")</f>
        <v>#VALUE!</v>
      </c>
      <c r="DZ19" t="e">
        <f>AND('Yamazumi Data'!AA32,"AAAAAFfg94E=")</f>
        <v>#VALUE!</v>
      </c>
      <c r="EA19" t="e">
        <f>AND('Yamazumi Data'!AB32,"AAAAAFfg94I=")</f>
        <v>#VALUE!</v>
      </c>
      <c r="EB19" t="e">
        <f>AND('Yamazumi Data'!AC32,"AAAAAFfg94M=")</f>
        <v>#VALUE!</v>
      </c>
      <c r="EC19" t="e">
        <f>AND('Yamazumi Data'!AD32,"AAAAAFfg94Q=")</f>
        <v>#VALUE!</v>
      </c>
      <c r="ED19" t="e">
        <f>AND('Yamazumi Data'!AE32,"AAAAAFfg94U=")</f>
        <v>#VALUE!</v>
      </c>
      <c r="EE19" t="e">
        <f>AND('Yamazumi Data'!AF32,"AAAAAFfg94Y=")</f>
        <v>#VALUE!</v>
      </c>
      <c r="EF19" t="e">
        <f>AND('Yamazumi Data'!AG32,"AAAAAFfg94c=")</f>
        <v>#VALUE!</v>
      </c>
      <c r="EG19" t="e">
        <f>AND('Yamazumi Data'!AH32,"AAAAAFfg94g=")</f>
        <v>#VALUE!</v>
      </c>
      <c r="EH19" t="e">
        <f>AND('Yamazumi Data'!AI32,"AAAAAFfg94k=")</f>
        <v>#VALUE!</v>
      </c>
      <c r="EI19" t="e">
        <f>AND('Yamazumi Data'!AJ32,"AAAAAFfg94o=")</f>
        <v>#VALUE!</v>
      </c>
      <c r="EJ19" t="e">
        <f>AND('Yamazumi Data'!AK32,"AAAAAFfg94s=")</f>
        <v>#VALUE!</v>
      </c>
      <c r="EK19" t="e">
        <f>AND('Yamazumi Data'!AL32,"AAAAAFfg94w=")</f>
        <v>#VALUE!</v>
      </c>
      <c r="EL19" t="e">
        <f>AND('Yamazumi Data'!AM32,"AAAAAFfg940=")</f>
        <v>#VALUE!</v>
      </c>
      <c r="EM19" t="e">
        <f>AND('Yamazumi Data'!AN32,"AAAAAFfg944=")</f>
        <v>#VALUE!</v>
      </c>
      <c r="EN19" t="e">
        <f>AND('Yamazumi Data'!AO32,"AAAAAFfg948=")</f>
        <v>#VALUE!</v>
      </c>
      <c r="EO19" t="e">
        <f>AND('Yamazumi Data'!R33,"AAAAAFfg95A=")</f>
        <v>#VALUE!</v>
      </c>
      <c r="EP19" t="e">
        <f>AND('Yamazumi Data'!S33,"AAAAAFfg95E=")</f>
        <v>#VALUE!</v>
      </c>
      <c r="EQ19" t="e">
        <f>AND('Yamazumi Data'!T33,"AAAAAFfg95I=")</f>
        <v>#VALUE!</v>
      </c>
      <c r="ER19" t="e">
        <f>AND('Yamazumi Data'!U33,"AAAAAFfg95M=")</f>
        <v>#VALUE!</v>
      </c>
      <c r="ES19" t="e">
        <f>AND('Yamazumi Data'!V33,"AAAAAFfg95Q=")</f>
        <v>#VALUE!</v>
      </c>
      <c r="ET19" t="e">
        <f>AND('Yamazumi Data'!W33,"AAAAAFfg95U=")</f>
        <v>#VALUE!</v>
      </c>
      <c r="EU19" t="e">
        <f>AND('Yamazumi Data'!X33,"AAAAAFfg95Y=")</f>
        <v>#VALUE!</v>
      </c>
      <c r="EV19" t="e">
        <f>AND('Yamazumi Data'!Y33,"AAAAAFfg95c=")</f>
        <v>#VALUE!</v>
      </c>
      <c r="EW19" t="e">
        <f>AND('Yamazumi Data'!Z33,"AAAAAFfg95g=")</f>
        <v>#VALUE!</v>
      </c>
      <c r="EX19" t="e">
        <f>AND('Yamazumi Data'!AA33,"AAAAAFfg95k=")</f>
        <v>#VALUE!</v>
      </c>
      <c r="EY19" t="e">
        <f>AND('Yamazumi Data'!AB33,"AAAAAFfg95o=")</f>
        <v>#VALUE!</v>
      </c>
      <c r="EZ19" t="e">
        <f>AND('Yamazumi Data'!AC33,"AAAAAFfg95s=")</f>
        <v>#VALUE!</v>
      </c>
      <c r="FA19" t="e">
        <f>AND('Yamazumi Data'!AD33,"AAAAAFfg95w=")</f>
        <v>#VALUE!</v>
      </c>
      <c r="FB19" t="e">
        <f>AND('Yamazumi Data'!AE33,"AAAAAFfg950=")</f>
        <v>#VALUE!</v>
      </c>
      <c r="FC19" t="e">
        <f>AND('Yamazumi Data'!AF33,"AAAAAFfg954=")</f>
        <v>#VALUE!</v>
      </c>
      <c r="FD19" t="e">
        <f>AND('Yamazumi Data'!AG33,"AAAAAFfg958=")</f>
        <v>#VALUE!</v>
      </c>
      <c r="FE19" t="e">
        <f>AND('Yamazumi Data'!AH33,"AAAAAFfg96A=")</f>
        <v>#VALUE!</v>
      </c>
      <c r="FF19" t="e">
        <f>AND('Yamazumi Data'!AI33,"AAAAAFfg96E=")</f>
        <v>#VALUE!</v>
      </c>
      <c r="FG19" t="e">
        <f>AND('Yamazumi Data'!AJ33,"AAAAAFfg96I=")</f>
        <v>#VALUE!</v>
      </c>
      <c r="FH19" t="e">
        <f>AND('Yamazumi Data'!AK33,"AAAAAFfg96M=")</f>
        <v>#VALUE!</v>
      </c>
      <c r="FI19" t="e">
        <f>AND('Yamazumi Data'!AL33,"AAAAAFfg96Q=")</f>
        <v>#VALUE!</v>
      </c>
      <c r="FJ19" t="e">
        <f>AND('Yamazumi Data'!AM33,"AAAAAFfg96U=")</f>
        <v>#VALUE!</v>
      </c>
      <c r="FK19" t="e">
        <f>AND('Yamazumi Data'!AN33,"AAAAAFfg96Y=")</f>
        <v>#VALUE!</v>
      </c>
      <c r="FL19" t="e">
        <f>AND('Yamazumi Data'!AO33,"AAAAAFfg96c=")</f>
        <v>#VALUE!</v>
      </c>
      <c r="FM19" t="e">
        <f>AND('Yamazumi Data'!R34,"AAAAAFfg96g=")</f>
        <v>#VALUE!</v>
      </c>
      <c r="FN19" t="e">
        <f>AND('Yamazumi Data'!S34,"AAAAAFfg96k=")</f>
        <v>#VALUE!</v>
      </c>
      <c r="FO19" t="e">
        <f>AND('Yamazumi Data'!T34,"AAAAAFfg96o=")</f>
        <v>#VALUE!</v>
      </c>
      <c r="FP19" t="e">
        <f>AND('Yamazumi Data'!U34,"AAAAAFfg96s=")</f>
        <v>#VALUE!</v>
      </c>
      <c r="FQ19" t="e">
        <f>AND('Yamazumi Data'!V34,"AAAAAFfg96w=")</f>
        <v>#VALUE!</v>
      </c>
      <c r="FR19" t="e">
        <f>AND('Yamazumi Data'!W34,"AAAAAFfg960=")</f>
        <v>#VALUE!</v>
      </c>
      <c r="FS19" t="e">
        <f>AND('Yamazumi Data'!X34,"AAAAAFfg964=")</f>
        <v>#VALUE!</v>
      </c>
      <c r="FT19" t="e">
        <f>AND('Yamazumi Data'!Y34,"AAAAAFfg968=")</f>
        <v>#VALUE!</v>
      </c>
      <c r="FU19" t="e">
        <f>AND('Yamazumi Data'!Z34,"AAAAAFfg97A=")</f>
        <v>#VALUE!</v>
      </c>
      <c r="FV19" t="e">
        <f>AND('Yamazumi Data'!AA34,"AAAAAFfg97E=")</f>
        <v>#VALUE!</v>
      </c>
      <c r="FW19" t="e">
        <f>AND('Yamazumi Data'!AB34,"AAAAAFfg97I=")</f>
        <v>#VALUE!</v>
      </c>
      <c r="FX19" t="e">
        <f>AND('Yamazumi Data'!AC34,"AAAAAFfg97M=")</f>
        <v>#VALUE!</v>
      </c>
      <c r="FY19" t="e">
        <f>AND('Yamazumi Data'!AD34,"AAAAAFfg97Q=")</f>
        <v>#VALUE!</v>
      </c>
      <c r="FZ19" t="e">
        <f>AND('Yamazumi Data'!AE34,"AAAAAFfg97U=")</f>
        <v>#VALUE!</v>
      </c>
      <c r="GA19" t="e">
        <f>AND('Yamazumi Data'!AF34,"AAAAAFfg97Y=")</f>
        <v>#VALUE!</v>
      </c>
      <c r="GB19" t="e">
        <f>AND('Yamazumi Data'!AG34,"AAAAAFfg97c=")</f>
        <v>#VALUE!</v>
      </c>
      <c r="GC19" t="e">
        <f>AND('Yamazumi Data'!AH34,"AAAAAFfg97g=")</f>
        <v>#VALUE!</v>
      </c>
      <c r="GD19" t="e">
        <f>AND('Yamazumi Data'!AI34,"AAAAAFfg97k=")</f>
        <v>#VALUE!</v>
      </c>
      <c r="GE19" t="e">
        <f>AND('Yamazumi Data'!AJ34,"AAAAAFfg97o=")</f>
        <v>#VALUE!</v>
      </c>
      <c r="GF19" t="e">
        <f>AND('Yamazumi Data'!AK34,"AAAAAFfg97s=")</f>
        <v>#VALUE!</v>
      </c>
      <c r="GG19" t="e">
        <f>AND('Yamazumi Data'!AL34,"AAAAAFfg97w=")</f>
        <v>#VALUE!</v>
      </c>
      <c r="GH19" t="e">
        <f>AND('Yamazumi Data'!AM34,"AAAAAFfg970=")</f>
        <v>#VALUE!</v>
      </c>
      <c r="GI19" t="e">
        <f>AND('Yamazumi Data'!AN34,"AAAAAFfg974=")</f>
        <v>#VALUE!</v>
      </c>
      <c r="GJ19" t="e">
        <f>AND('Yamazumi Data'!AO34,"AAAAAFfg978=")</f>
        <v>#VALUE!</v>
      </c>
      <c r="GK19" t="e">
        <f>AND('Yamazumi Data'!R35,"AAAAAFfg98A=")</f>
        <v>#VALUE!</v>
      </c>
      <c r="GL19" t="e">
        <f>AND('Yamazumi Data'!S35,"AAAAAFfg98E=")</f>
        <v>#VALUE!</v>
      </c>
      <c r="GM19" t="e">
        <f>AND('Yamazumi Data'!T35,"AAAAAFfg98I=")</f>
        <v>#VALUE!</v>
      </c>
      <c r="GN19" t="e">
        <f>AND('Yamazumi Data'!U35,"AAAAAFfg98M=")</f>
        <v>#VALUE!</v>
      </c>
      <c r="GO19" t="e">
        <f>AND('Yamazumi Data'!V35,"AAAAAFfg98Q=")</f>
        <v>#VALUE!</v>
      </c>
      <c r="GP19" t="e">
        <f>AND('Yamazumi Data'!W35,"AAAAAFfg98U=")</f>
        <v>#VALUE!</v>
      </c>
      <c r="GQ19" t="e">
        <f>AND('Yamazumi Data'!X35,"AAAAAFfg98Y=")</f>
        <v>#VALUE!</v>
      </c>
      <c r="GR19" t="e">
        <f>AND('Yamazumi Data'!Y35,"AAAAAFfg98c=")</f>
        <v>#VALUE!</v>
      </c>
      <c r="GS19" t="e">
        <f>AND('Yamazumi Data'!Z35,"AAAAAFfg98g=")</f>
        <v>#VALUE!</v>
      </c>
      <c r="GT19" t="e">
        <f>AND('Yamazumi Data'!AA35,"AAAAAFfg98k=")</f>
        <v>#VALUE!</v>
      </c>
      <c r="GU19" t="e">
        <f>AND('Yamazumi Data'!AB35,"AAAAAFfg98o=")</f>
        <v>#VALUE!</v>
      </c>
      <c r="GV19" t="e">
        <f>AND('Yamazumi Data'!AC35,"AAAAAFfg98s=")</f>
        <v>#VALUE!</v>
      </c>
      <c r="GW19" t="e">
        <f>AND('Yamazumi Data'!AD35,"AAAAAFfg98w=")</f>
        <v>#VALUE!</v>
      </c>
      <c r="GX19" t="e">
        <f>AND('Yamazumi Data'!AE35,"AAAAAFfg980=")</f>
        <v>#VALUE!</v>
      </c>
      <c r="GY19" t="e">
        <f>AND('Yamazumi Data'!AF35,"AAAAAFfg984=")</f>
        <v>#VALUE!</v>
      </c>
      <c r="GZ19" t="e">
        <f>AND('Yamazumi Data'!AG35,"AAAAAFfg988=")</f>
        <v>#VALUE!</v>
      </c>
      <c r="HA19" t="e">
        <f>AND('Yamazumi Data'!AH35,"AAAAAFfg99A=")</f>
        <v>#VALUE!</v>
      </c>
      <c r="HB19" t="e">
        <f>AND('Yamazumi Data'!AI35,"AAAAAFfg99E=")</f>
        <v>#VALUE!</v>
      </c>
      <c r="HC19" t="e">
        <f>AND('Yamazumi Data'!AJ35,"AAAAAFfg99I=")</f>
        <v>#VALUE!</v>
      </c>
      <c r="HD19" t="e">
        <f>AND('Yamazumi Data'!AK35,"AAAAAFfg99M=")</f>
        <v>#VALUE!</v>
      </c>
      <c r="HE19" t="e">
        <f>AND('Yamazumi Data'!AL35,"AAAAAFfg99Q=")</f>
        <v>#VALUE!</v>
      </c>
      <c r="HF19" t="e">
        <f>AND('Yamazumi Data'!AM35,"AAAAAFfg99U=")</f>
        <v>#VALUE!</v>
      </c>
      <c r="HG19" t="e">
        <f>AND('Yamazumi Data'!AN35,"AAAAAFfg99Y=")</f>
        <v>#VALUE!</v>
      </c>
      <c r="HH19" t="e">
        <f>AND('Yamazumi Data'!AO35,"AAAAAFfg99c=")</f>
        <v>#VALUE!</v>
      </c>
      <c r="HI19" t="e">
        <f>AND('Yamazumi Data'!R36,"AAAAAFfg99g=")</f>
        <v>#VALUE!</v>
      </c>
      <c r="HJ19" t="e">
        <f>AND('Yamazumi Data'!S36,"AAAAAFfg99k=")</f>
        <v>#VALUE!</v>
      </c>
      <c r="HK19" t="e">
        <f>AND('Yamazumi Data'!T36,"AAAAAFfg99o=")</f>
        <v>#VALUE!</v>
      </c>
      <c r="HL19" t="e">
        <f>AND('Yamazumi Data'!U36,"AAAAAFfg99s=")</f>
        <v>#VALUE!</v>
      </c>
      <c r="HM19" t="e">
        <f>AND('Yamazumi Data'!V36,"AAAAAFfg99w=")</f>
        <v>#VALUE!</v>
      </c>
      <c r="HN19" t="e">
        <f>AND('Yamazumi Data'!W36,"AAAAAFfg990=")</f>
        <v>#VALUE!</v>
      </c>
      <c r="HO19" t="e">
        <f>AND('Yamazumi Data'!X36,"AAAAAFfg994=")</f>
        <v>#VALUE!</v>
      </c>
      <c r="HP19" t="e">
        <f>AND('Yamazumi Data'!Y36,"AAAAAFfg998=")</f>
        <v>#VALUE!</v>
      </c>
      <c r="HQ19" t="e">
        <f>AND('Yamazumi Data'!Z36,"AAAAAFfg9+A=")</f>
        <v>#VALUE!</v>
      </c>
      <c r="HR19" t="e">
        <f>AND('Yamazumi Data'!AA36,"AAAAAFfg9+E=")</f>
        <v>#VALUE!</v>
      </c>
      <c r="HS19" t="e">
        <f>AND('Yamazumi Data'!AB36,"AAAAAFfg9+I=")</f>
        <v>#VALUE!</v>
      </c>
      <c r="HT19" t="e">
        <f>AND('Yamazumi Data'!AC36,"AAAAAFfg9+M=")</f>
        <v>#VALUE!</v>
      </c>
      <c r="HU19" t="e">
        <f>AND('Yamazumi Data'!AD36,"AAAAAFfg9+Q=")</f>
        <v>#VALUE!</v>
      </c>
      <c r="HV19" t="e">
        <f>AND('Yamazumi Data'!AE36,"AAAAAFfg9+U=")</f>
        <v>#VALUE!</v>
      </c>
      <c r="HW19" t="e">
        <f>AND('Yamazumi Data'!AF36,"AAAAAFfg9+Y=")</f>
        <v>#VALUE!</v>
      </c>
      <c r="HX19" t="e">
        <f>AND('Yamazumi Data'!AG36,"AAAAAFfg9+c=")</f>
        <v>#VALUE!</v>
      </c>
      <c r="HY19" t="e">
        <f>AND('Yamazumi Data'!AH36,"AAAAAFfg9+g=")</f>
        <v>#VALUE!</v>
      </c>
      <c r="HZ19" t="e">
        <f>AND('Yamazumi Data'!AI36,"AAAAAFfg9+k=")</f>
        <v>#VALUE!</v>
      </c>
      <c r="IA19" t="e">
        <f>AND('Yamazumi Data'!AJ36,"AAAAAFfg9+o=")</f>
        <v>#VALUE!</v>
      </c>
      <c r="IB19" t="e">
        <f>AND('Yamazumi Data'!AK36,"AAAAAFfg9+s=")</f>
        <v>#VALUE!</v>
      </c>
      <c r="IC19" t="e">
        <f>AND('Yamazumi Data'!AL36,"AAAAAFfg9+w=")</f>
        <v>#VALUE!</v>
      </c>
      <c r="ID19" t="e">
        <f>AND('Yamazumi Data'!AM36,"AAAAAFfg9+0=")</f>
        <v>#VALUE!</v>
      </c>
      <c r="IE19" t="e">
        <f>AND('Yamazumi Data'!AN36,"AAAAAFfg9+4=")</f>
        <v>#VALUE!</v>
      </c>
      <c r="IF19" t="e">
        <f>AND('Yamazumi Data'!AO36,"AAAAAFfg9+8=")</f>
        <v>#VALUE!</v>
      </c>
      <c r="IG19" t="e">
        <f>AND('Yamazumi Data'!R37,"AAAAAFfg9/A=")</f>
        <v>#VALUE!</v>
      </c>
      <c r="IH19" t="e">
        <f>AND('Yamazumi Data'!S37,"AAAAAFfg9/E=")</f>
        <v>#VALUE!</v>
      </c>
      <c r="II19" t="e">
        <f>AND('Yamazumi Data'!T37,"AAAAAFfg9/I=")</f>
        <v>#VALUE!</v>
      </c>
      <c r="IJ19" t="e">
        <f>AND('Yamazumi Data'!U37,"AAAAAFfg9/M=")</f>
        <v>#VALUE!</v>
      </c>
      <c r="IK19" t="e">
        <f>AND('Yamazumi Data'!V37,"AAAAAFfg9/Q=")</f>
        <v>#VALUE!</v>
      </c>
      <c r="IL19" t="e">
        <f>AND('Yamazumi Data'!W37,"AAAAAFfg9/U=")</f>
        <v>#VALUE!</v>
      </c>
      <c r="IM19" t="e">
        <f>AND('Yamazumi Data'!X37,"AAAAAFfg9/Y=")</f>
        <v>#VALUE!</v>
      </c>
      <c r="IN19" t="e">
        <f>AND('Yamazumi Data'!Y37,"AAAAAFfg9/c=")</f>
        <v>#VALUE!</v>
      </c>
      <c r="IO19" t="e">
        <f>AND('Yamazumi Data'!Z37,"AAAAAFfg9/g=")</f>
        <v>#VALUE!</v>
      </c>
      <c r="IP19" t="e">
        <f>AND('Yamazumi Data'!AA37,"AAAAAFfg9/k=")</f>
        <v>#VALUE!</v>
      </c>
      <c r="IQ19" t="e">
        <f>AND('Yamazumi Data'!AB37,"AAAAAFfg9/o=")</f>
        <v>#VALUE!</v>
      </c>
      <c r="IR19" t="e">
        <f>AND('Yamazumi Data'!AC37,"AAAAAFfg9/s=")</f>
        <v>#VALUE!</v>
      </c>
      <c r="IS19" t="e">
        <f>AND('Yamazumi Data'!AD37,"AAAAAFfg9/w=")</f>
        <v>#VALUE!</v>
      </c>
      <c r="IT19" t="e">
        <f>AND('Yamazumi Data'!AE37,"AAAAAFfg9/0=")</f>
        <v>#VALUE!</v>
      </c>
      <c r="IU19" t="e">
        <f>AND('Yamazumi Data'!AF37,"AAAAAFfg9/4=")</f>
        <v>#VALUE!</v>
      </c>
      <c r="IV19" t="e">
        <f>AND('Yamazumi Data'!AG37,"AAAAAFfg9/8=")</f>
        <v>#VALUE!</v>
      </c>
    </row>
    <row r="20" spans="1:256" ht="14.45" x14ac:dyDescent="0.3">
      <c r="A20" t="e">
        <f>AND('Yamazumi Data'!AH37,"AAAAAD3H/gA=")</f>
        <v>#VALUE!</v>
      </c>
      <c r="B20" t="e">
        <f>AND('Yamazumi Data'!AI37,"AAAAAD3H/gE=")</f>
        <v>#VALUE!</v>
      </c>
      <c r="C20" t="e">
        <f>AND('Yamazumi Data'!AJ37,"AAAAAD3H/gI=")</f>
        <v>#VALUE!</v>
      </c>
      <c r="D20" t="e">
        <f>AND('Yamazumi Data'!AK37,"AAAAAD3H/gM=")</f>
        <v>#VALUE!</v>
      </c>
      <c r="E20" t="e">
        <f>AND('Yamazumi Data'!AL37,"AAAAAD3H/gQ=")</f>
        <v>#VALUE!</v>
      </c>
      <c r="F20" t="e">
        <f>AND('Yamazumi Data'!AM37,"AAAAAD3H/gU=")</f>
        <v>#VALUE!</v>
      </c>
      <c r="G20" t="e">
        <f>AND('Yamazumi Data'!AN37,"AAAAAD3H/gY=")</f>
        <v>#VALUE!</v>
      </c>
      <c r="H20" t="e">
        <f>AND('Yamazumi Data'!AO37,"AAAAAD3H/gc=")</f>
        <v>#VALUE!</v>
      </c>
      <c r="I20" t="e">
        <f>AND('Yamazumi Data'!R38,"AAAAAD3H/gg=")</f>
        <v>#VALUE!</v>
      </c>
      <c r="J20" t="e">
        <f>AND('Yamazumi Data'!S38,"AAAAAD3H/gk=")</f>
        <v>#VALUE!</v>
      </c>
      <c r="K20" t="e">
        <f>AND('Yamazumi Data'!T38,"AAAAAD3H/go=")</f>
        <v>#VALUE!</v>
      </c>
      <c r="L20" t="e">
        <f>AND('Yamazumi Data'!U38,"AAAAAD3H/gs=")</f>
        <v>#VALUE!</v>
      </c>
      <c r="M20" t="e">
        <f>AND('Yamazumi Data'!V38,"AAAAAD3H/gw=")</f>
        <v>#VALUE!</v>
      </c>
      <c r="N20" t="e">
        <f>AND('Yamazumi Data'!W38,"AAAAAD3H/g0=")</f>
        <v>#VALUE!</v>
      </c>
      <c r="O20" t="e">
        <f>AND('Yamazumi Data'!X38,"AAAAAD3H/g4=")</f>
        <v>#VALUE!</v>
      </c>
      <c r="P20" t="e">
        <f>AND('Yamazumi Data'!Y38,"AAAAAD3H/g8=")</f>
        <v>#VALUE!</v>
      </c>
      <c r="Q20" t="e">
        <f>AND('Yamazumi Data'!Z38,"AAAAAD3H/hA=")</f>
        <v>#VALUE!</v>
      </c>
      <c r="R20" t="e">
        <f>AND('Yamazumi Data'!AA38,"AAAAAD3H/hE=")</f>
        <v>#VALUE!</v>
      </c>
      <c r="S20" t="e">
        <f>AND('Yamazumi Data'!AB38,"AAAAAD3H/hI=")</f>
        <v>#VALUE!</v>
      </c>
      <c r="T20" t="e">
        <f>AND('Yamazumi Data'!AC38,"AAAAAD3H/hM=")</f>
        <v>#VALUE!</v>
      </c>
      <c r="U20" t="e">
        <f>AND('Yamazumi Data'!AD38,"AAAAAD3H/hQ=")</f>
        <v>#VALUE!</v>
      </c>
      <c r="V20" t="e">
        <f>AND('Yamazumi Data'!AE38,"AAAAAD3H/hU=")</f>
        <v>#VALUE!</v>
      </c>
      <c r="W20" t="e">
        <f>AND('Yamazumi Data'!AF38,"AAAAAD3H/hY=")</f>
        <v>#VALUE!</v>
      </c>
      <c r="X20" t="e">
        <f>AND('Yamazumi Data'!AG38,"AAAAAD3H/hc=")</f>
        <v>#VALUE!</v>
      </c>
      <c r="Y20" t="e">
        <f>AND('Yamazumi Data'!AH38,"AAAAAD3H/hg=")</f>
        <v>#VALUE!</v>
      </c>
      <c r="Z20" t="e">
        <f>AND('Yamazumi Data'!AI38,"AAAAAD3H/hk=")</f>
        <v>#VALUE!</v>
      </c>
      <c r="AA20" t="e">
        <f>AND('Yamazumi Data'!AJ38,"AAAAAD3H/ho=")</f>
        <v>#VALUE!</v>
      </c>
      <c r="AB20" t="e">
        <f>AND('Yamazumi Data'!AK38,"AAAAAD3H/hs=")</f>
        <v>#VALUE!</v>
      </c>
      <c r="AC20" t="e">
        <f>AND('Yamazumi Data'!AL38,"AAAAAD3H/hw=")</f>
        <v>#VALUE!</v>
      </c>
      <c r="AD20" t="e">
        <f>AND('Yamazumi Data'!AM38,"AAAAAD3H/h0=")</f>
        <v>#VALUE!</v>
      </c>
      <c r="AE20" t="e">
        <f>AND('Yamazumi Data'!AN38,"AAAAAD3H/h4=")</f>
        <v>#VALUE!</v>
      </c>
      <c r="AF20" t="e">
        <f>AND('Yamazumi Data'!AO38,"AAAAAD3H/h8=")</f>
        <v>#VALUE!</v>
      </c>
      <c r="AG20" t="e">
        <f>AND('Yamazumi Data'!R39,"AAAAAD3H/iA=")</f>
        <v>#VALUE!</v>
      </c>
      <c r="AH20" t="e">
        <f>AND('Yamazumi Data'!S39,"AAAAAD3H/iE=")</f>
        <v>#VALUE!</v>
      </c>
      <c r="AI20" t="e">
        <f>AND('Yamazumi Data'!T39,"AAAAAD3H/iI=")</f>
        <v>#VALUE!</v>
      </c>
      <c r="AJ20" t="e">
        <f>AND('Yamazumi Data'!U39,"AAAAAD3H/iM=")</f>
        <v>#VALUE!</v>
      </c>
      <c r="AK20" t="e">
        <f>AND('Yamazumi Data'!V39,"AAAAAD3H/iQ=")</f>
        <v>#VALUE!</v>
      </c>
      <c r="AL20" t="e">
        <f>AND('Yamazumi Data'!W39,"AAAAAD3H/iU=")</f>
        <v>#VALUE!</v>
      </c>
      <c r="AM20" t="e">
        <f>AND('Yamazumi Data'!X39,"AAAAAD3H/iY=")</f>
        <v>#VALUE!</v>
      </c>
      <c r="AN20" t="e">
        <f>AND('Yamazumi Data'!Y39,"AAAAAD3H/ic=")</f>
        <v>#VALUE!</v>
      </c>
      <c r="AO20" t="e">
        <f>AND('Yamazumi Data'!Z39,"AAAAAD3H/ig=")</f>
        <v>#VALUE!</v>
      </c>
      <c r="AP20" t="e">
        <f>AND('Yamazumi Data'!AA39,"AAAAAD3H/ik=")</f>
        <v>#VALUE!</v>
      </c>
      <c r="AQ20" t="e">
        <f>AND('Yamazumi Data'!AB39,"AAAAAD3H/io=")</f>
        <v>#VALUE!</v>
      </c>
      <c r="AR20" t="e">
        <f>AND('Yamazumi Data'!AC39,"AAAAAD3H/is=")</f>
        <v>#VALUE!</v>
      </c>
      <c r="AS20" t="e">
        <f>AND('Yamazumi Data'!AD39,"AAAAAD3H/iw=")</f>
        <v>#VALUE!</v>
      </c>
      <c r="AT20" t="e">
        <f>AND('Yamazumi Data'!AE39,"AAAAAD3H/i0=")</f>
        <v>#VALUE!</v>
      </c>
      <c r="AU20" t="e">
        <f>AND('Yamazumi Data'!AF39,"AAAAAD3H/i4=")</f>
        <v>#VALUE!</v>
      </c>
      <c r="AV20" t="e">
        <f>AND('Yamazumi Data'!AG39,"AAAAAD3H/i8=")</f>
        <v>#VALUE!</v>
      </c>
      <c r="AW20" t="e">
        <f>AND('Yamazumi Data'!AH39,"AAAAAD3H/jA=")</f>
        <v>#VALUE!</v>
      </c>
      <c r="AX20" t="e">
        <f>AND('Yamazumi Data'!AI39,"AAAAAD3H/jE=")</f>
        <v>#VALUE!</v>
      </c>
      <c r="AY20" t="e">
        <f>AND('Yamazumi Data'!AJ39,"AAAAAD3H/jI=")</f>
        <v>#VALUE!</v>
      </c>
      <c r="AZ20" t="e">
        <f>AND('Yamazumi Data'!AK39,"AAAAAD3H/jM=")</f>
        <v>#VALUE!</v>
      </c>
      <c r="BA20" t="e">
        <f>AND('Yamazumi Data'!AL39,"AAAAAD3H/jQ=")</f>
        <v>#VALUE!</v>
      </c>
      <c r="BB20" t="e">
        <f>AND('Yamazumi Data'!AM39,"AAAAAD3H/jU=")</f>
        <v>#VALUE!</v>
      </c>
      <c r="BC20" t="e">
        <f>AND('Yamazumi Data'!AN39,"AAAAAD3H/jY=")</f>
        <v>#VALUE!</v>
      </c>
      <c r="BD20" t="e">
        <f>AND('Yamazumi Data'!AO39,"AAAAAD3H/jc=")</f>
        <v>#VALUE!</v>
      </c>
      <c r="BE20" t="e">
        <f>AND('Yamazumi Data'!R40,"AAAAAD3H/jg=")</f>
        <v>#VALUE!</v>
      </c>
      <c r="BF20" t="e">
        <f>AND('Yamazumi Data'!S40,"AAAAAD3H/jk=")</f>
        <v>#VALUE!</v>
      </c>
      <c r="BG20" t="e">
        <f>AND('Yamazumi Data'!T40,"AAAAAD3H/jo=")</f>
        <v>#VALUE!</v>
      </c>
      <c r="BH20" t="e">
        <f>AND('Yamazumi Data'!U40,"AAAAAD3H/js=")</f>
        <v>#VALUE!</v>
      </c>
      <c r="BI20" t="e">
        <f>AND('Yamazumi Data'!V40,"AAAAAD3H/jw=")</f>
        <v>#VALUE!</v>
      </c>
      <c r="BJ20" t="e">
        <f>AND('Yamazumi Data'!W40,"AAAAAD3H/j0=")</f>
        <v>#VALUE!</v>
      </c>
      <c r="BK20" t="e">
        <f>AND('Yamazumi Data'!X40,"AAAAAD3H/j4=")</f>
        <v>#VALUE!</v>
      </c>
      <c r="BL20" t="e">
        <f>AND('Yamazumi Data'!Y40,"AAAAAD3H/j8=")</f>
        <v>#VALUE!</v>
      </c>
      <c r="BM20" t="e">
        <f>AND('Yamazumi Data'!Z40,"AAAAAD3H/kA=")</f>
        <v>#VALUE!</v>
      </c>
      <c r="BN20" t="e">
        <f>AND('Yamazumi Data'!AA40,"AAAAAD3H/kE=")</f>
        <v>#VALUE!</v>
      </c>
      <c r="BO20" t="e">
        <f>AND('Yamazumi Data'!AB40,"AAAAAD3H/kI=")</f>
        <v>#VALUE!</v>
      </c>
      <c r="BP20" t="e">
        <f>AND('Yamazumi Data'!AC40,"AAAAAD3H/kM=")</f>
        <v>#VALUE!</v>
      </c>
      <c r="BQ20" t="e">
        <f>AND('Yamazumi Data'!AD40,"AAAAAD3H/kQ=")</f>
        <v>#VALUE!</v>
      </c>
      <c r="BR20" t="e">
        <f>AND('Yamazumi Data'!AE40,"AAAAAD3H/kU=")</f>
        <v>#VALUE!</v>
      </c>
      <c r="BS20" t="e">
        <f>AND('Yamazumi Data'!AF40,"AAAAAD3H/kY=")</f>
        <v>#VALUE!</v>
      </c>
      <c r="BT20" t="e">
        <f>AND('Yamazumi Data'!AG40,"AAAAAD3H/kc=")</f>
        <v>#VALUE!</v>
      </c>
      <c r="BU20" t="e">
        <f>AND('Yamazumi Data'!AH40,"AAAAAD3H/kg=")</f>
        <v>#VALUE!</v>
      </c>
      <c r="BV20" t="e">
        <f>AND('Yamazumi Data'!AI40,"AAAAAD3H/kk=")</f>
        <v>#VALUE!</v>
      </c>
      <c r="BW20" t="e">
        <f>AND('Yamazumi Data'!AJ40,"AAAAAD3H/ko=")</f>
        <v>#VALUE!</v>
      </c>
      <c r="BX20" t="e">
        <f>AND('Yamazumi Data'!AK40,"AAAAAD3H/ks=")</f>
        <v>#VALUE!</v>
      </c>
      <c r="BY20" t="e">
        <f>AND('Yamazumi Data'!AL40,"AAAAAD3H/kw=")</f>
        <v>#VALUE!</v>
      </c>
      <c r="BZ20" t="e">
        <f>AND('Yamazumi Data'!AM40,"AAAAAD3H/k0=")</f>
        <v>#VALUE!</v>
      </c>
      <c r="CA20" t="e">
        <f>AND('Yamazumi Data'!AN40,"AAAAAD3H/k4=")</f>
        <v>#VALUE!</v>
      </c>
      <c r="CB20" t="e">
        <f>AND('Yamazumi Data'!AO40,"AAAAAD3H/k8=")</f>
        <v>#VALUE!</v>
      </c>
      <c r="CC20" t="e">
        <f>AND('Yamazumi Data'!R41,"AAAAAD3H/lA=")</f>
        <v>#VALUE!</v>
      </c>
      <c r="CD20" t="e">
        <f>AND('Yamazumi Data'!S41,"AAAAAD3H/lE=")</f>
        <v>#VALUE!</v>
      </c>
      <c r="CE20" t="e">
        <f>AND('Yamazumi Data'!T41,"AAAAAD3H/lI=")</f>
        <v>#VALUE!</v>
      </c>
      <c r="CF20" t="e">
        <f>AND('Yamazumi Data'!U41,"AAAAAD3H/lM=")</f>
        <v>#VALUE!</v>
      </c>
      <c r="CG20" t="e">
        <f>AND('Yamazumi Data'!V41,"AAAAAD3H/lQ=")</f>
        <v>#VALUE!</v>
      </c>
      <c r="CH20" t="e">
        <f>AND('Yamazumi Data'!W41,"AAAAAD3H/lU=")</f>
        <v>#VALUE!</v>
      </c>
      <c r="CI20" t="e">
        <f>AND('Yamazumi Data'!X41,"AAAAAD3H/lY=")</f>
        <v>#VALUE!</v>
      </c>
      <c r="CJ20" t="e">
        <f>AND('Yamazumi Data'!Y41,"AAAAAD3H/lc=")</f>
        <v>#VALUE!</v>
      </c>
      <c r="CK20" t="e">
        <f>AND('Yamazumi Data'!Z41,"AAAAAD3H/lg=")</f>
        <v>#VALUE!</v>
      </c>
      <c r="CL20" t="e">
        <f>AND('Yamazumi Data'!AA41,"AAAAAD3H/lk=")</f>
        <v>#VALUE!</v>
      </c>
      <c r="CM20" t="e">
        <f>AND('Yamazumi Data'!AB41,"AAAAAD3H/lo=")</f>
        <v>#VALUE!</v>
      </c>
      <c r="CN20" t="e">
        <f>AND('Yamazumi Data'!AC41,"AAAAAD3H/ls=")</f>
        <v>#VALUE!</v>
      </c>
      <c r="CO20" t="e">
        <f>AND('Yamazumi Data'!AD41,"AAAAAD3H/lw=")</f>
        <v>#VALUE!</v>
      </c>
      <c r="CP20" t="e">
        <f>AND('Yamazumi Data'!AE41,"AAAAAD3H/l0=")</f>
        <v>#VALUE!</v>
      </c>
      <c r="CQ20" t="e">
        <f>AND('Yamazumi Data'!AF41,"AAAAAD3H/l4=")</f>
        <v>#VALUE!</v>
      </c>
      <c r="CR20" t="e">
        <f>AND('Yamazumi Data'!AG41,"AAAAAD3H/l8=")</f>
        <v>#VALUE!</v>
      </c>
      <c r="CS20" t="e">
        <f>AND('Yamazumi Data'!AH41,"AAAAAD3H/mA=")</f>
        <v>#VALUE!</v>
      </c>
      <c r="CT20" t="e">
        <f>AND('Yamazumi Data'!AI41,"AAAAAD3H/mE=")</f>
        <v>#VALUE!</v>
      </c>
      <c r="CU20" t="e">
        <f>AND('Yamazumi Data'!AJ41,"AAAAAD3H/mI=")</f>
        <v>#VALUE!</v>
      </c>
      <c r="CV20" t="e">
        <f>AND('Yamazumi Data'!AK41,"AAAAAD3H/mM=")</f>
        <v>#VALUE!</v>
      </c>
      <c r="CW20" t="e">
        <f>AND('Yamazumi Data'!AL41,"AAAAAD3H/mQ=")</f>
        <v>#VALUE!</v>
      </c>
      <c r="CX20" t="e">
        <f>AND('Yamazumi Data'!AM41,"AAAAAD3H/mU=")</f>
        <v>#VALUE!</v>
      </c>
      <c r="CY20" t="e">
        <f>AND('Yamazumi Data'!AN41,"AAAAAD3H/mY=")</f>
        <v>#VALUE!</v>
      </c>
      <c r="CZ20" t="e">
        <f>AND('Yamazumi Data'!AO41,"AAAAAD3H/mc=")</f>
        <v>#VALUE!</v>
      </c>
      <c r="DA20" t="e">
        <f>AND('Yamazumi Data'!R42,"AAAAAD3H/mg=")</f>
        <v>#VALUE!</v>
      </c>
      <c r="DB20" t="e">
        <f>AND('Yamazumi Data'!S42,"AAAAAD3H/mk=")</f>
        <v>#VALUE!</v>
      </c>
      <c r="DC20" t="e">
        <f>AND('Yamazumi Data'!T42,"AAAAAD3H/mo=")</f>
        <v>#VALUE!</v>
      </c>
      <c r="DD20" t="e">
        <f>AND('Yamazumi Data'!U42,"AAAAAD3H/ms=")</f>
        <v>#VALUE!</v>
      </c>
      <c r="DE20" t="e">
        <f>AND('Yamazumi Data'!V42,"AAAAAD3H/mw=")</f>
        <v>#VALUE!</v>
      </c>
      <c r="DF20" t="e">
        <f>AND('Yamazumi Data'!W42,"AAAAAD3H/m0=")</f>
        <v>#VALUE!</v>
      </c>
      <c r="DG20" t="e">
        <f>AND('Yamazumi Data'!X42,"AAAAAD3H/m4=")</f>
        <v>#VALUE!</v>
      </c>
      <c r="DH20" t="e">
        <f>AND('Yamazumi Data'!Y42,"AAAAAD3H/m8=")</f>
        <v>#VALUE!</v>
      </c>
      <c r="DI20" t="e">
        <f>AND('Yamazumi Data'!Z42,"AAAAAD3H/nA=")</f>
        <v>#VALUE!</v>
      </c>
      <c r="DJ20" t="e">
        <f>AND('Yamazumi Data'!AA42,"AAAAAD3H/nE=")</f>
        <v>#VALUE!</v>
      </c>
      <c r="DK20" t="e">
        <f>AND('Yamazumi Data'!AB42,"AAAAAD3H/nI=")</f>
        <v>#VALUE!</v>
      </c>
      <c r="DL20" t="e">
        <f>AND('Yamazumi Data'!AC42,"AAAAAD3H/nM=")</f>
        <v>#VALUE!</v>
      </c>
      <c r="DM20" t="e">
        <f>AND('Yamazumi Data'!AD42,"AAAAAD3H/nQ=")</f>
        <v>#VALUE!</v>
      </c>
      <c r="DN20" t="e">
        <f>AND('Yamazumi Data'!AE42,"AAAAAD3H/nU=")</f>
        <v>#VALUE!</v>
      </c>
      <c r="DO20" t="e">
        <f>AND('Yamazumi Data'!AF42,"AAAAAD3H/nY=")</f>
        <v>#VALUE!</v>
      </c>
      <c r="DP20" t="e">
        <f>AND('Yamazumi Data'!AG42,"AAAAAD3H/nc=")</f>
        <v>#VALUE!</v>
      </c>
      <c r="DQ20" t="e">
        <f>AND('Yamazumi Data'!AH42,"AAAAAD3H/ng=")</f>
        <v>#VALUE!</v>
      </c>
      <c r="DR20" t="e">
        <f>AND('Yamazumi Data'!AI42,"AAAAAD3H/nk=")</f>
        <v>#VALUE!</v>
      </c>
      <c r="DS20" t="e">
        <f>AND('Yamazumi Data'!AJ42,"AAAAAD3H/no=")</f>
        <v>#VALUE!</v>
      </c>
      <c r="DT20" t="e">
        <f>AND('Yamazumi Data'!AK42,"AAAAAD3H/ns=")</f>
        <v>#VALUE!</v>
      </c>
      <c r="DU20" t="e">
        <f>AND('Yamazumi Data'!AL42,"AAAAAD3H/nw=")</f>
        <v>#VALUE!</v>
      </c>
      <c r="DV20" t="e">
        <f>AND('Yamazumi Data'!AM42,"AAAAAD3H/n0=")</f>
        <v>#VALUE!</v>
      </c>
      <c r="DW20" t="e">
        <f>AND('Yamazumi Data'!AN42,"AAAAAD3H/n4=")</f>
        <v>#VALUE!</v>
      </c>
      <c r="DX20" t="e">
        <f>AND('Yamazumi Data'!AO42,"AAAAAD3H/n8=")</f>
        <v>#VALUE!</v>
      </c>
      <c r="DY20" t="e">
        <f>AND('Yamazumi Data'!R43,"AAAAAD3H/oA=")</f>
        <v>#VALUE!</v>
      </c>
      <c r="DZ20" t="e">
        <f>AND('Yamazumi Data'!S43,"AAAAAD3H/oE=")</f>
        <v>#VALUE!</v>
      </c>
      <c r="EA20" t="e">
        <f>AND('Yamazumi Data'!T43,"AAAAAD3H/oI=")</f>
        <v>#VALUE!</v>
      </c>
      <c r="EB20" t="e">
        <f>AND('Yamazumi Data'!U43,"AAAAAD3H/oM=")</f>
        <v>#VALUE!</v>
      </c>
      <c r="EC20" t="e">
        <f>AND('Yamazumi Data'!V43,"AAAAAD3H/oQ=")</f>
        <v>#VALUE!</v>
      </c>
      <c r="ED20" t="e">
        <f>AND('Yamazumi Data'!W43,"AAAAAD3H/oU=")</f>
        <v>#VALUE!</v>
      </c>
      <c r="EE20" t="e">
        <f>AND('Yamazumi Data'!X43,"AAAAAD3H/oY=")</f>
        <v>#VALUE!</v>
      </c>
      <c r="EF20" t="e">
        <f>AND('Yamazumi Data'!Y43,"AAAAAD3H/oc=")</f>
        <v>#VALUE!</v>
      </c>
      <c r="EG20" t="e">
        <f>AND('Yamazumi Data'!Z43,"AAAAAD3H/og=")</f>
        <v>#VALUE!</v>
      </c>
      <c r="EH20" t="e">
        <f>AND('Yamazumi Data'!AA43,"AAAAAD3H/ok=")</f>
        <v>#VALUE!</v>
      </c>
      <c r="EI20" t="e">
        <f>AND('Yamazumi Data'!AB43,"AAAAAD3H/oo=")</f>
        <v>#VALUE!</v>
      </c>
      <c r="EJ20" t="e">
        <f>AND('Yamazumi Data'!AC43,"AAAAAD3H/os=")</f>
        <v>#VALUE!</v>
      </c>
      <c r="EK20" t="e">
        <f>AND('Yamazumi Data'!AD43,"AAAAAD3H/ow=")</f>
        <v>#VALUE!</v>
      </c>
      <c r="EL20" t="e">
        <f>AND('Yamazumi Data'!AE43,"AAAAAD3H/o0=")</f>
        <v>#VALUE!</v>
      </c>
      <c r="EM20" t="e">
        <f>AND('Yamazumi Data'!AF43,"AAAAAD3H/o4=")</f>
        <v>#VALUE!</v>
      </c>
      <c r="EN20" t="e">
        <f>AND('Yamazumi Data'!AG43,"AAAAAD3H/o8=")</f>
        <v>#VALUE!</v>
      </c>
      <c r="EO20" t="e">
        <f>AND('Yamazumi Data'!AH43,"AAAAAD3H/pA=")</f>
        <v>#VALUE!</v>
      </c>
      <c r="EP20" t="e">
        <f>AND('Yamazumi Data'!AI43,"AAAAAD3H/pE=")</f>
        <v>#VALUE!</v>
      </c>
      <c r="EQ20" t="e">
        <f>AND('Yamazumi Data'!AJ43,"AAAAAD3H/pI=")</f>
        <v>#VALUE!</v>
      </c>
      <c r="ER20" t="e">
        <f>AND('Yamazumi Data'!AK43,"AAAAAD3H/pM=")</f>
        <v>#VALUE!</v>
      </c>
      <c r="ES20" t="e">
        <f>AND('Yamazumi Data'!AL43,"AAAAAD3H/pQ=")</f>
        <v>#VALUE!</v>
      </c>
      <c r="ET20" t="e">
        <f>AND('Yamazumi Data'!AM43,"AAAAAD3H/pU=")</f>
        <v>#VALUE!</v>
      </c>
      <c r="EU20" t="e">
        <f>AND('Yamazumi Data'!AN43,"AAAAAD3H/pY=")</f>
        <v>#VALUE!</v>
      </c>
      <c r="EV20" t="e">
        <f>AND('Yamazumi Data'!AO43,"AAAAAD3H/pc=")</f>
        <v>#VALUE!</v>
      </c>
      <c r="EW20" t="e">
        <f>AND('Yamazumi Data'!R44,"AAAAAD3H/pg=")</f>
        <v>#VALUE!</v>
      </c>
      <c r="EX20" t="e">
        <f>AND('Yamazumi Data'!S44,"AAAAAD3H/pk=")</f>
        <v>#VALUE!</v>
      </c>
      <c r="EY20" t="e">
        <f>AND('Yamazumi Data'!T44,"AAAAAD3H/po=")</f>
        <v>#VALUE!</v>
      </c>
      <c r="EZ20" t="e">
        <f>AND('Yamazumi Data'!U44,"AAAAAD3H/ps=")</f>
        <v>#VALUE!</v>
      </c>
      <c r="FA20" t="e">
        <f>AND('Yamazumi Data'!V44,"AAAAAD3H/pw=")</f>
        <v>#VALUE!</v>
      </c>
      <c r="FB20" t="e">
        <f>AND('Yamazumi Data'!W44,"AAAAAD3H/p0=")</f>
        <v>#VALUE!</v>
      </c>
      <c r="FC20" t="e">
        <f>AND('Yamazumi Data'!X44,"AAAAAD3H/p4=")</f>
        <v>#VALUE!</v>
      </c>
      <c r="FD20" t="e">
        <f>AND('Yamazumi Data'!Y44,"AAAAAD3H/p8=")</f>
        <v>#VALUE!</v>
      </c>
      <c r="FE20" t="e">
        <f>AND('Yamazumi Data'!Z44,"AAAAAD3H/qA=")</f>
        <v>#VALUE!</v>
      </c>
      <c r="FF20" t="e">
        <f>AND('Yamazumi Data'!AA44,"AAAAAD3H/qE=")</f>
        <v>#VALUE!</v>
      </c>
      <c r="FG20" t="e">
        <f>AND('Yamazumi Data'!AB44,"AAAAAD3H/qI=")</f>
        <v>#VALUE!</v>
      </c>
      <c r="FH20" t="e">
        <f>AND('Yamazumi Data'!AC44,"AAAAAD3H/qM=")</f>
        <v>#VALUE!</v>
      </c>
      <c r="FI20" t="e">
        <f>AND('Yamazumi Data'!AD44,"AAAAAD3H/qQ=")</f>
        <v>#VALUE!</v>
      </c>
      <c r="FJ20" t="e">
        <f>AND('Yamazumi Data'!AE44,"AAAAAD3H/qU=")</f>
        <v>#VALUE!</v>
      </c>
      <c r="FK20" t="e">
        <f>AND('Yamazumi Data'!AF44,"AAAAAD3H/qY=")</f>
        <v>#VALUE!</v>
      </c>
      <c r="FL20" t="e">
        <f>AND('Yamazumi Data'!AG44,"AAAAAD3H/qc=")</f>
        <v>#VALUE!</v>
      </c>
      <c r="FM20" t="e">
        <f>AND('Yamazumi Data'!AH44,"AAAAAD3H/qg=")</f>
        <v>#VALUE!</v>
      </c>
      <c r="FN20" t="e">
        <f>AND('Yamazumi Data'!AI44,"AAAAAD3H/qk=")</f>
        <v>#VALUE!</v>
      </c>
      <c r="FO20" t="e">
        <f>AND('Yamazumi Data'!AJ44,"AAAAAD3H/qo=")</f>
        <v>#VALUE!</v>
      </c>
      <c r="FP20" t="e">
        <f>AND('Yamazumi Data'!AK44,"AAAAAD3H/qs=")</f>
        <v>#VALUE!</v>
      </c>
      <c r="FQ20" t="e">
        <f>AND('Yamazumi Data'!AL44,"AAAAAD3H/qw=")</f>
        <v>#VALUE!</v>
      </c>
      <c r="FR20" t="e">
        <f>AND('Yamazumi Data'!AM44,"AAAAAD3H/q0=")</f>
        <v>#VALUE!</v>
      </c>
      <c r="FS20" t="e">
        <f>AND('Yamazumi Data'!AN44,"AAAAAD3H/q4=")</f>
        <v>#VALUE!</v>
      </c>
      <c r="FT20" t="e">
        <f>AND('Yamazumi Data'!AO44,"AAAAAD3H/q8=")</f>
        <v>#VALUE!</v>
      </c>
      <c r="FU20" t="e">
        <f>AND('Yamazumi Data'!R45,"AAAAAD3H/rA=")</f>
        <v>#VALUE!</v>
      </c>
      <c r="FV20" t="e">
        <f>AND('Yamazumi Data'!S45,"AAAAAD3H/rE=")</f>
        <v>#VALUE!</v>
      </c>
      <c r="FW20" t="e">
        <f>AND('Yamazumi Data'!T45,"AAAAAD3H/rI=")</f>
        <v>#VALUE!</v>
      </c>
      <c r="FX20" t="e">
        <f>AND('Yamazumi Data'!U45,"AAAAAD3H/rM=")</f>
        <v>#VALUE!</v>
      </c>
      <c r="FY20" t="e">
        <f>AND('Yamazumi Data'!V45,"AAAAAD3H/rQ=")</f>
        <v>#VALUE!</v>
      </c>
      <c r="FZ20" t="e">
        <f>AND('Yamazumi Data'!W45,"AAAAAD3H/rU=")</f>
        <v>#VALUE!</v>
      </c>
      <c r="GA20" t="e">
        <f>AND('Yamazumi Data'!X45,"AAAAAD3H/rY=")</f>
        <v>#VALUE!</v>
      </c>
      <c r="GB20" t="e">
        <f>AND('Yamazumi Data'!Y45,"AAAAAD3H/rc=")</f>
        <v>#VALUE!</v>
      </c>
      <c r="GC20" t="e">
        <f>AND('Yamazumi Data'!Z45,"AAAAAD3H/rg=")</f>
        <v>#VALUE!</v>
      </c>
      <c r="GD20" t="e">
        <f>AND('Yamazumi Data'!AA45,"AAAAAD3H/rk=")</f>
        <v>#VALUE!</v>
      </c>
      <c r="GE20" t="e">
        <f>AND('Yamazumi Data'!AB45,"AAAAAD3H/ro=")</f>
        <v>#VALUE!</v>
      </c>
      <c r="GF20" t="e">
        <f>AND('Yamazumi Data'!AC45,"AAAAAD3H/rs=")</f>
        <v>#VALUE!</v>
      </c>
      <c r="GG20" t="e">
        <f>AND('Yamazumi Data'!AD45,"AAAAAD3H/rw=")</f>
        <v>#VALUE!</v>
      </c>
      <c r="GH20" t="e">
        <f>AND('Yamazumi Data'!AE45,"AAAAAD3H/r0=")</f>
        <v>#VALUE!</v>
      </c>
      <c r="GI20" t="e">
        <f>AND('Yamazumi Data'!AF45,"AAAAAD3H/r4=")</f>
        <v>#VALUE!</v>
      </c>
      <c r="GJ20" t="e">
        <f>AND('Yamazumi Data'!AG45,"AAAAAD3H/r8=")</f>
        <v>#VALUE!</v>
      </c>
      <c r="GK20" t="e">
        <f>AND('Yamazumi Data'!AH45,"AAAAAD3H/sA=")</f>
        <v>#VALUE!</v>
      </c>
      <c r="GL20" t="e">
        <f>AND('Yamazumi Data'!AI45,"AAAAAD3H/sE=")</f>
        <v>#VALUE!</v>
      </c>
      <c r="GM20" t="e">
        <f>AND('Yamazumi Data'!AJ45,"AAAAAD3H/sI=")</f>
        <v>#VALUE!</v>
      </c>
      <c r="GN20" t="e">
        <f>AND('Yamazumi Data'!AK45,"AAAAAD3H/sM=")</f>
        <v>#VALUE!</v>
      </c>
      <c r="GO20" t="e">
        <f>AND('Yamazumi Data'!AL45,"AAAAAD3H/sQ=")</f>
        <v>#VALUE!</v>
      </c>
      <c r="GP20" t="e">
        <f>AND('Yamazumi Data'!AM45,"AAAAAD3H/sU=")</f>
        <v>#VALUE!</v>
      </c>
      <c r="GQ20" t="e">
        <f>AND('Yamazumi Data'!AN45,"AAAAAD3H/sY=")</f>
        <v>#VALUE!</v>
      </c>
      <c r="GR20" t="e">
        <f>AND('Yamazumi Data'!AO45,"AAAAAD3H/sc=")</f>
        <v>#VALUE!</v>
      </c>
      <c r="GS20" t="e">
        <f>AND('Yamazumi Data'!R46,"AAAAAD3H/sg=")</f>
        <v>#VALUE!</v>
      </c>
      <c r="GT20" t="e">
        <f>AND('Yamazumi Data'!S46,"AAAAAD3H/sk=")</f>
        <v>#VALUE!</v>
      </c>
      <c r="GU20" t="e">
        <f>AND('Yamazumi Data'!T46,"AAAAAD3H/so=")</f>
        <v>#VALUE!</v>
      </c>
      <c r="GV20" t="e">
        <f>AND('Yamazumi Data'!U46,"AAAAAD3H/ss=")</f>
        <v>#VALUE!</v>
      </c>
      <c r="GW20" t="e">
        <f>AND('Yamazumi Data'!V46,"AAAAAD3H/sw=")</f>
        <v>#VALUE!</v>
      </c>
      <c r="GX20" t="e">
        <f>AND('Yamazumi Data'!W46,"AAAAAD3H/s0=")</f>
        <v>#VALUE!</v>
      </c>
      <c r="GY20" t="e">
        <f>AND('Yamazumi Data'!X46,"AAAAAD3H/s4=")</f>
        <v>#VALUE!</v>
      </c>
      <c r="GZ20" t="e">
        <f>AND('Yamazumi Data'!Y46,"AAAAAD3H/s8=")</f>
        <v>#VALUE!</v>
      </c>
      <c r="HA20" t="e">
        <f>AND('Yamazumi Data'!Z46,"AAAAAD3H/tA=")</f>
        <v>#VALUE!</v>
      </c>
      <c r="HB20" t="e">
        <f>AND('Yamazumi Data'!AA46,"AAAAAD3H/tE=")</f>
        <v>#VALUE!</v>
      </c>
      <c r="HC20" t="e">
        <f>AND('Yamazumi Data'!AB46,"AAAAAD3H/tI=")</f>
        <v>#VALUE!</v>
      </c>
      <c r="HD20" t="e">
        <f>AND('Yamazumi Data'!AC46,"AAAAAD3H/tM=")</f>
        <v>#VALUE!</v>
      </c>
      <c r="HE20" t="e">
        <f>AND('Yamazumi Data'!AD46,"AAAAAD3H/tQ=")</f>
        <v>#VALUE!</v>
      </c>
      <c r="HF20" t="e">
        <f>AND('Yamazumi Data'!AE46,"AAAAAD3H/tU=")</f>
        <v>#VALUE!</v>
      </c>
      <c r="HG20" t="e">
        <f>AND('Yamazumi Data'!AF46,"AAAAAD3H/tY=")</f>
        <v>#VALUE!</v>
      </c>
      <c r="HH20" t="e">
        <f>AND('Yamazumi Data'!AG46,"AAAAAD3H/tc=")</f>
        <v>#VALUE!</v>
      </c>
      <c r="HI20" t="e">
        <f>AND('Yamazumi Data'!AH46,"AAAAAD3H/tg=")</f>
        <v>#VALUE!</v>
      </c>
      <c r="HJ20" t="e">
        <f>AND('Yamazumi Data'!AI46,"AAAAAD3H/tk=")</f>
        <v>#VALUE!</v>
      </c>
      <c r="HK20" t="e">
        <f>AND('Yamazumi Data'!AJ46,"AAAAAD3H/to=")</f>
        <v>#VALUE!</v>
      </c>
      <c r="HL20" t="e">
        <f>AND('Yamazumi Data'!AK46,"AAAAAD3H/ts=")</f>
        <v>#VALUE!</v>
      </c>
      <c r="HM20" t="e">
        <f>AND('Yamazumi Data'!AL46,"AAAAAD3H/tw=")</f>
        <v>#VALUE!</v>
      </c>
      <c r="HN20" t="e">
        <f>AND('Yamazumi Data'!AM46,"AAAAAD3H/t0=")</f>
        <v>#VALUE!</v>
      </c>
      <c r="HO20" t="e">
        <f>AND('Yamazumi Data'!AN46,"AAAAAD3H/t4=")</f>
        <v>#VALUE!</v>
      </c>
      <c r="HP20" t="e">
        <f>AND('Yamazumi Data'!AO46,"AAAAAD3H/t8=")</f>
        <v>#VALUE!</v>
      </c>
      <c r="HQ20" t="e">
        <f>AND('Yamazumi Data'!R47,"AAAAAD3H/uA=")</f>
        <v>#VALUE!</v>
      </c>
      <c r="HR20" t="e">
        <f>AND('Yamazumi Data'!S47,"AAAAAD3H/uE=")</f>
        <v>#VALUE!</v>
      </c>
      <c r="HS20" t="e">
        <f>AND('Yamazumi Data'!T47,"AAAAAD3H/uI=")</f>
        <v>#VALUE!</v>
      </c>
      <c r="HT20" t="e">
        <f>AND('Yamazumi Data'!U47,"AAAAAD3H/uM=")</f>
        <v>#VALUE!</v>
      </c>
      <c r="HU20" t="e">
        <f>AND('Yamazumi Data'!V47,"AAAAAD3H/uQ=")</f>
        <v>#VALUE!</v>
      </c>
      <c r="HV20" t="e">
        <f>AND('Yamazumi Data'!W47,"AAAAAD3H/uU=")</f>
        <v>#VALUE!</v>
      </c>
      <c r="HW20" t="e">
        <f>AND('Yamazumi Data'!X47,"AAAAAD3H/uY=")</f>
        <v>#VALUE!</v>
      </c>
      <c r="HX20" t="e">
        <f>AND('Yamazumi Data'!Y47,"AAAAAD3H/uc=")</f>
        <v>#VALUE!</v>
      </c>
      <c r="HY20" t="e">
        <f>AND('Yamazumi Data'!Z47,"AAAAAD3H/ug=")</f>
        <v>#VALUE!</v>
      </c>
      <c r="HZ20" t="e">
        <f>AND('Yamazumi Data'!AA47,"AAAAAD3H/uk=")</f>
        <v>#VALUE!</v>
      </c>
      <c r="IA20" t="e">
        <f>AND('Yamazumi Data'!AB47,"AAAAAD3H/uo=")</f>
        <v>#VALUE!</v>
      </c>
      <c r="IB20" t="e">
        <f>AND('Yamazumi Data'!AC47,"AAAAAD3H/us=")</f>
        <v>#VALUE!</v>
      </c>
      <c r="IC20" t="e">
        <f>AND('Yamazumi Data'!AD47,"AAAAAD3H/uw=")</f>
        <v>#VALUE!</v>
      </c>
      <c r="ID20" t="e">
        <f>AND('Yamazumi Data'!AE47,"AAAAAD3H/u0=")</f>
        <v>#VALUE!</v>
      </c>
      <c r="IE20" t="e">
        <f>AND('Yamazumi Data'!AF47,"AAAAAD3H/u4=")</f>
        <v>#VALUE!</v>
      </c>
      <c r="IF20" t="e">
        <f>AND('Yamazumi Data'!AG47,"AAAAAD3H/u8=")</f>
        <v>#VALUE!</v>
      </c>
      <c r="IG20" t="e">
        <f>AND('Yamazumi Data'!AH47,"AAAAAD3H/vA=")</f>
        <v>#VALUE!</v>
      </c>
      <c r="IH20" t="e">
        <f>AND('Yamazumi Data'!AI47,"AAAAAD3H/vE=")</f>
        <v>#VALUE!</v>
      </c>
      <c r="II20" t="e">
        <f>AND('Yamazumi Data'!AJ47,"AAAAAD3H/vI=")</f>
        <v>#VALUE!</v>
      </c>
      <c r="IJ20" t="e">
        <f>AND('Yamazumi Data'!AK47,"AAAAAD3H/vM=")</f>
        <v>#VALUE!</v>
      </c>
      <c r="IK20" t="e">
        <f>AND('Yamazumi Data'!AL47,"AAAAAD3H/vQ=")</f>
        <v>#VALUE!</v>
      </c>
      <c r="IL20" t="e">
        <f>AND('Yamazumi Data'!AM47,"AAAAAD3H/vU=")</f>
        <v>#VALUE!</v>
      </c>
      <c r="IM20" t="e">
        <f>AND('Yamazumi Data'!AN47,"AAAAAD3H/vY=")</f>
        <v>#VALUE!</v>
      </c>
      <c r="IN20" t="e">
        <f>AND('Yamazumi Data'!AO47,"AAAAAD3H/vc=")</f>
        <v>#VALUE!</v>
      </c>
      <c r="IO20" t="e">
        <f>AND('Yamazumi Data'!R48,"AAAAAD3H/vg=")</f>
        <v>#VALUE!</v>
      </c>
      <c r="IP20" t="e">
        <f>AND('Yamazumi Data'!S48,"AAAAAD3H/vk=")</f>
        <v>#VALUE!</v>
      </c>
      <c r="IQ20" t="e">
        <f>AND('Yamazumi Data'!T48,"AAAAAD3H/vo=")</f>
        <v>#VALUE!</v>
      </c>
      <c r="IR20" t="e">
        <f>AND('Yamazumi Data'!U48,"AAAAAD3H/vs=")</f>
        <v>#VALUE!</v>
      </c>
      <c r="IS20" t="e">
        <f>AND('Yamazumi Data'!V48,"AAAAAD3H/vw=")</f>
        <v>#VALUE!</v>
      </c>
      <c r="IT20" t="e">
        <f>AND('Yamazumi Data'!W48,"AAAAAD3H/v0=")</f>
        <v>#VALUE!</v>
      </c>
      <c r="IU20" t="e">
        <f>AND('Yamazumi Data'!X48,"AAAAAD3H/v4=")</f>
        <v>#VALUE!</v>
      </c>
      <c r="IV20" t="e">
        <f>AND('Yamazumi Data'!Y48,"AAAAAD3H/v8=")</f>
        <v>#VALUE!</v>
      </c>
    </row>
    <row r="21" spans="1:256" ht="14.45" x14ac:dyDescent="0.3">
      <c r="A21" t="e">
        <f>AND('Yamazumi Data'!Z48,"AAAAAH//2wA=")</f>
        <v>#VALUE!</v>
      </c>
      <c r="B21" t="e">
        <f>AND('Yamazumi Data'!AA48,"AAAAAH//2wE=")</f>
        <v>#VALUE!</v>
      </c>
      <c r="C21" t="e">
        <f>AND('Yamazumi Data'!AB48,"AAAAAH//2wI=")</f>
        <v>#VALUE!</v>
      </c>
      <c r="D21" t="e">
        <f>AND('Yamazumi Data'!AC48,"AAAAAH//2wM=")</f>
        <v>#VALUE!</v>
      </c>
      <c r="E21" t="e">
        <f>AND('Yamazumi Data'!AD48,"AAAAAH//2wQ=")</f>
        <v>#VALUE!</v>
      </c>
      <c r="F21" t="e">
        <f>AND('Yamazumi Data'!AE48,"AAAAAH//2wU=")</f>
        <v>#VALUE!</v>
      </c>
      <c r="G21" t="e">
        <f>AND('Yamazumi Data'!AF48,"AAAAAH//2wY=")</f>
        <v>#VALUE!</v>
      </c>
      <c r="H21" t="e">
        <f>AND('Yamazumi Data'!AG48,"AAAAAH//2wc=")</f>
        <v>#VALUE!</v>
      </c>
      <c r="I21" t="e">
        <f>AND('Yamazumi Data'!AH48,"AAAAAH//2wg=")</f>
        <v>#VALUE!</v>
      </c>
      <c r="J21" t="e">
        <f>AND('Yamazumi Data'!AI48,"AAAAAH//2wk=")</f>
        <v>#VALUE!</v>
      </c>
      <c r="K21" t="e">
        <f>AND('Yamazumi Data'!AJ48,"AAAAAH//2wo=")</f>
        <v>#VALUE!</v>
      </c>
      <c r="L21" t="e">
        <f>AND('Yamazumi Data'!AK48,"AAAAAH//2ws=")</f>
        <v>#VALUE!</v>
      </c>
      <c r="M21" t="e">
        <f>AND('Yamazumi Data'!AL48,"AAAAAH//2ww=")</f>
        <v>#VALUE!</v>
      </c>
      <c r="N21" t="e">
        <f>AND('Yamazumi Data'!AM48,"AAAAAH//2w0=")</f>
        <v>#VALUE!</v>
      </c>
      <c r="O21" t="e">
        <f>AND('Yamazumi Data'!AN48,"AAAAAH//2w4=")</f>
        <v>#VALUE!</v>
      </c>
      <c r="P21" t="e">
        <f>AND('Yamazumi Data'!AO48,"AAAAAH//2w8=")</f>
        <v>#VALUE!</v>
      </c>
      <c r="Q21" t="e">
        <f>AND('Yamazumi Data'!R49,"AAAAAH//2xA=")</f>
        <v>#VALUE!</v>
      </c>
      <c r="R21" t="e">
        <f>AND('Yamazumi Data'!S49,"AAAAAH//2xE=")</f>
        <v>#VALUE!</v>
      </c>
      <c r="S21" t="e">
        <f>AND('Yamazumi Data'!T49,"AAAAAH//2xI=")</f>
        <v>#VALUE!</v>
      </c>
      <c r="T21" t="e">
        <f>AND('Yamazumi Data'!U49,"AAAAAH//2xM=")</f>
        <v>#VALUE!</v>
      </c>
      <c r="U21" t="e">
        <f>AND('Yamazumi Data'!V49,"AAAAAH//2xQ=")</f>
        <v>#VALUE!</v>
      </c>
      <c r="V21" t="e">
        <f>AND('Yamazumi Data'!W49,"AAAAAH//2xU=")</f>
        <v>#VALUE!</v>
      </c>
      <c r="W21" t="e">
        <f>AND('Yamazumi Data'!X49,"AAAAAH//2xY=")</f>
        <v>#VALUE!</v>
      </c>
      <c r="X21" t="e">
        <f>AND('Yamazumi Data'!Y49,"AAAAAH//2xc=")</f>
        <v>#VALUE!</v>
      </c>
      <c r="Y21" t="e">
        <f>AND('Yamazumi Data'!Z49,"AAAAAH//2xg=")</f>
        <v>#VALUE!</v>
      </c>
      <c r="Z21" t="e">
        <f>AND('Yamazumi Data'!AA49,"AAAAAH//2xk=")</f>
        <v>#VALUE!</v>
      </c>
      <c r="AA21" t="e">
        <f>AND('Yamazumi Data'!AB49,"AAAAAH//2xo=")</f>
        <v>#VALUE!</v>
      </c>
      <c r="AB21" t="e">
        <f>AND('Yamazumi Data'!AC49,"AAAAAH//2xs=")</f>
        <v>#VALUE!</v>
      </c>
      <c r="AC21" t="e">
        <f>AND('Yamazumi Data'!AD49,"AAAAAH//2xw=")</f>
        <v>#VALUE!</v>
      </c>
      <c r="AD21" t="e">
        <f>AND('Yamazumi Data'!AE49,"AAAAAH//2x0=")</f>
        <v>#VALUE!</v>
      </c>
      <c r="AE21" t="e">
        <f>AND('Yamazumi Data'!AF49,"AAAAAH//2x4=")</f>
        <v>#VALUE!</v>
      </c>
      <c r="AF21" t="e">
        <f>AND('Yamazumi Data'!AG49,"AAAAAH//2x8=")</f>
        <v>#VALUE!</v>
      </c>
      <c r="AG21" t="e">
        <f>AND('Yamazumi Data'!AH49,"AAAAAH//2yA=")</f>
        <v>#VALUE!</v>
      </c>
      <c r="AH21" t="e">
        <f>AND('Yamazumi Data'!AI49,"AAAAAH//2yE=")</f>
        <v>#VALUE!</v>
      </c>
      <c r="AI21" t="e">
        <f>AND('Yamazumi Data'!AJ49,"AAAAAH//2yI=")</f>
        <v>#VALUE!</v>
      </c>
      <c r="AJ21" t="e">
        <f>AND('Yamazumi Data'!AK49,"AAAAAH//2yM=")</f>
        <v>#VALUE!</v>
      </c>
      <c r="AK21" t="e">
        <f>AND('Yamazumi Data'!AL49,"AAAAAH//2yQ=")</f>
        <v>#VALUE!</v>
      </c>
      <c r="AL21" t="e">
        <f>AND('Yamazumi Data'!AM49,"AAAAAH//2yU=")</f>
        <v>#VALUE!</v>
      </c>
      <c r="AM21" t="e">
        <f>AND('Yamazumi Data'!AN49,"AAAAAH//2yY=")</f>
        <v>#VALUE!</v>
      </c>
      <c r="AN21" t="e">
        <f>AND('Yamazumi Data'!AO49,"AAAAAH//2yc=")</f>
        <v>#VALUE!</v>
      </c>
      <c r="AO21" t="e">
        <f>AND('Yamazumi Data'!R50,"AAAAAH//2yg=")</f>
        <v>#VALUE!</v>
      </c>
      <c r="AP21" t="e">
        <f>AND('Yamazumi Data'!S50,"AAAAAH//2yk=")</f>
        <v>#VALUE!</v>
      </c>
      <c r="AQ21" t="e">
        <f>AND('Yamazumi Data'!T50,"AAAAAH//2yo=")</f>
        <v>#VALUE!</v>
      </c>
      <c r="AR21" t="e">
        <f>AND('Yamazumi Data'!U50,"AAAAAH//2ys=")</f>
        <v>#VALUE!</v>
      </c>
      <c r="AS21" t="e">
        <f>AND('Yamazumi Data'!V50,"AAAAAH//2yw=")</f>
        <v>#VALUE!</v>
      </c>
      <c r="AT21" t="e">
        <f>AND('Yamazumi Data'!W50,"AAAAAH//2y0=")</f>
        <v>#VALUE!</v>
      </c>
      <c r="AU21" t="e">
        <f>AND('Yamazumi Data'!X50,"AAAAAH//2y4=")</f>
        <v>#VALUE!</v>
      </c>
      <c r="AV21" t="e">
        <f>AND('Yamazumi Data'!Y50,"AAAAAH//2y8=")</f>
        <v>#VALUE!</v>
      </c>
      <c r="AW21" t="e">
        <f>AND('Yamazumi Data'!Z50,"AAAAAH//2zA=")</f>
        <v>#VALUE!</v>
      </c>
      <c r="AX21" t="e">
        <f>AND('Yamazumi Data'!AA50,"AAAAAH//2zE=")</f>
        <v>#VALUE!</v>
      </c>
      <c r="AY21" t="e">
        <f>AND('Yamazumi Data'!AB50,"AAAAAH//2zI=")</f>
        <v>#VALUE!</v>
      </c>
      <c r="AZ21" t="e">
        <f>AND('Yamazumi Data'!AC50,"AAAAAH//2zM=")</f>
        <v>#VALUE!</v>
      </c>
      <c r="BA21" t="e">
        <f>AND('Yamazumi Data'!AD50,"AAAAAH//2zQ=")</f>
        <v>#VALUE!</v>
      </c>
      <c r="BB21" t="e">
        <f>AND('Yamazumi Data'!AE50,"AAAAAH//2zU=")</f>
        <v>#VALUE!</v>
      </c>
      <c r="BC21" t="e">
        <f>AND('Yamazumi Data'!AF50,"AAAAAH//2zY=")</f>
        <v>#VALUE!</v>
      </c>
      <c r="BD21" t="e">
        <f>AND('Yamazumi Data'!AG50,"AAAAAH//2zc=")</f>
        <v>#VALUE!</v>
      </c>
      <c r="BE21" t="e">
        <f>AND('Yamazumi Data'!AH50,"AAAAAH//2zg=")</f>
        <v>#VALUE!</v>
      </c>
      <c r="BF21" t="e">
        <f>AND('Yamazumi Data'!AI50,"AAAAAH//2zk=")</f>
        <v>#VALUE!</v>
      </c>
      <c r="BG21" t="e">
        <f>AND('Yamazumi Data'!AJ50,"AAAAAH//2zo=")</f>
        <v>#VALUE!</v>
      </c>
      <c r="BH21" t="e">
        <f>AND('Yamazumi Data'!AK50,"AAAAAH//2zs=")</f>
        <v>#VALUE!</v>
      </c>
      <c r="BI21" t="e">
        <f>AND('Yamazumi Data'!AL50,"AAAAAH//2zw=")</f>
        <v>#VALUE!</v>
      </c>
      <c r="BJ21" t="e">
        <f>AND('Yamazumi Data'!AM50,"AAAAAH//2z0=")</f>
        <v>#VALUE!</v>
      </c>
      <c r="BK21" t="e">
        <f>AND('Yamazumi Data'!AN50,"AAAAAH//2z4=")</f>
        <v>#VALUE!</v>
      </c>
      <c r="BL21" t="e">
        <f>AND('Yamazumi Data'!AO50,"AAAAAH//2z8=")</f>
        <v>#VALUE!</v>
      </c>
      <c r="BM21" t="e">
        <f>AND('Yamazumi Data'!R92,"AAAAAH//20A=")</f>
        <v>#VALUE!</v>
      </c>
      <c r="BN21" t="e">
        <f>AND('Yamazumi Data'!S92,"AAAAAH//20E=")</f>
        <v>#VALUE!</v>
      </c>
      <c r="BO21" t="e">
        <f>AND('Yamazumi Data'!T92,"AAAAAH//20I=")</f>
        <v>#VALUE!</v>
      </c>
      <c r="BP21" t="e">
        <f>AND('Yamazumi Data'!U92,"AAAAAH//20M=")</f>
        <v>#VALUE!</v>
      </c>
      <c r="BQ21" t="e">
        <f>AND('Yamazumi Data'!V92,"AAAAAH//20Q=")</f>
        <v>#VALUE!</v>
      </c>
      <c r="BR21" t="e">
        <f>AND('Yamazumi Data'!W92,"AAAAAH//20U=")</f>
        <v>#VALUE!</v>
      </c>
      <c r="BS21" t="e">
        <f>AND('Yamazumi Data'!X92,"AAAAAH//20Y=")</f>
        <v>#VALUE!</v>
      </c>
      <c r="BT21" t="e">
        <f>AND('Yamazumi Data'!Y92,"AAAAAH//20c=")</f>
        <v>#VALUE!</v>
      </c>
      <c r="BU21" t="e">
        <f>AND('Yamazumi Data'!Z92,"AAAAAH//20g=")</f>
        <v>#VALUE!</v>
      </c>
      <c r="BV21" t="e">
        <f>AND('Yamazumi Data'!AA92,"AAAAAH//20k=")</f>
        <v>#VALUE!</v>
      </c>
      <c r="BW21" t="e">
        <f>AND('Yamazumi Data'!AB92,"AAAAAH//20o=")</f>
        <v>#VALUE!</v>
      </c>
      <c r="BX21" t="e">
        <f>AND('Yamazumi Data'!AC92,"AAAAAH//20s=")</f>
        <v>#VALUE!</v>
      </c>
      <c r="BY21" t="e">
        <f>AND('Yamazumi Data'!AD92,"AAAAAH//20w=")</f>
        <v>#VALUE!</v>
      </c>
      <c r="BZ21" t="e">
        <f>AND('Yamazumi Data'!AE92,"AAAAAH//200=")</f>
        <v>#VALUE!</v>
      </c>
      <c r="CA21" t="e">
        <f>AND('Yamazumi Data'!AF92,"AAAAAH//204=")</f>
        <v>#VALUE!</v>
      </c>
      <c r="CB21" t="e">
        <f>AND('Yamazumi Data'!AG92,"AAAAAH//208=")</f>
        <v>#VALUE!</v>
      </c>
      <c r="CC21" t="e">
        <f>AND('Yamazumi Data'!AH92,"AAAAAH//21A=")</f>
        <v>#VALUE!</v>
      </c>
      <c r="CD21" t="e">
        <f>AND('Yamazumi Data'!AI92,"AAAAAH//21E=")</f>
        <v>#VALUE!</v>
      </c>
      <c r="CE21" t="e">
        <f>AND('Yamazumi Data'!AJ92,"AAAAAH//21I=")</f>
        <v>#VALUE!</v>
      </c>
      <c r="CF21" t="e">
        <f>AND('Yamazumi Data'!AK92,"AAAAAH//21M=")</f>
        <v>#VALUE!</v>
      </c>
      <c r="CG21" t="e">
        <f>AND('Yamazumi Data'!AL92,"AAAAAH//21Q=")</f>
        <v>#VALUE!</v>
      </c>
      <c r="CH21" t="e">
        <f>AND('Yamazumi Data'!AM92,"AAAAAH//21U=")</f>
        <v>#VALUE!</v>
      </c>
      <c r="CI21" t="e">
        <f>AND('Yamazumi Data'!AN92,"AAAAAH//21Y=")</f>
        <v>#VALUE!</v>
      </c>
      <c r="CJ21" t="e">
        <f>AND('Yamazumi Data'!AO92,"AAAAAH//21c=")</f>
        <v>#VALUE!</v>
      </c>
      <c r="CK21" t="e">
        <f>AND('Yamazumi Data'!R93,"AAAAAH//21g=")</f>
        <v>#VALUE!</v>
      </c>
      <c r="CL21" t="e">
        <f>AND('Yamazumi Data'!S93,"AAAAAH//21k=")</f>
        <v>#VALUE!</v>
      </c>
      <c r="CM21" t="e">
        <f>AND('Yamazumi Data'!T93,"AAAAAH//21o=")</f>
        <v>#VALUE!</v>
      </c>
      <c r="CN21" t="e">
        <f>AND('Yamazumi Data'!U93,"AAAAAH//21s=")</f>
        <v>#VALUE!</v>
      </c>
      <c r="CO21" t="e">
        <f>AND('Yamazumi Data'!V93,"AAAAAH//21w=")</f>
        <v>#VALUE!</v>
      </c>
      <c r="CP21" t="e">
        <f>AND('Yamazumi Data'!W93,"AAAAAH//210=")</f>
        <v>#VALUE!</v>
      </c>
      <c r="CQ21" t="e">
        <f>AND('Yamazumi Data'!X93,"AAAAAH//214=")</f>
        <v>#VALUE!</v>
      </c>
      <c r="CR21" t="e">
        <f>AND('Yamazumi Data'!Y93,"AAAAAH//218=")</f>
        <v>#VALUE!</v>
      </c>
      <c r="CS21" t="e">
        <f>AND('Yamazumi Data'!Z93,"AAAAAH//22A=")</f>
        <v>#VALUE!</v>
      </c>
      <c r="CT21" t="e">
        <f>AND('Yamazumi Data'!AA93,"AAAAAH//22E=")</f>
        <v>#VALUE!</v>
      </c>
      <c r="CU21" t="e">
        <f>AND('Yamazumi Data'!AB93,"AAAAAH//22I=")</f>
        <v>#VALUE!</v>
      </c>
      <c r="CV21" t="e">
        <f>AND('Yamazumi Data'!AC93,"AAAAAH//22M=")</f>
        <v>#VALUE!</v>
      </c>
      <c r="CW21" t="e">
        <f>AND('Yamazumi Data'!AD93,"AAAAAH//22Q=")</f>
        <v>#VALUE!</v>
      </c>
      <c r="CX21" t="e">
        <f>AND('Yamazumi Data'!AE93,"AAAAAH//22U=")</f>
        <v>#VALUE!</v>
      </c>
      <c r="CY21" t="e">
        <f>AND('Yamazumi Data'!AF93,"AAAAAH//22Y=")</f>
        <v>#VALUE!</v>
      </c>
      <c r="CZ21" t="e">
        <f>AND('Yamazumi Data'!AG93,"AAAAAH//22c=")</f>
        <v>#VALUE!</v>
      </c>
      <c r="DA21" t="e">
        <f>AND('Yamazumi Data'!AH93,"AAAAAH//22g=")</f>
        <v>#VALUE!</v>
      </c>
      <c r="DB21" t="e">
        <f>AND('Yamazumi Data'!AI93,"AAAAAH//22k=")</f>
        <v>#VALUE!</v>
      </c>
      <c r="DC21" t="e">
        <f>AND('Yamazumi Data'!AJ93,"AAAAAH//22o=")</f>
        <v>#VALUE!</v>
      </c>
      <c r="DD21" t="e">
        <f>AND('Yamazumi Data'!AK93,"AAAAAH//22s=")</f>
        <v>#VALUE!</v>
      </c>
      <c r="DE21" t="e">
        <f>AND('Yamazumi Data'!AL93,"AAAAAH//22w=")</f>
        <v>#VALUE!</v>
      </c>
      <c r="DF21" t="e">
        <f>AND('Yamazumi Data'!AM93,"AAAAAH//220=")</f>
        <v>#VALUE!</v>
      </c>
      <c r="DG21" t="e">
        <f>AND('Yamazumi Data'!AN93,"AAAAAH//224=")</f>
        <v>#VALUE!</v>
      </c>
      <c r="DH21" t="e">
        <f>AND('Yamazumi Data'!AO93,"AAAAAH//228=")</f>
        <v>#VALUE!</v>
      </c>
      <c r="DI21" t="e">
        <f>AND('Yamazumi Data'!R94,"AAAAAH//23A=")</f>
        <v>#VALUE!</v>
      </c>
      <c r="DJ21" t="e">
        <f>AND('Yamazumi Data'!S94,"AAAAAH//23E=")</f>
        <v>#VALUE!</v>
      </c>
      <c r="DK21" t="e">
        <f>AND('Yamazumi Data'!T94,"AAAAAH//23I=")</f>
        <v>#VALUE!</v>
      </c>
      <c r="DL21" t="e">
        <f>AND('Yamazumi Data'!U94,"AAAAAH//23M=")</f>
        <v>#VALUE!</v>
      </c>
      <c r="DM21" t="e">
        <f>AND('Yamazumi Data'!V94,"AAAAAH//23Q=")</f>
        <v>#VALUE!</v>
      </c>
      <c r="DN21" t="e">
        <f>AND('Yamazumi Data'!W94,"AAAAAH//23U=")</f>
        <v>#VALUE!</v>
      </c>
      <c r="DO21" t="e">
        <f>AND('Yamazumi Data'!X94,"AAAAAH//23Y=")</f>
        <v>#VALUE!</v>
      </c>
      <c r="DP21" t="e">
        <f>AND('Yamazumi Data'!Y94,"AAAAAH//23c=")</f>
        <v>#VALUE!</v>
      </c>
      <c r="DQ21" t="e">
        <f>AND('Yamazumi Data'!Z94,"AAAAAH//23g=")</f>
        <v>#VALUE!</v>
      </c>
      <c r="DR21" t="e">
        <f>AND('Yamazumi Data'!AA94,"AAAAAH//23k=")</f>
        <v>#VALUE!</v>
      </c>
      <c r="DS21" t="e">
        <f>AND('Yamazumi Data'!AB94,"AAAAAH//23o=")</f>
        <v>#VALUE!</v>
      </c>
      <c r="DT21" t="e">
        <f>AND('Yamazumi Data'!AC94,"AAAAAH//23s=")</f>
        <v>#VALUE!</v>
      </c>
      <c r="DU21" t="e">
        <f>AND('Yamazumi Data'!AD94,"AAAAAH//23w=")</f>
        <v>#VALUE!</v>
      </c>
      <c r="DV21" t="e">
        <f>AND('Yamazumi Data'!AE94,"AAAAAH//230=")</f>
        <v>#VALUE!</v>
      </c>
      <c r="DW21" t="e">
        <f>AND('Yamazumi Data'!AF94,"AAAAAH//234=")</f>
        <v>#VALUE!</v>
      </c>
      <c r="DX21" t="e">
        <f>AND('Yamazumi Data'!AG94,"AAAAAH//238=")</f>
        <v>#VALUE!</v>
      </c>
      <c r="DY21" t="e">
        <f>AND('Yamazumi Data'!AH94,"AAAAAH//24A=")</f>
        <v>#VALUE!</v>
      </c>
      <c r="DZ21" t="e">
        <f>AND('Yamazumi Data'!AI94,"AAAAAH//24E=")</f>
        <v>#VALUE!</v>
      </c>
      <c r="EA21" t="e">
        <f>AND('Yamazumi Data'!AJ94,"AAAAAH//24I=")</f>
        <v>#VALUE!</v>
      </c>
      <c r="EB21" t="e">
        <f>AND('Yamazumi Data'!AK94,"AAAAAH//24M=")</f>
        <v>#VALUE!</v>
      </c>
      <c r="EC21" t="e">
        <f>AND('Yamazumi Data'!AL94,"AAAAAH//24Q=")</f>
        <v>#VALUE!</v>
      </c>
      <c r="ED21" t="e">
        <f>AND('Yamazumi Data'!AM94,"AAAAAH//24U=")</f>
        <v>#VALUE!</v>
      </c>
      <c r="EE21" t="e">
        <f>AND('Yamazumi Data'!AN94,"AAAAAH//24Y=")</f>
        <v>#VALUE!</v>
      </c>
      <c r="EF21" t="e">
        <f>AND('Yamazumi Data'!AO94,"AAAAAH//24c=")</f>
        <v>#VALUE!</v>
      </c>
      <c r="EG21" t="e">
        <f>AND('Yamazumi Data'!R95,"AAAAAH//24g=")</f>
        <v>#VALUE!</v>
      </c>
      <c r="EH21" t="e">
        <f>AND('Yamazumi Data'!S95,"AAAAAH//24k=")</f>
        <v>#VALUE!</v>
      </c>
      <c r="EI21" t="e">
        <f>AND('Yamazumi Data'!T95,"AAAAAH//24o=")</f>
        <v>#VALUE!</v>
      </c>
      <c r="EJ21" t="e">
        <f>AND('Yamazumi Data'!U95,"AAAAAH//24s=")</f>
        <v>#VALUE!</v>
      </c>
      <c r="EK21" t="e">
        <f>AND('Yamazumi Data'!V95,"AAAAAH//24w=")</f>
        <v>#VALUE!</v>
      </c>
      <c r="EL21" t="e">
        <f>AND('Yamazumi Data'!W95,"AAAAAH//240=")</f>
        <v>#VALUE!</v>
      </c>
      <c r="EM21" t="e">
        <f>AND('Yamazumi Data'!X95,"AAAAAH//244=")</f>
        <v>#VALUE!</v>
      </c>
      <c r="EN21" t="e">
        <f>AND('Yamazumi Data'!Y95,"AAAAAH//248=")</f>
        <v>#VALUE!</v>
      </c>
      <c r="EO21" t="e">
        <f>AND('Yamazumi Data'!Z95,"AAAAAH//25A=")</f>
        <v>#VALUE!</v>
      </c>
      <c r="EP21" t="e">
        <f>AND('Yamazumi Data'!AA95,"AAAAAH//25E=")</f>
        <v>#VALUE!</v>
      </c>
      <c r="EQ21" t="e">
        <f>AND('Yamazumi Data'!AB95,"AAAAAH//25I=")</f>
        <v>#VALUE!</v>
      </c>
      <c r="ER21" t="e">
        <f>AND('Yamazumi Data'!AC95,"AAAAAH//25M=")</f>
        <v>#VALUE!</v>
      </c>
      <c r="ES21" t="e">
        <f>AND('Yamazumi Data'!AD95,"AAAAAH//25Q=")</f>
        <v>#VALUE!</v>
      </c>
      <c r="ET21" t="e">
        <f>AND('Yamazumi Data'!AE95,"AAAAAH//25U=")</f>
        <v>#VALUE!</v>
      </c>
      <c r="EU21" t="e">
        <f>AND('Yamazumi Data'!AF95,"AAAAAH//25Y=")</f>
        <v>#VALUE!</v>
      </c>
      <c r="EV21" t="e">
        <f>AND('Yamazumi Data'!AG95,"AAAAAH//25c=")</f>
        <v>#VALUE!</v>
      </c>
      <c r="EW21" t="e">
        <f>AND('Yamazumi Data'!AH95,"AAAAAH//25g=")</f>
        <v>#VALUE!</v>
      </c>
      <c r="EX21" t="e">
        <f>AND('Yamazumi Data'!AI95,"AAAAAH//25k=")</f>
        <v>#VALUE!</v>
      </c>
      <c r="EY21" t="e">
        <f>AND('Yamazumi Data'!AJ95,"AAAAAH//25o=")</f>
        <v>#VALUE!</v>
      </c>
      <c r="EZ21" t="e">
        <f>AND('Yamazumi Data'!AK95,"AAAAAH//25s=")</f>
        <v>#VALUE!</v>
      </c>
      <c r="FA21" t="e">
        <f>AND('Yamazumi Data'!AL95,"AAAAAH//25w=")</f>
        <v>#VALUE!</v>
      </c>
      <c r="FB21" t="e">
        <f>AND('Yamazumi Data'!AM95,"AAAAAH//250=")</f>
        <v>#VALUE!</v>
      </c>
      <c r="FC21" t="e">
        <f>AND('Yamazumi Data'!AN95,"AAAAAH//254=")</f>
        <v>#VALUE!</v>
      </c>
      <c r="FD21" t="e">
        <f>AND('Yamazumi Data'!AO95,"AAAAAH//258=")</f>
        <v>#VALUE!</v>
      </c>
      <c r="FE21" t="e">
        <f>AND('Yamazumi Data'!R96,"AAAAAH//26A=")</f>
        <v>#VALUE!</v>
      </c>
      <c r="FF21" t="e">
        <f>AND('Yamazumi Data'!S96,"AAAAAH//26E=")</f>
        <v>#VALUE!</v>
      </c>
      <c r="FG21" t="e">
        <f>AND('Yamazumi Data'!T96,"AAAAAH//26I=")</f>
        <v>#VALUE!</v>
      </c>
      <c r="FH21" t="e">
        <f>AND('Yamazumi Data'!U96,"AAAAAH//26M=")</f>
        <v>#VALUE!</v>
      </c>
      <c r="FI21" t="e">
        <f>AND('Yamazumi Data'!V96,"AAAAAH//26Q=")</f>
        <v>#VALUE!</v>
      </c>
      <c r="FJ21" t="e">
        <f>AND('Yamazumi Data'!W96,"AAAAAH//26U=")</f>
        <v>#VALUE!</v>
      </c>
      <c r="FK21" t="e">
        <f>AND('Yamazumi Data'!X96,"AAAAAH//26Y=")</f>
        <v>#VALUE!</v>
      </c>
      <c r="FL21" t="e">
        <f>AND('Yamazumi Data'!Y96,"AAAAAH//26c=")</f>
        <v>#VALUE!</v>
      </c>
      <c r="FM21" t="e">
        <f>AND('Yamazumi Data'!Z96,"AAAAAH//26g=")</f>
        <v>#VALUE!</v>
      </c>
      <c r="FN21" t="e">
        <f>AND('Yamazumi Data'!AA96,"AAAAAH//26k=")</f>
        <v>#VALUE!</v>
      </c>
      <c r="FO21" t="e">
        <f>AND('Yamazumi Data'!AB96,"AAAAAH//26o=")</f>
        <v>#VALUE!</v>
      </c>
      <c r="FP21" t="e">
        <f>AND('Yamazumi Data'!AC96,"AAAAAH//26s=")</f>
        <v>#VALUE!</v>
      </c>
      <c r="FQ21" t="e">
        <f>AND('Yamazumi Data'!AD96,"AAAAAH//26w=")</f>
        <v>#VALUE!</v>
      </c>
      <c r="FR21" t="e">
        <f>AND('Yamazumi Data'!AE96,"AAAAAH//260=")</f>
        <v>#VALUE!</v>
      </c>
      <c r="FS21" t="e">
        <f>AND('Yamazumi Data'!AF96,"AAAAAH//264=")</f>
        <v>#VALUE!</v>
      </c>
      <c r="FT21" t="e">
        <f>AND('Yamazumi Data'!AG96,"AAAAAH//268=")</f>
        <v>#VALUE!</v>
      </c>
      <c r="FU21" t="e">
        <f>AND('Yamazumi Data'!AH96,"AAAAAH//27A=")</f>
        <v>#VALUE!</v>
      </c>
      <c r="FV21" t="e">
        <f>AND('Yamazumi Data'!AI96,"AAAAAH//27E=")</f>
        <v>#VALUE!</v>
      </c>
      <c r="FW21" t="e">
        <f>AND('Yamazumi Data'!AJ96,"AAAAAH//27I=")</f>
        <v>#VALUE!</v>
      </c>
      <c r="FX21" t="e">
        <f>AND('Yamazumi Data'!AK96,"AAAAAH//27M=")</f>
        <v>#VALUE!</v>
      </c>
      <c r="FY21" t="e">
        <f>AND('Yamazumi Data'!AL96,"AAAAAH//27Q=")</f>
        <v>#VALUE!</v>
      </c>
      <c r="FZ21" t="e">
        <f>AND('Yamazumi Data'!AM96,"AAAAAH//27U=")</f>
        <v>#VALUE!</v>
      </c>
      <c r="GA21" t="e">
        <f>AND('Yamazumi Data'!AN96,"AAAAAH//27Y=")</f>
        <v>#VALUE!</v>
      </c>
      <c r="GB21" t="e">
        <f>AND('Yamazumi Data'!AO96,"AAAAAH//27c=")</f>
        <v>#VALUE!</v>
      </c>
      <c r="GC21" t="e">
        <f>AND('Yamazumi Data'!R97,"AAAAAH//27g=")</f>
        <v>#VALUE!</v>
      </c>
      <c r="GD21" t="e">
        <f>AND('Yamazumi Data'!S97,"AAAAAH//27k=")</f>
        <v>#VALUE!</v>
      </c>
      <c r="GE21" t="e">
        <f>AND('Yamazumi Data'!T97,"AAAAAH//27o=")</f>
        <v>#VALUE!</v>
      </c>
      <c r="GF21" t="e">
        <f>AND('Yamazumi Data'!U97,"AAAAAH//27s=")</f>
        <v>#VALUE!</v>
      </c>
      <c r="GG21" t="e">
        <f>AND('Yamazumi Data'!V97,"AAAAAH//27w=")</f>
        <v>#VALUE!</v>
      </c>
      <c r="GH21" t="e">
        <f>AND('Yamazumi Data'!W97,"AAAAAH//270=")</f>
        <v>#VALUE!</v>
      </c>
      <c r="GI21" t="e">
        <f>AND('Yamazumi Data'!X97,"AAAAAH//274=")</f>
        <v>#VALUE!</v>
      </c>
      <c r="GJ21" t="e">
        <f>AND('Yamazumi Data'!Y97,"AAAAAH//278=")</f>
        <v>#VALUE!</v>
      </c>
      <c r="GK21" t="e">
        <f>AND('Yamazumi Data'!Z97,"AAAAAH//28A=")</f>
        <v>#VALUE!</v>
      </c>
      <c r="GL21" t="e">
        <f>AND('Yamazumi Data'!AA97,"AAAAAH//28E=")</f>
        <v>#VALUE!</v>
      </c>
      <c r="GM21" t="e">
        <f>AND('Yamazumi Data'!AB97,"AAAAAH//28I=")</f>
        <v>#VALUE!</v>
      </c>
      <c r="GN21" t="e">
        <f>AND('Yamazumi Data'!AC97,"AAAAAH//28M=")</f>
        <v>#VALUE!</v>
      </c>
      <c r="GO21" t="e">
        <f>AND('Yamazumi Data'!AD97,"AAAAAH//28Q=")</f>
        <v>#VALUE!</v>
      </c>
      <c r="GP21" t="e">
        <f>AND('Yamazumi Data'!AE97,"AAAAAH//28U=")</f>
        <v>#VALUE!</v>
      </c>
      <c r="GQ21" t="e">
        <f>AND('Yamazumi Data'!AF97,"AAAAAH//28Y=")</f>
        <v>#VALUE!</v>
      </c>
      <c r="GR21" t="e">
        <f>AND('Yamazumi Data'!AG97,"AAAAAH//28c=")</f>
        <v>#VALUE!</v>
      </c>
      <c r="GS21" t="e">
        <f>AND('Yamazumi Data'!AH97,"AAAAAH//28g=")</f>
        <v>#VALUE!</v>
      </c>
      <c r="GT21" t="e">
        <f>AND('Yamazumi Data'!AI97,"AAAAAH//28k=")</f>
        <v>#VALUE!</v>
      </c>
      <c r="GU21" t="e">
        <f>AND('Yamazumi Data'!AJ97,"AAAAAH//28o=")</f>
        <v>#VALUE!</v>
      </c>
      <c r="GV21" t="e">
        <f>AND('Yamazumi Data'!AK97,"AAAAAH//28s=")</f>
        <v>#VALUE!</v>
      </c>
      <c r="GW21" t="e">
        <f>AND('Yamazumi Data'!AL97,"AAAAAH//28w=")</f>
        <v>#VALUE!</v>
      </c>
      <c r="GX21" t="e">
        <f>AND('Yamazumi Data'!AM97,"AAAAAH//280=")</f>
        <v>#VALUE!</v>
      </c>
      <c r="GY21" t="e">
        <f>AND('Yamazumi Data'!AN97,"AAAAAH//284=")</f>
        <v>#VALUE!</v>
      </c>
      <c r="GZ21" t="e">
        <f>AND('Yamazumi Data'!AO97,"AAAAAH//288=")</f>
        <v>#VALUE!</v>
      </c>
      <c r="HA21" t="e">
        <f>AND('Yamazumi Data'!R98,"AAAAAH//29A=")</f>
        <v>#VALUE!</v>
      </c>
      <c r="HB21" t="e">
        <f>AND('Yamazumi Data'!S98,"AAAAAH//29E=")</f>
        <v>#VALUE!</v>
      </c>
      <c r="HC21" t="e">
        <f>AND('Yamazumi Data'!T98,"AAAAAH//29I=")</f>
        <v>#VALUE!</v>
      </c>
      <c r="HD21" t="e">
        <f>AND('Yamazumi Data'!U98,"AAAAAH//29M=")</f>
        <v>#VALUE!</v>
      </c>
      <c r="HE21" t="e">
        <f>AND('Yamazumi Data'!V98,"AAAAAH//29Q=")</f>
        <v>#VALUE!</v>
      </c>
      <c r="HF21" t="e">
        <f>AND('Yamazumi Data'!W98,"AAAAAH//29U=")</f>
        <v>#VALUE!</v>
      </c>
      <c r="HG21" t="e">
        <f>AND('Yamazumi Data'!X98,"AAAAAH//29Y=")</f>
        <v>#VALUE!</v>
      </c>
      <c r="HH21" t="e">
        <f>AND('Yamazumi Data'!Y98,"AAAAAH//29c=")</f>
        <v>#VALUE!</v>
      </c>
      <c r="HI21" t="e">
        <f>AND('Yamazumi Data'!Z98,"AAAAAH//29g=")</f>
        <v>#VALUE!</v>
      </c>
      <c r="HJ21" t="e">
        <f>AND('Yamazumi Data'!AA98,"AAAAAH//29k=")</f>
        <v>#VALUE!</v>
      </c>
      <c r="HK21" t="e">
        <f>AND('Yamazumi Data'!AB98,"AAAAAH//29o=")</f>
        <v>#VALUE!</v>
      </c>
      <c r="HL21" t="e">
        <f>AND('Yamazumi Data'!AC98,"AAAAAH//29s=")</f>
        <v>#VALUE!</v>
      </c>
      <c r="HM21" t="e">
        <f>AND('Yamazumi Data'!AD98,"AAAAAH//29w=")</f>
        <v>#VALUE!</v>
      </c>
      <c r="HN21" t="e">
        <f>AND('Yamazumi Data'!AE98,"AAAAAH//290=")</f>
        <v>#VALUE!</v>
      </c>
      <c r="HO21" t="e">
        <f>AND('Yamazumi Data'!AF98,"AAAAAH//294=")</f>
        <v>#VALUE!</v>
      </c>
      <c r="HP21" t="e">
        <f>AND('Yamazumi Data'!AG98,"AAAAAH//298=")</f>
        <v>#VALUE!</v>
      </c>
      <c r="HQ21" t="e">
        <f>AND('Yamazumi Data'!AH98,"AAAAAH//2+A=")</f>
        <v>#VALUE!</v>
      </c>
      <c r="HR21" t="e">
        <f>AND('Yamazumi Data'!AI98,"AAAAAH//2+E=")</f>
        <v>#VALUE!</v>
      </c>
      <c r="HS21" t="e">
        <f>AND('Yamazumi Data'!AJ98,"AAAAAH//2+I=")</f>
        <v>#VALUE!</v>
      </c>
      <c r="HT21" t="e">
        <f>AND('Yamazumi Data'!AK98,"AAAAAH//2+M=")</f>
        <v>#VALUE!</v>
      </c>
      <c r="HU21" t="e">
        <f>AND('Yamazumi Data'!AL98,"AAAAAH//2+Q=")</f>
        <v>#VALUE!</v>
      </c>
      <c r="HV21" t="e">
        <f>AND('Yamazumi Data'!AM98,"AAAAAH//2+U=")</f>
        <v>#VALUE!</v>
      </c>
      <c r="HW21" t="e">
        <f>AND('Yamazumi Data'!AN98,"AAAAAH//2+Y=")</f>
        <v>#VALUE!</v>
      </c>
      <c r="HX21" t="e">
        <f>AND('Yamazumi Data'!AO98,"AAAAAH//2+c=")</f>
        <v>#VALUE!</v>
      </c>
      <c r="HY21" t="e">
        <f>AND('Yamazumi Data'!R99,"AAAAAH//2+g=")</f>
        <v>#VALUE!</v>
      </c>
      <c r="HZ21" t="e">
        <f>AND('Yamazumi Data'!S99,"AAAAAH//2+k=")</f>
        <v>#VALUE!</v>
      </c>
      <c r="IA21" t="e">
        <f>AND('Yamazumi Data'!T99,"AAAAAH//2+o=")</f>
        <v>#VALUE!</v>
      </c>
      <c r="IB21" t="e">
        <f>AND('Yamazumi Data'!U99,"AAAAAH//2+s=")</f>
        <v>#VALUE!</v>
      </c>
      <c r="IC21" t="e">
        <f>AND('Yamazumi Data'!V99,"AAAAAH//2+w=")</f>
        <v>#VALUE!</v>
      </c>
      <c r="ID21" t="e">
        <f>AND('Yamazumi Data'!W99,"AAAAAH//2+0=")</f>
        <v>#VALUE!</v>
      </c>
      <c r="IE21" t="e">
        <f>AND('Yamazumi Data'!X99,"AAAAAH//2+4=")</f>
        <v>#VALUE!</v>
      </c>
      <c r="IF21" t="e">
        <f>AND('Yamazumi Data'!Y99,"AAAAAH//2+8=")</f>
        <v>#VALUE!</v>
      </c>
      <c r="IG21" t="e">
        <f>AND('Yamazumi Data'!Z99,"AAAAAH//2/A=")</f>
        <v>#VALUE!</v>
      </c>
      <c r="IH21" t="e">
        <f>AND('Yamazumi Data'!AA99,"AAAAAH//2/E=")</f>
        <v>#VALUE!</v>
      </c>
      <c r="II21" t="e">
        <f>AND('Yamazumi Data'!AB99,"AAAAAH//2/I=")</f>
        <v>#VALUE!</v>
      </c>
      <c r="IJ21" t="e">
        <f>AND('Yamazumi Data'!AC99,"AAAAAH//2/M=")</f>
        <v>#VALUE!</v>
      </c>
      <c r="IK21" t="e">
        <f>AND('Yamazumi Data'!AD99,"AAAAAH//2/Q=")</f>
        <v>#VALUE!</v>
      </c>
      <c r="IL21" t="e">
        <f>AND('Yamazumi Data'!AE99,"AAAAAH//2/U=")</f>
        <v>#VALUE!</v>
      </c>
      <c r="IM21" t="e">
        <f>AND('Yamazumi Data'!AF99,"AAAAAH//2/Y=")</f>
        <v>#VALUE!</v>
      </c>
      <c r="IN21" t="e">
        <f>AND('Yamazumi Data'!AG99,"AAAAAH//2/c=")</f>
        <v>#VALUE!</v>
      </c>
      <c r="IO21" t="e">
        <f>AND('Yamazumi Data'!AH99,"AAAAAH//2/g=")</f>
        <v>#VALUE!</v>
      </c>
      <c r="IP21" t="e">
        <f>AND('Yamazumi Data'!AI99,"AAAAAH//2/k=")</f>
        <v>#VALUE!</v>
      </c>
      <c r="IQ21" t="e">
        <f>AND('Yamazumi Data'!AJ99,"AAAAAH//2/o=")</f>
        <v>#VALUE!</v>
      </c>
      <c r="IR21" t="e">
        <f>AND('Yamazumi Data'!AK99,"AAAAAH//2/s=")</f>
        <v>#VALUE!</v>
      </c>
      <c r="IS21" t="e">
        <f>AND('Yamazumi Data'!AL99,"AAAAAH//2/w=")</f>
        <v>#VALUE!</v>
      </c>
      <c r="IT21" t="e">
        <f>AND('Yamazumi Data'!AM99,"AAAAAH//2/0=")</f>
        <v>#VALUE!</v>
      </c>
      <c r="IU21" t="e">
        <f>AND('Yamazumi Data'!AN99,"AAAAAH//2/4=")</f>
        <v>#VALUE!</v>
      </c>
      <c r="IV21" t="e">
        <f>AND('Yamazumi Data'!AO99,"AAAAAH//2/8=")</f>
        <v>#VALUE!</v>
      </c>
    </row>
    <row r="22" spans="1:256" ht="14.45" x14ac:dyDescent="0.3">
      <c r="A22" t="e">
        <f>AND('Yamazumi Data'!R100,"AAAAAF7n9gA=")</f>
        <v>#VALUE!</v>
      </c>
      <c r="B22" t="e">
        <f>AND('Yamazumi Data'!S100,"AAAAAF7n9gE=")</f>
        <v>#VALUE!</v>
      </c>
      <c r="C22" t="e">
        <f>AND('Yamazumi Data'!T100,"AAAAAF7n9gI=")</f>
        <v>#VALUE!</v>
      </c>
      <c r="D22" t="e">
        <f>AND('Yamazumi Data'!U100,"AAAAAF7n9gM=")</f>
        <v>#VALUE!</v>
      </c>
      <c r="E22" t="e">
        <f>AND('Yamazumi Data'!V100,"AAAAAF7n9gQ=")</f>
        <v>#VALUE!</v>
      </c>
      <c r="F22" t="e">
        <f>AND('Yamazumi Data'!W100,"AAAAAF7n9gU=")</f>
        <v>#VALUE!</v>
      </c>
      <c r="G22" t="e">
        <f>AND('Yamazumi Data'!X100,"AAAAAF7n9gY=")</f>
        <v>#VALUE!</v>
      </c>
      <c r="H22" t="e">
        <f>AND('Yamazumi Data'!Y100,"AAAAAF7n9gc=")</f>
        <v>#VALUE!</v>
      </c>
      <c r="I22" t="e">
        <f>AND('Yamazumi Data'!Z100,"AAAAAF7n9gg=")</f>
        <v>#VALUE!</v>
      </c>
      <c r="J22" t="e">
        <f>AND('Yamazumi Data'!AA100,"AAAAAF7n9gk=")</f>
        <v>#VALUE!</v>
      </c>
      <c r="K22" t="e">
        <f>AND('Yamazumi Data'!AB100,"AAAAAF7n9go=")</f>
        <v>#VALUE!</v>
      </c>
      <c r="L22" t="e">
        <f>AND('Yamazumi Data'!AC100,"AAAAAF7n9gs=")</f>
        <v>#VALUE!</v>
      </c>
      <c r="M22" t="e">
        <f>AND('Yamazumi Data'!AD100,"AAAAAF7n9gw=")</f>
        <v>#VALUE!</v>
      </c>
      <c r="N22" t="e">
        <f>AND('Yamazumi Data'!AE100,"AAAAAF7n9g0=")</f>
        <v>#VALUE!</v>
      </c>
      <c r="O22" t="e">
        <f>AND('Yamazumi Data'!AF100,"AAAAAF7n9g4=")</f>
        <v>#VALUE!</v>
      </c>
      <c r="P22" t="e">
        <f>AND('Yamazumi Data'!AG100,"AAAAAF7n9g8=")</f>
        <v>#VALUE!</v>
      </c>
      <c r="Q22" t="e">
        <f>AND('Yamazumi Data'!AH100,"AAAAAF7n9hA=")</f>
        <v>#VALUE!</v>
      </c>
      <c r="R22" t="e">
        <f>AND('Yamazumi Data'!AI100,"AAAAAF7n9hE=")</f>
        <v>#VALUE!</v>
      </c>
      <c r="S22" t="e">
        <f>AND('Yamazumi Data'!AJ100,"AAAAAF7n9hI=")</f>
        <v>#VALUE!</v>
      </c>
      <c r="T22" t="e">
        <f>AND('Yamazumi Data'!AK100,"AAAAAF7n9hM=")</f>
        <v>#VALUE!</v>
      </c>
      <c r="U22" t="e">
        <f>AND('Yamazumi Data'!AL100,"AAAAAF7n9hQ=")</f>
        <v>#VALUE!</v>
      </c>
      <c r="V22" t="e">
        <f>AND('Yamazumi Data'!AM100,"AAAAAF7n9hU=")</f>
        <v>#VALUE!</v>
      </c>
      <c r="W22" t="e">
        <f>AND('Yamazumi Data'!AN100,"AAAAAF7n9hY=")</f>
        <v>#VALUE!</v>
      </c>
      <c r="X22" t="e">
        <f>AND('Yamazumi Data'!AO100,"AAAAAF7n9hc=")</f>
        <v>#VALUE!</v>
      </c>
      <c r="Y22" t="e">
        <f>AND('Yamazumi Data'!R101,"AAAAAF7n9hg=")</f>
        <v>#VALUE!</v>
      </c>
      <c r="Z22" t="e">
        <f>AND('Yamazumi Data'!S101,"AAAAAF7n9hk=")</f>
        <v>#VALUE!</v>
      </c>
      <c r="AA22" t="e">
        <f>AND('Yamazumi Data'!T101,"AAAAAF7n9ho=")</f>
        <v>#VALUE!</v>
      </c>
      <c r="AB22" t="e">
        <f>AND('Yamazumi Data'!U101,"AAAAAF7n9hs=")</f>
        <v>#VALUE!</v>
      </c>
      <c r="AC22" t="e">
        <f>AND('Yamazumi Data'!V101,"AAAAAF7n9hw=")</f>
        <v>#VALUE!</v>
      </c>
      <c r="AD22" t="e">
        <f>AND('Yamazumi Data'!W101,"AAAAAF7n9h0=")</f>
        <v>#VALUE!</v>
      </c>
      <c r="AE22" t="e">
        <f>AND('Yamazumi Data'!X101,"AAAAAF7n9h4=")</f>
        <v>#VALUE!</v>
      </c>
      <c r="AF22" t="e">
        <f>AND('Yamazumi Data'!Y101,"AAAAAF7n9h8=")</f>
        <v>#VALUE!</v>
      </c>
      <c r="AG22" t="e">
        <f>AND('Yamazumi Data'!Z101,"AAAAAF7n9iA=")</f>
        <v>#VALUE!</v>
      </c>
      <c r="AH22" t="e">
        <f>AND('Yamazumi Data'!AA101,"AAAAAF7n9iE=")</f>
        <v>#VALUE!</v>
      </c>
      <c r="AI22" t="e">
        <f>AND('Yamazumi Data'!AB101,"AAAAAF7n9iI=")</f>
        <v>#VALUE!</v>
      </c>
      <c r="AJ22" t="e">
        <f>AND('Yamazumi Data'!AC101,"AAAAAF7n9iM=")</f>
        <v>#VALUE!</v>
      </c>
      <c r="AK22" t="e">
        <f>AND('Yamazumi Data'!AD101,"AAAAAF7n9iQ=")</f>
        <v>#VALUE!</v>
      </c>
      <c r="AL22" t="e">
        <f>AND('Yamazumi Data'!AE101,"AAAAAF7n9iU=")</f>
        <v>#VALUE!</v>
      </c>
      <c r="AM22" t="e">
        <f>AND('Yamazumi Data'!AF101,"AAAAAF7n9iY=")</f>
        <v>#VALUE!</v>
      </c>
      <c r="AN22" t="e">
        <f>AND('Yamazumi Data'!AG101,"AAAAAF7n9ic=")</f>
        <v>#VALUE!</v>
      </c>
      <c r="AO22" t="e">
        <f>AND('Yamazumi Data'!AH101,"AAAAAF7n9ig=")</f>
        <v>#VALUE!</v>
      </c>
      <c r="AP22" t="e">
        <f>AND('Yamazumi Data'!AI101,"AAAAAF7n9ik=")</f>
        <v>#VALUE!</v>
      </c>
      <c r="AQ22" t="e">
        <f>AND('Yamazumi Data'!AJ101,"AAAAAF7n9io=")</f>
        <v>#VALUE!</v>
      </c>
      <c r="AR22" t="e">
        <f>AND('Yamazumi Data'!AK101,"AAAAAF7n9is=")</f>
        <v>#VALUE!</v>
      </c>
      <c r="AS22" t="e">
        <f>AND('Yamazumi Data'!AL101,"AAAAAF7n9iw=")</f>
        <v>#VALUE!</v>
      </c>
      <c r="AT22" t="e">
        <f>AND('Yamazumi Data'!AM101,"AAAAAF7n9i0=")</f>
        <v>#VALUE!</v>
      </c>
      <c r="AU22" t="e">
        <f>AND('Yamazumi Data'!AN101,"AAAAAF7n9i4=")</f>
        <v>#VALUE!</v>
      </c>
      <c r="AV22" t="e">
        <f>AND('Yamazumi Data'!AO101,"AAAAAF7n9i8=")</f>
        <v>#VALUE!</v>
      </c>
      <c r="AW22" t="e">
        <f>AND('Yamazumi Data'!R102,"AAAAAF7n9jA=")</f>
        <v>#VALUE!</v>
      </c>
      <c r="AX22" t="e">
        <f>AND('Yamazumi Data'!S102,"AAAAAF7n9jE=")</f>
        <v>#VALUE!</v>
      </c>
      <c r="AY22" t="e">
        <f>AND('Yamazumi Data'!T102,"AAAAAF7n9jI=")</f>
        <v>#VALUE!</v>
      </c>
      <c r="AZ22" t="e">
        <f>AND('Yamazumi Data'!U102,"AAAAAF7n9jM=")</f>
        <v>#VALUE!</v>
      </c>
      <c r="BA22" t="e">
        <f>AND('Yamazumi Data'!V102,"AAAAAF7n9jQ=")</f>
        <v>#VALUE!</v>
      </c>
      <c r="BB22" t="e">
        <f>AND('Yamazumi Data'!W102,"AAAAAF7n9jU=")</f>
        <v>#VALUE!</v>
      </c>
      <c r="BC22" t="e">
        <f>AND('Yamazumi Data'!X102,"AAAAAF7n9jY=")</f>
        <v>#VALUE!</v>
      </c>
      <c r="BD22" t="e">
        <f>AND('Yamazumi Data'!Y102,"AAAAAF7n9jc=")</f>
        <v>#VALUE!</v>
      </c>
      <c r="BE22" t="e">
        <f>AND('Yamazumi Data'!Z102,"AAAAAF7n9jg=")</f>
        <v>#VALUE!</v>
      </c>
      <c r="BF22" t="e">
        <f>AND('Yamazumi Data'!AA102,"AAAAAF7n9jk=")</f>
        <v>#VALUE!</v>
      </c>
      <c r="BG22" t="e">
        <f>AND('Yamazumi Data'!AB102,"AAAAAF7n9jo=")</f>
        <v>#VALUE!</v>
      </c>
      <c r="BH22" t="e">
        <f>AND('Yamazumi Data'!AC102,"AAAAAF7n9js=")</f>
        <v>#VALUE!</v>
      </c>
      <c r="BI22" t="e">
        <f>AND('Yamazumi Data'!AD102,"AAAAAF7n9jw=")</f>
        <v>#VALUE!</v>
      </c>
      <c r="BJ22" t="e">
        <f>AND('Yamazumi Data'!AE102,"AAAAAF7n9j0=")</f>
        <v>#VALUE!</v>
      </c>
      <c r="BK22" t="e">
        <f>AND('Yamazumi Data'!AF102,"AAAAAF7n9j4=")</f>
        <v>#VALUE!</v>
      </c>
      <c r="BL22" t="e">
        <f>AND('Yamazumi Data'!AG102,"AAAAAF7n9j8=")</f>
        <v>#VALUE!</v>
      </c>
      <c r="BM22" t="e">
        <f>AND('Yamazumi Data'!AH102,"AAAAAF7n9kA=")</f>
        <v>#VALUE!</v>
      </c>
      <c r="BN22" t="e">
        <f>AND('Yamazumi Data'!AI102,"AAAAAF7n9kE=")</f>
        <v>#VALUE!</v>
      </c>
      <c r="BO22" t="e">
        <f>AND('Yamazumi Data'!AJ102,"AAAAAF7n9kI=")</f>
        <v>#VALUE!</v>
      </c>
      <c r="BP22" t="e">
        <f>AND('Yamazumi Data'!AK102,"AAAAAF7n9kM=")</f>
        <v>#VALUE!</v>
      </c>
      <c r="BQ22" t="e">
        <f>AND('Yamazumi Data'!AL102,"AAAAAF7n9kQ=")</f>
        <v>#VALUE!</v>
      </c>
      <c r="BR22" t="e">
        <f>AND('Yamazumi Data'!AM102,"AAAAAF7n9kU=")</f>
        <v>#VALUE!</v>
      </c>
      <c r="BS22" t="e">
        <f>AND('Yamazumi Data'!AN102,"AAAAAF7n9kY=")</f>
        <v>#VALUE!</v>
      </c>
      <c r="BT22" t="e">
        <f>AND('Yamazumi Data'!AO102,"AAAAAF7n9kc=")</f>
        <v>#VALUE!</v>
      </c>
      <c r="BU22" t="e">
        <f>AND('Yamazumi Data'!R103,"AAAAAF7n9kg=")</f>
        <v>#VALUE!</v>
      </c>
      <c r="BV22" t="e">
        <f>AND('Yamazumi Data'!S103,"AAAAAF7n9kk=")</f>
        <v>#VALUE!</v>
      </c>
      <c r="BW22" t="e">
        <f>AND('Yamazumi Data'!T103,"AAAAAF7n9ko=")</f>
        <v>#VALUE!</v>
      </c>
      <c r="BX22" t="e">
        <f>AND('Yamazumi Data'!U103,"AAAAAF7n9ks=")</f>
        <v>#VALUE!</v>
      </c>
      <c r="BY22" t="e">
        <f>AND('Yamazumi Data'!V103,"AAAAAF7n9kw=")</f>
        <v>#VALUE!</v>
      </c>
      <c r="BZ22" t="e">
        <f>AND('Yamazumi Data'!W103,"AAAAAF7n9k0=")</f>
        <v>#VALUE!</v>
      </c>
      <c r="CA22" t="e">
        <f>AND('Yamazumi Data'!X103,"AAAAAF7n9k4=")</f>
        <v>#VALUE!</v>
      </c>
      <c r="CB22" t="e">
        <f>AND('Yamazumi Data'!Y103,"AAAAAF7n9k8=")</f>
        <v>#VALUE!</v>
      </c>
      <c r="CC22" t="e">
        <f>AND('Yamazumi Data'!Z103,"AAAAAF7n9lA=")</f>
        <v>#VALUE!</v>
      </c>
      <c r="CD22" t="e">
        <f>AND('Yamazumi Data'!AA103,"AAAAAF7n9lE=")</f>
        <v>#VALUE!</v>
      </c>
      <c r="CE22" t="e">
        <f>AND('Yamazumi Data'!AB103,"AAAAAF7n9lI=")</f>
        <v>#VALUE!</v>
      </c>
      <c r="CF22" t="e">
        <f>AND('Yamazumi Data'!AC103,"AAAAAF7n9lM=")</f>
        <v>#VALUE!</v>
      </c>
      <c r="CG22" t="e">
        <f>AND('Yamazumi Data'!AD103,"AAAAAF7n9lQ=")</f>
        <v>#VALUE!</v>
      </c>
      <c r="CH22" t="e">
        <f>AND('Yamazumi Data'!AE103,"AAAAAF7n9lU=")</f>
        <v>#VALUE!</v>
      </c>
      <c r="CI22" t="e">
        <f>AND('Yamazumi Data'!AF103,"AAAAAF7n9lY=")</f>
        <v>#VALUE!</v>
      </c>
      <c r="CJ22" t="e">
        <f>AND('Yamazumi Data'!AG103,"AAAAAF7n9lc=")</f>
        <v>#VALUE!</v>
      </c>
      <c r="CK22" t="e">
        <f>AND('Yamazumi Data'!AH103,"AAAAAF7n9lg=")</f>
        <v>#VALUE!</v>
      </c>
      <c r="CL22" t="e">
        <f>AND('Yamazumi Data'!AI103,"AAAAAF7n9lk=")</f>
        <v>#VALUE!</v>
      </c>
      <c r="CM22" t="e">
        <f>AND('Yamazumi Data'!AJ103,"AAAAAF7n9lo=")</f>
        <v>#VALUE!</v>
      </c>
      <c r="CN22" t="e">
        <f>AND('Yamazumi Data'!AK103,"AAAAAF7n9ls=")</f>
        <v>#VALUE!</v>
      </c>
      <c r="CO22" t="e">
        <f>AND('Yamazumi Data'!AL103,"AAAAAF7n9lw=")</f>
        <v>#VALUE!</v>
      </c>
      <c r="CP22" t="e">
        <f>AND('Yamazumi Data'!AM103,"AAAAAF7n9l0=")</f>
        <v>#VALUE!</v>
      </c>
      <c r="CQ22" t="e">
        <f>AND('Yamazumi Data'!AN103,"AAAAAF7n9l4=")</f>
        <v>#VALUE!</v>
      </c>
      <c r="CR22" t="e">
        <f>AND('Yamazumi Data'!AO103,"AAAAAF7n9l8=")</f>
        <v>#VALUE!</v>
      </c>
      <c r="CS22" t="e">
        <f>AND('Yamazumi Data'!R104,"AAAAAF7n9mA=")</f>
        <v>#VALUE!</v>
      </c>
      <c r="CT22" t="e">
        <f>AND('Yamazumi Data'!S104,"AAAAAF7n9mE=")</f>
        <v>#VALUE!</v>
      </c>
      <c r="CU22" t="e">
        <f>AND('Yamazumi Data'!T104,"AAAAAF7n9mI=")</f>
        <v>#VALUE!</v>
      </c>
      <c r="CV22" t="e">
        <f>AND('Yamazumi Data'!U104,"AAAAAF7n9mM=")</f>
        <v>#VALUE!</v>
      </c>
      <c r="CW22" t="e">
        <f>AND('Yamazumi Data'!V104,"AAAAAF7n9mQ=")</f>
        <v>#VALUE!</v>
      </c>
      <c r="CX22" t="e">
        <f>AND('Yamazumi Data'!W104,"AAAAAF7n9mU=")</f>
        <v>#VALUE!</v>
      </c>
      <c r="CY22" t="e">
        <f>AND('Yamazumi Data'!X104,"AAAAAF7n9mY=")</f>
        <v>#VALUE!</v>
      </c>
      <c r="CZ22" t="e">
        <f>AND('Yamazumi Data'!Y104,"AAAAAF7n9mc=")</f>
        <v>#VALUE!</v>
      </c>
      <c r="DA22" t="e">
        <f>AND('Yamazumi Data'!Z104,"AAAAAF7n9mg=")</f>
        <v>#VALUE!</v>
      </c>
      <c r="DB22" t="e">
        <f>AND('Yamazumi Data'!AA104,"AAAAAF7n9mk=")</f>
        <v>#VALUE!</v>
      </c>
      <c r="DC22" t="e">
        <f>AND('Yamazumi Data'!AB104,"AAAAAF7n9mo=")</f>
        <v>#VALUE!</v>
      </c>
      <c r="DD22" t="e">
        <f>AND('Yamazumi Data'!AC104,"AAAAAF7n9ms=")</f>
        <v>#VALUE!</v>
      </c>
      <c r="DE22" t="e">
        <f>AND('Yamazumi Data'!AD104,"AAAAAF7n9mw=")</f>
        <v>#VALUE!</v>
      </c>
      <c r="DF22" t="e">
        <f>AND('Yamazumi Data'!AE104,"AAAAAF7n9m0=")</f>
        <v>#VALUE!</v>
      </c>
      <c r="DG22" t="e">
        <f>AND('Yamazumi Data'!AF104,"AAAAAF7n9m4=")</f>
        <v>#VALUE!</v>
      </c>
      <c r="DH22" t="e">
        <f>AND('Yamazumi Data'!AG104,"AAAAAF7n9m8=")</f>
        <v>#VALUE!</v>
      </c>
      <c r="DI22" t="e">
        <f>AND('Yamazumi Data'!AH104,"AAAAAF7n9nA=")</f>
        <v>#VALUE!</v>
      </c>
      <c r="DJ22" t="e">
        <f>AND('Yamazumi Data'!AI104,"AAAAAF7n9nE=")</f>
        <v>#VALUE!</v>
      </c>
      <c r="DK22" t="e">
        <f>AND('Yamazumi Data'!AJ104,"AAAAAF7n9nI=")</f>
        <v>#VALUE!</v>
      </c>
      <c r="DL22" t="e">
        <f>AND('Yamazumi Data'!AK104,"AAAAAF7n9nM=")</f>
        <v>#VALUE!</v>
      </c>
      <c r="DM22" t="e">
        <f>AND('Yamazumi Data'!AL104,"AAAAAF7n9nQ=")</f>
        <v>#VALUE!</v>
      </c>
      <c r="DN22" t="e">
        <f>AND('Yamazumi Data'!AM104,"AAAAAF7n9nU=")</f>
        <v>#VALUE!</v>
      </c>
      <c r="DO22" t="e">
        <f>AND('Yamazumi Data'!AN104,"AAAAAF7n9nY=")</f>
        <v>#VALUE!</v>
      </c>
      <c r="DP22" t="e">
        <f>AND('Yamazumi Data'!AO104,"AAAAAF7n9nc=")</f>
        <v>#VALUE!</v>
      </c>
      <c r="DQ22" t="e">
        <f>AND('Yamazumi Data'!R106,"AAAAAF7n9ng=")</f>
        <v>#VALUE!</v>
      </c>
      <c r="DR22" t="e">
        <f>AND('Yamazumi Data'!S106,"AAAAAF7n9nk=")</f>
        <v>#VALUE!</v>
      </c>
      <c r="DS22" t="e">
        <f>AND('Yamazumi Data'!T106,"AAAAAF7n9no=")</f>
        <v>#VALUE!</v>
      </c>
      <c r="DT22" t="e">
        <f>AND('Yamazumi Data'!U106,"AAAAAF7n9ns=")</f>
        <v>#VALUE!</v>
      </c>
      <c r="DU22" t="e">
        <f>AND('Yamazumi Data'!V106,"AAAAAF7n9nw=")</f>
        <v>#VALUE!</v>
      </c>
      <c r="DV22" t="e">
        <f>AND('Yamazumi Data'!W106,"AAAAAF7n9n0=")</f>
        <v>#VALUE!</v>
      </c>
      <c r="DW22" t="e">
        <f>AND('Yamazumi Data'!X106,"AAAAAF7n9n4=")</f>
        <v>#VALUE!</v>
      </c>
      <c r="DX22" t="e">
        <f>AND('Yamazumi Data'!Y106,"AAAAAF7n9n8=")</f>
        <v>#VALUE!</v>
      </c>
      <c r="DY22" t="e">
        <f>AND('Yamazumi Data'!Z106,"AAAAAF7n9oA=")</f>
        <v>#VALUE!</v>
      </c>
      <c r="DZ22" t="e">
        <f>AND('Yamazumi Data'!AA106,"AAAAAF7n9oE=")</f>
        <v>#VALUE!</v>
      </c>
      <c r="EA22" t="e">
        <f>AND('Yamazumi Data'!AB106,"AAAAAF7n9oI=")</f>
        <v>#VALUE!</v>
      </c>
      <c r="EB22" t="e">
        <f>AND('Yamazumi Data'!AC106,"AAAAAF7n9oM=")</f>
        <v>#VALUE!</v>
      </c>
      <c r="EC22" t="e">
        <f>AND('Yamazumi Data'!AD106,"AAAAAF7n9oQ=")</f>
        <v>#VALUE!</v>
      </c>
      <c r="ED22" t="e">
        <f>AND('Yamazumi Data'!AE106,"AAAAAF7n9oU=")</f>
        <v>#VALUE!</v>
      </c>
      <c r="EE22" t="e">
        <f>AND('Yamazumi Data'!AF106,"AAAAAF7n9oY=")</f>
        <v>#VALUE!</v>
      </c>
      <c r="EF22" t="e">
        <f>AND('Yamazumi Data'!AG106,"AAAAAF7n9oc=")</f>
        <v>#VALUE!</v>
      </c>
      <c r="EG22" t="e">
        <f>AND('Yamazumi Data'!AH106,"AAAAAF7n9og=")</f>
        <v>#VALUE!</v>
      </c>
      <c r="EH22" t="e">
        <f>AND('Yamazumi Data'!AI106,"AAAAAF7n9ok=")</f>
        <v>#VALUE!</v>
      </c>
      <c r="EI22" t="e">
        <f>AND('Yamazumi Data'!AJ106,"AAAAAF7n9oo=")</f>
        <v>#VALUE!</v>
      </c>
      <c r="EJ22" t="e">
        <f>AND('Yamazumi Data'!AK106,"AAAAAF7n9os=")</f>
        <v>#VALUE!</v>
      </c>
      <c r="EK22" t="e">
        <f>AND('Yamazumi Data'!AL106,"AAAAAF7n9ow=")</f>
        <v>#VALUE!</v>
      </c>
      <c r="EL22" t="e">
        <f>AND('Yamazumi Data'!AM106,"AAAAAF7n9o0=")</f>
        <v>#VALUE!</v>
      </c>
      <c r="EM22" t="e">
        <f>AND('Yamazumi Data'!AN106,"AAAAAF7n9o4=")</f>
        <v>#VALUE!</v>
      </c>
      <c r="EN22" t="e">
        <f>AND('Yamazumi Data'!AO106,"AAAAAF7n9o8=")</f>
        <v>#VALUE!</v>
      </c>
      <c r="EO22" t="e">
        <f>AND('Yamazumi Data'!R107,"AAAAAF7n9pA=")</f>
        <v>#VALUE!</v>
      </c>
      <c r="EP22" t="e">
        <f>AND('Yamazumi Data'!S107,"AAAAAF7n9pE=")</f>
        <v>#VALUE!</v>
      </c>
      <c r="EQ22" t="e">
        <f>AND('Yamazumi Data'!T107,"AAAAAF7n9pI=")</f>
        <v>#VALUE!</v>
      </c>
      <c r="ER22" t="e">
        <f>AND('Yamazumi Data'!U107,"AAAAAF7n9pM=")</f>
        <v>#VALUE!</v>
      </c>
      <c r="ES22" t="e">
        <f>AND('Yamazumi Data'!V107,"AAAAAF7n9pQ=")</f>
        <v>#VALUE!</v>
      </c>
      <c r="ET22" t="e">
        <f>AND('Yamazumi Data'!W107,"AAAAAF7n9pU=")</f>
        <v>#VALUE!</v>
      </c>
      <c r="EU22" t="e">
        <f>AND('Yamazumi Data'!X107,"AAAAAF7n9pY=")</f>
        <v>#VALUE!</v>
      </c>
      <c r="EV22" t="e">
        <f>AND('Yamazumi Data'!Y107,"AAAAAF7n9pc=")</f>
        <v>#VALUE!</v>
      </c>
      <c r="EW22" t="e">
        <f>AND('Yamazumi Data'!Z107,"AAAAAF7n9pg=")</f>
        <v>#VALUE!</v>
      </c>
      <c r="EX22" t="e">
        <f>AND('Yamazumi Data'!AA107,"AAAAAF7n9pk=")</f>
        <v>#VALUE!</v>
      </c>
      <c r="EY22" t="e">
        <f>AND('Yamazumi Data'!AB107,"AAAAAF7n9po=")</f>
        <v>#VALUE!</v>
      </c>
      <c r="EZ22" t="e">
        <f>AND('Yamazumi Data'!AC107,"AAAAAF7n9ps=")</f>
        <v>#VALUE!</v>
      </c>
      <c r="FA22" t="e">
        <f>AND('Yamazumi Data'!AD107,"AAAAAF7n9pw=")</f>
        <v>#VALUE!</v>
      </c>
      <c r="FB22" t="e">
        <f>AND('Yamazumi Data'!AE107,"AAAAAF7n9p0=")</f>
        <v>#VALUE!</v>
      </c>
      <c r="FC22" t="e">
        <f>AND('Yamazumi Data'!AF107,"AAAAAF7n9p4=")</f>
        <v>#VALUE!</v>
      </c>
      <c r="FD22" t="e">
        <f>AND('Yamazumi Data'!AG107,"AAAAAF7n9p8=")</f>
        <v>#VALUE!</v>
      </c>
      <c r="FE22" t="e">
        <f>AND('Yamazumi Data'!AH107,"AAAAAF7n9qA=")</f>
        <v>#VALUE!</v>
      </c>
      <c r="FF22" t="e">
        <f>AND('Yamazumi Data'!AI107,"AAAAAF7n9qE=")</f>
        <v>#VALUE!</v>
      </c>
      <c r="FG22" t="e">
        <f>AND('Yamazumi Data'!AJ107,"AAAAAF7n9qI=")</f>
        <v>#VALUE!</v>
      </c>
      <c r="FH22" t="e">
        <f>AND('Yamazumi Data'!AK107,"AAAAAF7n9qM=")</f>
        <v>#VALUE!</v>
      </c>
      <c r="FI22" t="e">
        <f>AND('Yamazumi Data'!AL107,"AAAAAF7n9qQ=")</f>
        <v>#VALUE!</v>
      </c>
      <c r="FJ22" t="e">
        <f>AND('Yamazumi Data'!AM107,"AAAAAF7n9qU=")</f>
        <v>#VALUE!</v>
      </c>
      <c r="FK22" t="e">
        <f>AND('Yamazumi Data'!AN107,"AAAAAF7n9qY=")</f>
        <v>#VALUE!</v>
      </c>
      <c r="FL22" t="e">
        <f>AND('Yamazumi Data'!AO107,"AAAAAF7n9qc=")</f>
        <v>#VALUE!</v>
      </c>
      <c r="FM22" t="e">
        <f>AND('Yamazumi Data'!R108,"AAAAAF7n9qg=")</f>
        <v>#VALUE!</v>
      </c>
      <c r="FN22" t="e">
        <f>AND('Yamazumi Data'!S108,"AAAAAF7n9qk=")</f>
        <v>#VALUE!</v>
      </c>
      <c r="FO22" t="e">
        <f>AND('Yamazumi Data'!T108,"AAAAAF7n9qo=")</f>
        <v>#VALUE!</v>
      </c>
      <c r="FP22" t="e">
        <f>AND('Yamazumi Data'!U108,"AAAAAF7n9qs=")</f>
        <v>#VALUE!</v>
      </c>
      <c r="FQ22" t="e">
        <f>AND('Yamazumi Data'!V108,"AAAAAF7n9qw=")</f>
        <v>#VALUE!</v>
      </c>
      <c r="FR22" t="e">
        <f>AND('Yamazumi Data'!W108,"AAAAAF7n9q0=")</f>
        <v>#VALUE!</v>
      </c>
      <c r="FS22" t="e">
        <f>AND('Yamazumi Data'!X108,"AAAAAF7n9q4=")</f>
        <v>#VALUE!</v>
      </c>
      <c r="FT22" t="e">
        <f>AND('Yamazumi Data'!Y108,"AAAAAF7n9q8=")</f>
        <v>#VALUE!</v>
      </c>
      <c r="FU22" t="e">
        <f>AND('Yamazumi Data'!Z108,"AAAAAF7n9rA=")</f>
        <v>#VALUE!</v>
      </c>
      <c r="FV22" t="e">
        <f>AND('Yamazumi Data'!AA108,"AAAAAF7n9rE=")</f>
        <v>#VALUE!</v>
      </c>
      <c r="FW22" t="e">
        <f>AND('Yamazumi Data'!AB108,"AAAAAF7n9rI=")</f>
        <v>#VALUE!</v>
      </c>
      <c r="FX22" t="e">
        <f>AND('Yamazumi Data'!AC108,"AAAAAF7n9rM=")</f>
        <v>#VALUE!</v>
      </c>
      <c r="FY22" t="e">
        <f>AND('Yamazumi Data'!AD108,"AAAAAF7n9rQ=")</f>
        <v>#VALUE!</v>
      </c>
      <c r="FZ22" t="e">
        <f>AND('Yamazumi Data'!AE108,"AAAAAF7n9rU=")</f>
        <v>#VALUE!</v>
      </c>
      <c r="GA22" t="e">
        <f>AND('Yamazumi Data'!AF108,"AAAAAF7n9rY=")</f>
        <v>#VALUE!</v>
      </c>
      <c r="GB22" t="e">
        <f>AND('Yamazumi Data'!AG108,"AAAAAF7n9rc=")</f>
        <v>#VALUE!</v>
      </c>
      <c r="GC22" t="e">
        <f>AND('Yamazumi Data'!AH108,"AAAAAF7n9rg=")</f>
        <v>#VALUE!</v>
      </c>
      <c r="GD22" t="e">
        <f>AND('Yamazumi Data'!AI108,"AAAAAF7n9rk=")</f>
        <v>#VALUE!</v>
      </c>
      <c r="GE22" t="e">
        <f>AND('Yamazumi Data'!AJ108,"AAAAAF7n9ro=")</f>
        <v>#VALUE!</v>
      </c>
      <c r="GF22" t="e">
        <f>AND('Yamazumi Data'!AK108,"AAAAAF7n9rs=")</f>
        <v>#VALUE!</v>
      </c>
      <c r="GG22" t="e">
        <f>AND('Yamazumi Data'!AL108,"AAAAAF7n9rw=")</f>
        <v>#VALUE!</v>
      </c>
      <c r="GH22" t="e">
        <f>AND('Yamazumi Data'!AM108,"AAAAAF7n9r0=")</f>
        <v>#VALUE!</v>
      </c>
      <c r="GI22" t="e">
        <f>AND('Yamazumi Data'!AN108,"AAAAAF7n9r4=")</f>
        <v>#VALUE!</v>
      </c>
      <c r="GJ22" t="e">
        <f>AND('Yamazumi Data'!AO108,"AAAAAF7n9r8=")</f>
        <v>#VALUE!</v>
      </c>
      <c r="GK22" t="e">
        <f>AND('Yamazumi Data'!R109,"AAAAAF7n9sA=")</f>
        <v>#VALUE!</v>
      </c>
      <c r="GL22" t="e">
        <f>AND('Yamazumi Data'!S109,"AAAAAF7n9sE=")</f>
        <v>#VALUE!</v>
      </c>
      <c r="GM22" t="e">
        <f>AND('Yamazumi Data'!T109,"AAAAAF7n9sI=")</f>
        <v>#VALUE!</v>
      </c>
      <c r="GN22" t="e">
        <f>AND('Yamazumi Data'!U109,"AAAAAF7n9sM=")</f>
        <v>#VALUE!</v>
      </c>
      <c r="GO22" t="e">
        <f>AND('Yamazumi Data'!V109,"AAAAAF7n9sQ=")</f>
        <v>#VALUE!</v>
      </c>
      <c r="GP22" t="e">
        <f>AND('Yamazumi Data'!W109,"AAAAAF7n9sU=")</f>
        <v>#VALUE!</v>
      </c>
      <c r="GQ22" t="e">
        <f>AND('Yamazumi Data'!X109,"AAAAAF7n9sY=")</f>
        <v>#VALUE!</v>
      </c>
      <c r="GR22" t="e">
        <f>AND('Yamazumi Data'!Y109,"AAAAAF7n9sc=")</f>
        <v>#VALUE!</v>
      </c>
      <c r="GS22" t="e">
        <f>AND('Yamazumi Data'!Z109,"AAAAAF7n9sg=")</f>
        <v>#VALUE!</v>
      </c>
      <c r="GT22" t="e">
        <f>AND('Yamazumi Data'!AA109,"AAAAAF7n9sk=")</f>
        <v>#VALUE!</v>
      </c>
      <c r="GU22" t="e">
        <f>AND('Yamazumi Data'!AB109,"AAAAAF7n9so=")</f>
        <v>#VALUE!</v>
      </c>
      <c r="GV22" t="e">
        <f>AND('Yamazumi Data'!AC109,"AAAAAF7n9ss=")</f>
        <v>#VALUE!</v>
      </c>
      <c r="GW22" t="e">
        <f>AND('Yamazumi Data'!AD109,"AAAAAF7n9sw=")</f>
        <v>#VALUE!</v>
      </c>
      <c r="GX22" t="e">
        <f>AND('Yamazumi Data'!AE109,"AAAAAF7n9s0=")</f>
        <v>#VALUE!</v>
      </c>
      <c r="GY22" t="e">
        <f>AND('Yamazumi Data'!AF109,"AAAAAF7n9s4=")</f>
        <v>#VALUE!</v>
      </c>
      <c r="GZ22" t="e">
        <f>AND('Yamazumi Data'!AG109,"AAAAAF7n9s8=")</f>
        <v>#VALUE!</v>
      </c>
      <c r="HA22" t="e">
        <f>AND('Yamazumi Data'!AH109,"AAAAAF7n9tA=")</f>
        <v>#VALUE!</v>
      </c>
      <c r="HB22" t="e">
        <f>AND('Yamazumi Data'!AI109,"AAAAAF7n9tE=")</f>
        <v>#VALUE!</v>
      </c>
      <c r="HC22" t="e">
        <f>AND('Yamazumi Data'!AJ109,"AAAAAF7n9tI=")</f>
        <v>#VALUE!</v>
      </c>
      <c r="HD22" t="e">
        <f>AND('Yamazumi Data'!AK109,"AAAAAF7n9tM=")</f>
        <v>#VALUE!</v>
      </c>
      <c r="HE22" t="e">
        <f>AND('Yamazumi Data'!AL109,"AAAAAF7n9tQ=")</f>
        <v>#VALUE!</v>
      </c>
      <c r="HF22" t="e">
        <f>AND('Yamazumi Data'!AM109,"AAAAAF7n9tU=")</f>
        <v>#VALUE!</v>
      </c>
      <c r="HG22" t="e">
        <f>AND('Yamazumi Data'!AN109,"AAAAAF7n9tY=")</f>
        <v>#VALUE!</v>
      </c>
      <c r="HH22" t="e">
        <f>AND('Yamazumi Data'!AO109,"AAAAAF7n9tc=")</f>
        <v>#VALUE!</v>
      </c>
      <c r="HI22" t="e">
        <f>AND('Yamazumi Data'!R110,"AAAAAF7n9tg=")</f>
        <v>#VALUE!</v>
      </c>
      <c r="HJ22" t="e">
        <f>AND('Yamazumi Data'!S110,"AAAAAF7n9tk=")</f>
        <v>#VALUE!</v>
      </c>
      <c r="HK22" t="e">
        <f>AND('Yamazumi Data'!T110,"AAAAAF7n9to=")</f>
        <v>#VALUE!</v>
      </c>
      <c r="HL22" t="e">
        <f>AND('Yamazumi Data'!U110,"AAAAAF7n9ts=")</f>
        <v>#VALUE!</v>
      </c>
      <c r="HM22" t="e">
        <f>AND('Yamazumi Data'!V110,"AAAAAF7n9tw=")</f>
        <v>#VALUE!</v>
      </c>
      <c r="HN22" t="e">
        <f>AND('Yamazumi Data'!W110,"AAAAAF7n9t0=")</f>
        <v>#VALUE!</v>
      </c>
      <c r="HO22" t="e">
        <f>AND('Yamazumi Data'!X110,"AAAAAF7n9t4=")</f>
        <v>#VALUE!</v>
      </c>
      <c r="HP22" t="e">
        <f>AND('Yamazumi Data'!Y110,"AAAAAF7n9t8=")</f>
        <v>#VALUE!</v>
      </c>
      <c r="HQ22" t="e">
        <f>AND('Yamazumi Data'!Z110,"AAAAAF7n9uA=")</f>
        <v>#VALUE!</v>
      </c>
      <c r="HR22" t="e">
        <f>AND('Yamazumi Data'!AA110,"AAAAAF7n9uE=")</f>
        <v>#VALUE!</v>
      </c>
      <c r="HS22" t="e">
        <f>AND('Yamazumi Data'!AB110,"AAAAAF7n9uI=")</f>
        <v>#VALUE!</v>
      </c>
      <c r="HT22" t="e">
        <f>AND('Yamazumi Data'!AC110,"AAAAAF7n9uM=")</f>
        <v>#VALUE!</v>
      </c>
      <c r="HU22" t="e">
        <f>AND('Yamazumi Data'!AD110,"AAAAAF7n9uQ=")</f>
        <v>#VALUE!</v>
      </c>
      <c r="HV22" t="e">
        <f>AND('Yamazumi Data'!AE110,"AAAAAF7n9uU=")</f>
        <v>#VALUE!</v>
      </c>
      <c r="HW22" t="e">
        <f>AND('Yamazumi Data'!AF110,"AAAAAF7n9uY=")</f>
        <v>#VALUE!</v>
      </c>
      <c r="HX22" t="e">
        <f>AND('Yamazumi Data'!AG110,"AAAAAF7n9uc=")</f>
        <v>#VALUE!</v>
      </c>
      <c r="HY22" t="e">
        <f>AND('Yamazumi Data'!AH110,"AAAAAF7n9ug=")</f>
        <v>#VALUE!</v>
      </c>
      <c r="HZ22" t="e">
        <f>AND('Yamazumi Data'!AI110,"AAAAAF7n9uk=")</f>
        <v>#VALUE!</v>
      </c>
      <c r="IA22" t="e">
        <f>AND('Yamazumi Data'!AJ110,"AAAAAF7n9uo=")</f>
        <v>#VALUE!</v>
      </c>
      <c r="IB22" t="e">
        <f>AND('Yamazumi Data'!AK110,"AAAAAF7n9us=")</f>
        <v>#VALUE!</v>
      </c>
      <c r="IC22" t="e">
        <f>AND('Yamazumi Data'!AL110,"AAAAAF7n9uw=")</f>
        <v>#VALUE!</v>
      </c>
      <c r="ID22" t="e">
        <f>AND('Yamazumi Data'!AM110,"AAAAAF7n9u0=")</f>
        <v>#VALUE!</v>
      </c>
      <c r="IE22" t="e">
        <f>AND('Yamazumi Data'!AN110,"AAAAAF7n9u4=")</f>
        <v>#VALUE!</v>
      </c>
      <c r="IF22" t="e">
        <f>AND('Yamazumi Data'!AO110,"AAAAAF7n9u8=")</f>
        <v>#VALUE!</v>
      </c>
      <c r="IG22" t="e">
        <f>AND('Yamazumi Data'!R111,"AAAAAF7n9vA=")</f>
        <v>#VALUE!</v>
      </c>
      <c r="IH22" t="e">
        <f>AND('Yamazumi Data'!S111,"AAAAAF7n9vE=")</f>
        <v>#VALUE!</v>
      </c>
      <c r="II22" t="e">
        <f>AND('Yamazumi Data'!T111,"AAAAAF7n9vI=")</f>
        <v>#VALUE!</v>
      </c>
      <c r="IJ22" t="e">
        <f>AND('Yamazumi Data'!U111,"AAAAAF7n9vM=")</f>
        <v>#VALUE!</v>
      </c>
      <c r="IK22" t="e">
        <f>AND('Yamazumi Data'!V111,"AAAAAF7n9vQ=")</f>
        <v>#VALUE!</v>
      </c>
      <c r="IL22" t="e">
        <f>AND('Yamazumi Data'!W111,"AAAAAF7n9vU=")</f>
        <v>#VALUE!</v>
      </c>
      <c r="IM22" t="e">
        <f>AND('Yamazumi Data'!X111,"AAAAAF7n9vY=")</f>
        <v>#VALUE!</v>
      </c>
      <c r="IN22" t="e">
        <f>AND('Yamazumi Data'!Y111,"AAAAAF7n9vc=")</f>
        <v>#VALUE!</v>
      </c>
      <c r="IO22" t="e">
        <f>AND('Yamazumi Data'!Z111,"AAAAAF7n9vg=")</f>
        <v>#VALUE!</v>
      </c>
      <c r="IP22" t="e">
        <f>AND('Yamazumi Data'!AA111,"AAAAAF7n9vk=")</f>
        <v>#VALUE!</v>
      </c>
      <c r="IQ22" t="e">
        <f>AND('Yamazumi Data'!AB111,"AAAAAF7n9vo=")</f>
        <v>#VALUE!</v>
      </c>
      <c r="IR22" t="e">
        <f>AND('Yamazumi Data'!AC111,"AAAAAF7n9vs=")</f>
        <v>#VALUE!</v>
      </c>
      <c r="IS22" t="e">
        <f>AND('Yamazumi Data'!AD111,"AAAAAF7n9vw=")</f>
        <v>#VALUE!</v>
      </c>
      <c r="IT22" t="e">
        <f>AND('Yamazumi Data'!AE111,"AAAAAF7n9v0=")</f>
        <v>#VALUE!</v>
      </c>
      <c r="IU22" t="e">
        <f>AND('Yamazumi Data'!AF111,"AAAAAF7n9v4=")</f>
        <v>#VALUE!</v>
      </c>
      <c r="IV22" t="e">
        <f>AND('Yamazumi Data'!AG111,"AAAAAF7n9v8=")</f>
        <v>#VALUE!</v>
      </c>
    </row>
    <row r="23" spans="1:256" ht="14.45" x14ac:dyDescent="0.3">
      <c r="A23" t="e">
        <f>AND('Yamazumi Data'!AH111,"AAAAADfffwA=")</f>
        <v>#VALUE!</v>
      </c>
      <c r="B23" t="e">
        <f>AND('Yamazumi Data'!AI111,"AAAAADfffwE=")</f>
        <v>#VALUE!</v>
      </c>
      <c r="C23" t="e">
        <f>AND('Yamazumi Data'!AJ111,"AAAAADfffwI=")</f>
        <v>#VALUE!</v>
      </c>
      <c r="D23" t="e">
        <f>AND('Yamazumi Data'!AK111,"AAAAADfffwM=")</f>
        <v>#VALUE!</v>
      </c>
      <c r="E23" t="e">
        <f>AND('Yamazumi Data'!AL111,"AAAAADfffwQ=")</f>
        <v>#VALUE!</v>
      </c>
      <c r="F23" t="e">
        <f>AND('Yamazumi Data'!AM111,"AAAAADfffwU=")</f>
        <v>#VALUE!</v>
      </c>
      <c r="G23" t="e">
        <f>AND('Yamazumi Data'!AN111,"AAAAADfffwY=")</f>
        <v>#VALUE!</v>
      </c>
      <c r="H23" t="e">
        <f>AND('Yamazumi Data'!AO111,"AAAAADfffwc=")</f>
        <v>#VALUE!</v>
      </c>
      <c r="I23" t="e">
        <f>AND('Yamazumi Data'!#REF!,"AAAAADfffwg=")</f>
        <v>#REF!</v>
      </c>
      <c r="J23" t="e">
        <f>AND('Yamazumi Data'!#REF!,"AAAAADfffwk=")</f>
        <v>#REF!</v>
      </c>
      <c r="K23" t="e">
        <f>AND('Yamazumi Data'!#REF!,"AAAAADfffwo=")</f>
        <v>#REF!</v>
      </c>
      <c r="L23" t="e">
        <f>AND('Yamazumi Data'!#REF!,"AAAAADfffws=")</f>
        <v>#REF!</v>
      </c>
      <c r="M23" t="e">
        <f>AND('Yamazumi Data'!#REF!,"AAAAADfffww=")</f>
        <v>#REF!</v>
      </c>
      <c r="N23" t="e">
        <f>AND('Yamazumi Data'!#REF!,"AAAAADfffw0=")</f>
        <v>#REF!</v>
      </c>
      <c r="O23" t="e">
        <f>AND('Yamazumi Data'!#REF!,"AAAAADfffw4=")</f>
        <v>#REF!</v>
      </c>
      <c r="P23" t="e">
        <f>AND('Yamazumi Data'!#REF!,"AAAAADfffw8=")</f>
        <v>#REF!</v>
      </c>
      <c r="Q23" t="e">
        <f>AND('Yamazumi Data'!#REF!,"AAAAADfffxA=")</f>
        <v>#REF!</v>
      </c>
      <c r="R23" t="e">
        <f>AND('Yamazumi Data'!#REF!,"AAAAADfffxE=")</f>
        <v>#REF!</v>
      </c>
      <c r="S23" t="e">
        <f>AND('Yamazumi Data'!#REF!,"AAAAADfffxI=")</f>
        <v>#REF!</v>
      </c>
      <c r="T23" t="e">
        <f>AND('Yamazumi Data'!#REF!,"AAAAADfffxM=")</f>
        <v>#REF!</v>
      </c>
      <c r="U23" t="e">
        <f>AND('Yamazumi Data'!#REF!,"AAAAADfffxQ=")</f>
        <v>#REF!</v>
      </c>
      <c r="V23" t="e">
        <f>AND('Yamazumi Data'!#REF!,"AAAAADfffxU=")</f>
        <v>#REF!</v>
      </c>
      <c r="W23" t="e">
        <f>AND('Yamazumi Data'!#REF!,"AAAAADfffxY=")</f>
        <v>#REF!</v>
      </c>
      <c r="X23" t="e">
        <f>AND('Yamazumi Data'!#REF!,"AAAAADfffxc=")</f>
        <v>#REF!</v>
      </c>
      <c r="Y23" t="e">
        <f>AND('Yamazumi Data'!#REF!,"AAAAADfffxg=")</f>
        <v>#REF!</v>
      </c>
      <c r="Z23" t="e">
        <f>AND('Yamazumi Data'!#REF!,"AAAAADfffxk=")</f>
        <v>#REF!</v>
      </c>
      <c r="AA23" t="e">
        <f>AND('Yamazumi Data'!#REF!,"AAAAADfffxo=")</f>
        <v>#REF!</v>
      </c>
      <c r="AB23" t="e">
        <f>AND('Yamazumi Data'!#REF!,"AAAAADfffxs=")</f>
        <v>#REF!</v>
      </c>
      <c r="AC23" t="e">
        <f>AND('Yamazumi Data'!#REF!,"AAAAADfffxw=")</f>
        <v>#REF!</v>
      </c>
      <c r="AD23" t="e">
        <f>AND('Yamazumi Data'!#REF!,"AAAAADfffx0=")</f>
        <v>#REF!</v>
      </c>
      <c r="AE23" t="e">
        <f>AND('Yamazumi Data'!#REF!,"AAAAADfffx4=")</f>
        <v>#REF!</v>
      </c>
      <c r="AF23" t="e">
        <f>AND('Yamazumi Data'!#REF!,"AAAAADfffx8=")</f>
        <v>#REF!</v>
      </c>
      <c r="AG23" t="e">
        <f>AND('Yamazumi Data'!#REF!,"AAAAADfffyA=")</f>
        <v>#REF!</v>
      </c>
      <c r="AH23" t="e">
        <f>AND('Yamazumi Data'!#REF!,"AAAAADfffyE=")</f>
        <v>#REF!</v>
      </c>
      <c r="AI23" t="e">
        <f>AND('Yamazumi Data'!#REF!,"AAAAADfffyI=")</f>
        <v>#REF!</v>
      </c>
      <c r="AJ23" t="e">
        <f>AND('Yamazumi Data'!#REF!,"AAAAADfffyM=")</f>
        <v>#REF!</v>
      </c>
      <c r="AK23" t="e">
        <f>AND('Yamazumi Data'!#REF!,"AAAAADfffyQ=")</f>
        <v>#REF!</v>
      </c>
      <c r="AL23" t="e">
        <f>AND('Yamazumi Data'!#REF!,"AAAAADfffyU=")</f>
        <v>#REF!</v>
      </c>
      <c r="AM23" t="e">
        <f>AND('Yamazumi Data'!#REF!,"AAAAADfffyY=")</f>
        <v>#REF!</v>
      </c>
      <c r="AN23" t="e">
        <f>AND('Yamazumi Data'!#REF!,"AAAAADfffyc=")</f>
        <v>#REF!</v>
      </c>
      <c r="AO23" t="e">
        <f>AND('Yamazumi Data'!#REF!,"AAAAADfffyg=")</f>
        <v>#REF!</v>
      </c>
      <c r="AP23" t="e">
        <f>AND('Yamazumi Data'!#REF!,"AAAAADfffyk=")</f>
        <v>#REF!</v>
      </c>
      <c r="AQ23" t="e">
        <f>AND('Yamazumi Data'!#REF!,"AAAAADfffyo=")</f>
        <v>#REF!</v>
      </c>
      <c r="AR23" t="e">
        <f>AND('Yamazumi Data'!#REF!,"AAAAADfffys=")</f>
        <v>#REF!</v>
      </c>
      <c r="AS23" t="e">
        <f>AND('Yamazumi Data'!#REF!,"AAAAADfffyw=")</f>
        <v>#REF!</v>
      </c>
      <c r="AT23" t="e">
        <f>AND('Yamazumi Data'!#REF!,"AAAAADfffy0=")</f>
        <v>#REF!</v>
      </c>
      <c r="AU23" t="e">
        <f>AND('Yamazumi Data'!#REF!,"AAAAADfffy4=")</f>
        <v>#REF!</v>
      </c>
      <c r="AV23" t="e">
        <f>AND('Yamazumi Data'!#REF!,"AAAAADfffy8=")</f>
        <v>#REF!</v>
      </c>
      <c r="AW23" t="e">
        <f>AND('Yamazumi Data'!#REF!,"AAAAADfffzA=")</f>
        <v>#REF!</v>
      </c>
      <c r="AX23" t="e">
        <f>AND('Yamazumi Data'!#REF!,"AAAAADfffzE=")</f>
        <v>#REF!</v>
      </c>
      <c r="AY23" t="e">
        <f>AND('Yamazumi Data'!#REF!,"AAAAADfffzI=")</f>
        <v>#REF!</v>
      </c>
      <c r="AZ23" t="e">
        <f>AND('Yamazumi Data'!#REF!,"AAAAADfffzM=")</f>
        <v>#REF!</v>
      </c>
      <c r="BA23" t="e">
        <f>AND('Yamazumi Data'!#REF!,"AAAAADfffzQ=")</f>
        <v>#REF!</v>
      </c>
      <c r="BB23" t="e">
        <f>AND('Yamazumi Data'!#REF!,"AAAAADfffzU=")</f>
        <v>#REF!</v>
      </c>
      <c r="BC23" t="e">
        <f>AND('Yamazumi Data'!#REF!,"AAAAADfffzY=")</f>
        <v>#REF!</v>
      </c>
      <c r="BD23" t="e">
        <f>AND('Yamazumi Data'!#REF!,"AAAAADfffzc=")</f>
        <v>#REF!</v>
      </c>
      <c r="BE23" t="e">
        <f>AND('Yamazumi Data'!#REF!,"AAAAADfffzg=")</f>
        <v>#REF!</v>
      </c>
      <c r="BF23" t="e">
        <f>AND('Yamazumi Data'!#REF!,"AAAAADfffzk=")</f>
        <v>#REF!</v>
      </c>
      <c r="BG23" t="e">
        <f>AND('Yamazumi Data'!#REF!,"AAAAADfffzo=")</f>
        <v>#REF!</v>
      </c>
      <c r="BH23" t="e">
        <f>AND('Yamazumi Data'!#REF!,"AAAAADfffzs=")</f>
        <v>#REF!</v>
      </c>
      <c r="BI23" t="e">
        <f>AND('Yamazumi Data'!#REF!,"AAAAADfffzw=")</f>
        <v>#REF!</v>
      </c>
      <c r="BJ23" t="e">
        <f>AND('Yamazumi Data'!#REF!,"AAAAADfffz0=")</f>
        <v>#REF!</v>
      </c>
      <c r="BK23" t="e">
        <f>AND('Yamazumi Data'!#REF!,"AAAAADfffz4=")</f>
        <v>#REF!</v>
      </c>
      <c r="BL23" t="e">
        <f>AND('Yamazumi Data'!#REF!,"AAAAADfffz8=")</f>
        <v>#REF!</v>
      </c>
      <c r="BM23" t="e">
        <f>AND('Yamazumi Data'!#REF!,"AAAAADfff0A=")</f>
        <v>#REF!</v>
      </c>
      <c r="BN23" t="e">
        <f>AND('Yamazumi Data'!#REF!,"AAAAADfff0E=")</f>
        <v>#REF!</v>
      </c>
      <c r="BO23" t="e">
        <f>AND('Yamazumi Data'!#REF!,"AAAAADfff0I=")</f>
        <v>#REF!</v>
      </c>
      <c r="BP23" t="e">
        <f>AND('Yamazumi Data'!#REF!,"AAAAADfff0M=")</f>
        <v>#REF!</v>
      </c>
      <c r="BQ23" t="e">
        <f>AND('Yamazumi Data'!#REF!,"AAAAADfff0Q=")</f>
        <v>#REF!</v>
      </c>
      <c r="BR23" t="e">
        <f>AND('Yamazumi Data'!#REF!,"AAAAADfff0U=")</f>
        <v>#REF!</v>
      </c>
      <c r="BS23" t="e">
        <f>AND('Yamazumi Data'!#REF!,"AAAAADfff0Y=")</f>
        <v>#REF!</v>
      </c>
      <c r="BT23" t="e">
        <f>AND('Yamazumi Data'!#REF!,"AAAAADfff0c=")</f>
        <v>#REF!</v>
      </c>
      <c r="BU23" t="e">
        <f>AND('Yamazumi Data'!#REF!,"AAAAADfff0g=")</f>
        <v>#REF!</v>
      </c>
      <c r="BV23" t="e">
        <f>AND('Yamazumi Data'!#REF!,"AAAAADfff0k=")</f>
        <v>#REF!</v>
      </c>
      <c r="BW23" t="e">
        <f>AND('Yamazumi Data'!#REF!,"AAAAADfff0o=")</f>
        <v>#REF!</v>
      </c>
      <c r="BX23" t="e">
        <f>AND('Yamazumi Data'!#REF!,"AAAAADfff0s=")</f>
        <v>#REF!</v>
      </c>
      <c r="BY23" t="e">
        <f>AND('Yamazumi Data'!#REF!,"AAAAADfff0w=")</f>
        <v>#REF!</v>
      </c>
      <c r="BZ23" t="e">
        <f>AND('Yamazumi Data'!#REF!,"AAAAADfff00=")</f>
        <v>#REF!</v>
      </c>
      <c r="CA23" t="e">
        <f>AND('Yamazumi Data'!#REF!,"AAAAADfff04=")</f>
        <v>#REF!</v>
      </c>
      <c r="CB23" t="e">
        <f>AND('Yamazumi Data'!#REF!,"AAAAADfff08=")</f>
        <v>#REF!</v>
      </c>
      <c r="CC23" t="e">
        <f>AND('Yamazumi Data'!#REF!,"AAAAADfff1A=")</f>
        <v>#REF!</v>
      </c>
      <c r="CD23" t="e">
        <f>AND('Yamazumi Data'!#REF!,"AAAAADfff1E=")</f>
        <v>#REF!</v>
      </c>
      <c r="CE23" t="e">
        <f>AND('Yamazumi Data'!#REF!,"AAAAADfff1I=")</f>
        <v>#REF!</v>
      </c>
      <c r="CF23" t="e">
        <f>AND('Yamazumi Data'!#REF!,"AAAAADfff1M=")</f>
        <v>#REF!</v>
      </c>
      <c r="CG23" t="e">
        <f>AND('Yamazumi Data'!#REF!,"AAAAADfff1Q=")</f>
        <v>#REF!</v>
      </c>
      <c r="CH23" t="e">
        <f>AND('Yamazumi Data'!#REF!,"AAAAADfff1U=")</f>
        <v>#REF!</v>
      </c>
      <c r="CI23" t="e">
        <f>AND('Yamazumi Data'!#REF!,"AAAAADfff1Y=")</f>
        <v>#REF!</v>
      </c>
      <c r="CJ23" t="e">
        <f>AND('Yamazumi Data'!#REF!,"AAAAADfff1c=")</f>
        <v>#REF!</v>
      </c>
      <c r="CK23" t="e">
        <f>AND('Yamazumi Data'!#REF!,"AAAAADfff1g=")</f>
        <v>#REF!</v>
      </c>
      <c r="CL23" t="e">
        <f>AND('Yamazumi Data'!#REF!,"AAAAADfff1k=")</f>
        <v>#REF!</v>
      </c>
      <c r="CM23" t="e">
        <f>AND('Yamazumi Data'!#REF!,"AAAAADfff1o=")</f>
        <v>#REF!</v>
      </c>
      <c r="CN23" t="e">
        <f>AND('Yamazumi Data'!#REF!,"AAAAADfff1s=")</f>
        <v>#REF!</v>
      </c>
      <c r="CO23" t="e">
        <f>AND('Yamazumi Data'!#REF!,"AAAAADfff1w=")</f>
        <v>#REF!</v>
      </c>
      <c r="CP23" t="e">
        <f>AND('Yamazumi Data'!#REF!,"AAAAADfff10=")</f>
        <v>#REF!</v>
      </c>
      <c r="CQ23" t="e">
        <f>AND('Yamazumi Data'!#REF!,"AAAAADfff14=")</f>
        <v>#REF!</v>
      </c>
      <c r="CR23" t="e">
        <f>AND('Yamazumi Data'!#REF!,"AAAAADfff18=")</f>
        <v>#REF!</v>
      </c>
      <c r="CS23" t="e">
        <f>AND('Yamazumi Data'!#REF!,"AAAAADfff2A=")</f>
        <v>#REF!</v>
      </c>
      <c r="CT23" t="e">
        <f>AND('Yamazumi Data'!#REF!,"AAAAADfff2E=")</f>
        <v>#REF!</v>
      </c>
      <c r="CU23" t="e">
        <f>AND('Yamazumi Data'!#REF!,"AAAAADfff2I=")</f>
        <v>#REF!</v>
      </c>
      <c r="CV23" t="e">
        <f>AND('Yamazumi Data'!#REF!,"AAAAADfff2M=")</f>
        <v>#REF!</v>
      </c>
      <c r="CW23" t="e">
        <f>AND('Yamazumi Data'!#REF!,"AAAAADfff2Q=")</f>
        <v>#REF!</v>
      </c>
      <c r="CX23" t="e">
        <f>AND('Yamazumi Data'!#REF!,"AAAAADfff2U=")</f>
        <v>#REF!</v>
      </c>
      <c r="CY23" t="e">
        <f>AND('Yamazumi Data'!#REF!,"AAAAADfff2Y=")</f>
        <v>#REF!</v>
      </c>
      <c r="CZ23" t="e">
        <f>AND('Yamazumi Data'!#REF!,"AAAAADfff2c=")</f>
        <v>#REF!</v>
      </c>
      <c r="DA23" t="e">
        <f>AND('Yamazumi Data'!#REF!,"AAAAADfff2g=")</f>
        <v>#REF!</v>
      </c>
      <c r="DB23" t="e">
        <f>AND('Yamazumi Data'!#REF!,"AAAAADfff2k=")</f>
        <v>#REF!</v>
      </c>
      <c r="DC23" t="e">
        <f>AND('Yamazumi Data'!#REF!,"AAAAADfff2o=")</f>
        <v>#REF!</v>
      </c>
      <c r="DD23" t="e">
        <f>AND('Yamazumi Data'!#REF!,"AAAAADfff2s=")</f>
        <v>#REF!</v>
      </c>
      <c r="DE23" t="e">
        <f>AND('Yamazumi Data'!#REF!,"AAAAADfff2w=")</f>
        <v>#REF!</v>
      </c>
      <c r="DF23" t="e">
        <f>AND('Yamazumi Data'!#REF!,"AAAAADfff20=")</f>
        <v>#REF!</v>
      </c>
      <c r="DG23" t="e">
        <f>AND('Yamazumi Data'!#REF!,"AAAAADfff24=")</f>
        <v>#REF!</v>
      </c>
      <c r="DH23" t="e">
        <f>AND('Yamazumi Data'!#REF!,"AAAAADfff28=")</f>
        <v>#REF!</v>
      </c>
      <c r="DI23" t="e">
        <f>AND('Yamazumi Data'!#REF!,"AAAAADfff3A=")</f>
        <v>#REF!</v>
      </c>
      <c r="DJ23" t="e">
        <f>AND('Yamazumi Data'!#REF!,"AAAAADfff3E=")</f>
        <v>#REF!</v>
      </c>
      <c r="DK23" t="e">
        <f>AND('Yamazumi Data'!#REF!,"AAAAADfff3I=")</f>
        <v>#REF!</v>
      </c>
      <c r="DL23" t="e">
        <f>AND('Yamazumi Data'!#REF!,"AAAAADfff3M=")</f>
        <v>#REF!</v>
      </c>
      <c r="DM23" t="e">
        <f>AND('Yamazumi Data'!#REF!,"AAAAADfff3Q=")</f>
        <v>#REF!</v>
      </c>
      <c r="DN23" t="e">
        <f>AND('Yamazumi Data'!#REF!,"AAAAADfff3U=")</f>
        <v>#REF!</v>
      </c>
      <c r="DO23" t="e">
        <f>AND('Yamazumi Data'!#REF!,"AAAAADfff3Y=")</f>
        <v>#REF!</v>
      </c>
      <c r="DP23" t="e">
        <f>AND('Yamazumi Data'!#REF!,"AAAAADfff3c=")</f>
        <v>#REF!</v>
      </c>
      <c r="DQ23" t="e">
        <f>AND('Yamazumi Data'!#REF!,"AAAAADfff3g=")</f>
        <v>#REF!</v>
      </c>
      <c r="DR23" t="e">
        <f>AND('Yamazumi Data'!#REF!,"AAAAADfff3k=")</f>
        <v>#REF!</v>
      </c>
      <c r="DS23" t="e">
        <f>AND('Yamazumi Data'!#REF!,"AAAAADfff3o=")</f>
        <v>#REF!</v>
      </c>
      <c r="DT23" t="e">
        <f>AND('Yamazumi Data'!#REF!,"AAAAADfff3s=")</f>
        <v>#REF!</v>
      </c>
      <c r="DU23" t="e">
        <f>AND('Yamazumi Data'!#REF!,"AAAAADfff3w=")</f>
        <v>#REF!</v>
      </c>
      <c r="DV23" t="e">
        <f>AND('Yamazumi Data'!#REF!,"AAAAADfff30=")</f>
        <v>#REF!</v>
      </c>
      <c r="DW23" t="e">
        <f>AND('Yamazumi Data'!#REF!,"AAAAADfff34=")</f>
        <v>#REF!</v>
      </c>
      <c r="DX23" t="e">
        <f>AND('Yamazumi Data'!#REF!,"AAAAADfff38=")</f>
        <v>#REF!</v>
      </c>
      <c r="DY23" t="e">
        <f>AND('Yamazumi Data'!#REF!,"AAAAADfff4A=")</f>
        <v>#REF!</v>
      </c>
      <c r="DZ23" t="e">
        <f>AND('Yamazumi Data'!#REF!,"AAAAADfff4E=")</f>
        <v>#REF!</v>
      </c>
      <c r="EA23" t="e">
        <f>AND('Yamazumi Data'!#REF!,"AAAAADfff4I=")</f>
        <v>#REF!</v>
      </c>
      <c r="EB23" t="e">
        <f>AND('Yamazumi Data'!#REF!,"AAAAADfff4M=")</f>
        <v>#REF!</v>
      </c>
      <c r="EC23" t="e">
        <f>AND('Yamazumi Data'!#REF!,"AAAAADfff4Q=")</f>
        <v>#REF!</v>
      </c>
      <c r="ED23" t="e">
        <f>AND('Yamazumi Data'!#REF!,"AAAAADfff4U=")</f>
        <v>#REF!</v>
      </c>
      <c r="EE23" t="e">
        <f>AND('Yamazumi Data'!#REF!,"AAAAADfff4Y=")</f>
        <v>#REF!</v>
      </c>
      <c r="EF23" t="e">
        <f>AND('Yamazumi Data'!#REF!,"AAAAADfff4c=")</f>
        <v>#REF!</v>
      </c>
      <c r="EG23" t="e">
        <f>AND('Yamazumi Data'!#REF!,"AAAAADfff4g=")</f>
        <v>#REF!</v>
      </c>
      <c r="EH23" t="e">
        <f>AND('Yamazumi Data'!#REF!,"AAAAADfff4k=")</f>
        <v>#REF!</v>
      </c>
      <c r="EI23" t="e">
        <f>AND('Yamazumi Data'!#REF!,"AAAAADfff4o=")</f>
        <v>#REF!</v>
      </c>
      <c r="EJ23" t="e">
        <f>AND('Yamazumi Data'!#REF!,"AAAAADfff4s=")</f>
        <v>#REF!</v>
      </c>
      <c r="EK23" t="e">
        <f>AND('Yamazumi Data'!#REF!,"AAAAADfff4w=")</f>
        <v>#REF!</v>
      </c>
      <c r="EL23" t="e">
        <f>AND('Yamazumi Data'!#REF!,"AAAAADfff40=")</f>
        <v>#REF!</v>
      </c>
      <c r="EM23" t="e">
        <f>AND('Yamazumi Data'!#REF!,"AAAAADfff44=")</f>
        <v>#REF!</v>
      </c>
      <c r="EN23" t="e">
        <f>AND('Yamazumi Data'!#REF!,"AAAAADfff48=")</f>
        <v>#REF!</v>
      </c>
      <c r="EO23" t="e">
        <f>AND('Yamazumi Data'!#REF!,"AAAAADfff5A=")</f>
        <v>#REF!</v>
      </c>
      <c r="EP23" t="e">
        <f>AND('Yamazumi Data'!#REF!,"AAAAADfff5E=")</f>
        <v>#REF!</v>
      </c>
      <c r="EQ23" t="e">
        <f>AND('Yamazumi Data'!#REF!,"AAAAADfff5I=")</f>
        <v>#REF!</v>
      </c>
      <c r="ER23" t="e">
        <f>AND('Yamazumi Data'!#REF!,"AAAAADfff5M=")</f>
        <v>#REF!</v>
      </c>
      <c r="ES23" t="e">
        <f>AND('Yamazumi Data'!#REF!,"AAAAADfff5Q=")</f>
        <v>#REF!</v>
      </c>
      <c r="ET23" t="e">
        <f>AND('Yamazumi Data'!#REF!,"AAAAADfff5U=")</f>
        <v>#REF!</v>
      </c>
      <c r="EU23" t="e">
        <f>AND('Yamazumi Data'!#REF!,"AAAAADfff5Y=")</f>
        <v>#REF!</v>
      </c>
      <c r="EV23" t="e">
        <f>AND('Yamazumi Data'!#REF!,"AAAAADfff5c=")</f>
        <v>#REF!</v>
      </c>
      <c r="EW23" t="e">
        <f>AND('Yamazumi Data'!#REF!,"AAAAADfff5g=")</f>
        <v>#REF!</v>
      </c>
      <c r="EX23" t="e">
        <f>AND('Yamazumi Data'!#REF!,"AAAAADfff5k=")</f>
        <v>#REF!</v>
      </c>
      <c r="EY23" t="e">
        <f>AND('Yamazumi Data'!#REF!,"AAAAADfff5o=")</f>
        <v>#REF!</v>
      </c>
      <c r="EZ23" t="e">
        <f>AND('Yamazumi Data'!#REF!,"AAAAADfff5s=")</f>
        <v>#REF!</v>
      </c>
      <c r="FA23" t="e">
        <f>AND('Yamazumi Data'!#REF!,"AAAAADfff5w=")</f>
        <v>#REF!</v>
      </c>
      <c r="FB23" t="e">
        <f>AND('Yamazumi Data'!#REF!,"AAAAADfff50=")</f>
        <v>#REF!</v>
      </c>
      <c r="FC23" t="e">
        <f>AND('Yamazumi Data'!#REF!,"AAAAADfff54=")</f>
        <v>#REF!</v>
      </c>
      <c r="FD23" t="e">
        <f>AND('Yamazumi Data'!#REF!,"AAAAADfff58=")</f>
        <v>#REF!</v>
      </c>
      <c r="FE23" t="e">
        <f>AND('Yamazumi Data'!#REF!,"AAAAADfff6A=")</f>
        <v>#REF!</v>
      </c>
      <c r="FF23" t="e">
        <f>AND('Yamazumi Data'!#REF!,"AAAAADfff6E=")</f>
        <v>#REF!</v>
      </c>
      <c r="FG23" t="e">
        <f>AND('Yamazumi Data'!#REF!,"AAAAADfff6I=")</f>
        <v>#REF!</v>
      </c>
      <c r="FH23" t="e">
        <f>AND('Yamazumi Data'!#REF!,"AAAAADfff6M=")</f>
        <v>#REF!</v>
      </c>
      <c r="FI23" t="e">
        <f>AND('Yamazumi Data'!#REF!,"AAAAADfff6Q=")</f>
        <v>#REF!</v>
      </c>
      <c r="FJ23" t="e">
        <f>AND('Yamazumi Data'!#REF!,"AAAAADfff6U=")</f>
        <v>#REF!</v>
      </c>
      <c r="FK23" t="e">
        <f>AND('Yamazumi Data'!#REF!,"AAAAADfff6Y=")</f>
        <v>#REF!</v>
      </c>
      <c r="FL23" t="e">
        <f>AND('Yamazumi Data'!#REF!,"AAAAADfff6c=")</f>
        <v>#REF!</v>
      </c>
      <c r="FM23" t="e">
        <f>AND('Yamazumi Data'!#REF!,"AAAAADfff6g=")</f>
        <v>#REF!</v>
      </c>
      <c r="FN23" t="e">
        <f>AND('Yamazumi Data'!#REF!,"AAAAADfff6k=")</f>
        <v>#REF!</v>
      </c>
      <c r="FO23" t="e">
        <f>AND('Yamazumi Data'!#REF!,"AAAAADfff6o=")</f>
        <v>#REF!</v>
      </c>
      <c r="FP23" t="e">
        <f>AND('Yamazumi Data'!#REF!,"AAAAADfff6s=")</f>
        <v>#REF!</v>
      </c>
      <c r="FQ23" t="e">
        <f>AND('Yamazumi Data'!#REF!,"AAAAADfff6w=")</f>
        <v>#REF!</v>
      </c>
      <c r="FR23" t="e">
        <f>AND('Yamazumi Data'!#REF!,"AAAAADfff60=")</f>
        <v>#REF!</v>
      </c>
      <c r="FS23" t="e">
        <f>AND('Yamazumi Data'!#REF!,"AAAAADfff64=")</f>
        <v>#REF!</v>
      </c>
      <c r="FT23" t="e">
        <f>AND('Yamazumi Data'!#REF!,"AAAAADfff68=")</f>
        <v>#REF!</v>
      </c>
      <c r="FU23" t="e">
        <f>AND('Yamazumi Data'!#REF!,"AAAAADfff7A=")</f>
        <v>#REF!</v>
      </c>
      <c r="FV23" t="e">
        <f>AND('Yamazumi Data'!#REF!,"AAAAADfff7E=")</f>
        <v>#REF!</v>
      </c>
      <c r="FW23" t="e">
        <f>AND('Yamazumi Data'!#REF!,"AAAAADfff7I=")</f>
        <v>#REF!</v>
      </c>
      <c r="FX23" t="e">
        <f>AND('Yamazumi Data'!#REF!,"AAAAADfff7M=")</f>
        <v>#REF!</v>
      </c>
      <c r="FY23" t="e">
        <f>AND('Yamazumi Data'!#REF!,"AAAAADfff7Q=")</f>
        <v>#REF!</v>
      </c>
      <c r="FZ23" t="e">
        <f>AND('Yamazumi Data'!#REF!,"AAAAADfff7U=")</f>
        <v>#REF!</v>
      </c>
      <c r="GA23" t="e">
        <f>AND('Yamazumi Data'!#REF!,"AAAAADfff7Y=")</f>
        <v>#REF!</v>
      </c>
      <c r="GB23" t="e">
        <f>AND('Yamazumi Data'!#REF!,"AAAAADfff7c=")</f>
        <v>#REF!</v>
      </c>
      <c r="GC23" t="e">
        <f>AND('Yamazumi Data'!#REF!,"AAAAADfff7g=")</f>
        <v>#REF!</v>
      </c>
      <c r="GD23" t="e">
        <f>AND('Yamazumi Data'!#REF!,"AAAAADfff7k=")</f>
        <v>#REF!</v>
      </c>
      <c r="GE23" t="e">
        <f>AND('Yamazumi Data'!#REF!,"AAAAADfff7o=")</f>
        <v>#REF!</v>
      </c>
      <c r="GF23" t="e">
        <f>AND('Yamazumi Data'!#REF!,"AAAAADfff7s=")</f>
        <v>#REF!</v>
      </c>
      <c r="GG23" t="e">
        <f>AND('Yamazumi Data'!#REF!,"AAAAADfff7w=")</f>
        <v>#REF!</v>
      </c>
      <c r="GH23" t="e">
        <f>AND('Yamazumi Data'!#REF!,"AAAAADfff70=")</f>
        <v>#REF!</v>
      </c>
      <c r="GI23" t="e">
        <f>AND('Yamazumi Data'!#REF!,"AAAAADfff74=")</f>
        <v>#REF!</v>
      </c>
      <c r="GJ23" t="e">
        <f>AND('Yamazumi Data'!#REF!,"AAAAADfff78=")</f>
        <v>#REF!</v>
      </c>
      <c r="GK23" t="e">
        <f>AND('Yamazumi Data'!#REF!,"AAAAADfff8A=")</f>
        <v>#REF!</v>
      </c>
      <c r="GL23" t="e">
        <f>AND('Yamazumi Data'!#REF!,"AAAAADfff8E=")</f>
        <v>#REF!</v>
      </c>
      <c r="GM23" t="e">
        <f>AND('Yamazumi Data'!#REF!,"AAAAADfff8I=")</f>
        <v>#REF!</v>
      </c>
      <c r="GN23" t="e">
        <f>AND('Yamazumi Data'!#REF!,"AAAAADfff8M=")</f>
        <v>#REF!</v>
      </c>
      <c r="GO23" t="e">
        <f>AND('Yamazumi Data'!#REF!,"AAAAADfff8Q=")</f>
        <v>#REF!</v>
      </c>
      <c r="GP23" t="e">
        <f>IF('Yamazumi Data'!#REF!,"AAAAADfff8U=",0)</f>
        <v>#REF!</v>
      </c>
      <c r="GQ23" t="e">
        <f>AND('Yamazumi Data'!#REF!,"AAAAADfff8Y=")</f>
        <v>#REF!</v>
      </c>
      <c r="GR23" t="e">
        <f>AND('Yamazumi Data'!#REF!,"AAAAADfff8c=")</f>
        <v>#REF!</v>
      </c>
      <c r="GS23" t="e">
        <f>AND('Yamazumi Data'!#REF!,"AAAAADfff8g=")</f>
        <v>#REF!</v>
      </c>
      <c r="GT23" t="e">
        <f>AND('Yamazumi Data'!#REF!,"AAAAADfff8k=")</f>
        <v>#REF!</v>
      </c>
      <c r="GU23" t="e">
        <f>AND('Yamazumi Data'!#REF!,"AAAAADfff8o=")</f>
        <v>#REF!</v>
      </c>
      <c r="GV23" t="e">
        <f>AND('Yamazumi Data'!#REF!,"AAAAADfff8s=")</f>
        <v>#REF!</v>
      </c>
      <c r="GW23" t="e">
        <f>AND('Yamazumi Data'!#REF!,"AAAAADfff8w=")</f>
        <v>#REF!</v>
      </c>
      <c r="GX23" t="e">
        <f>AND('Yamazumi Data'!#REF!,"AAAAADfff80=")</f>
        <v>#REF!</v>
      </c>
      <c r="GY23" t="e">
        <f>AND('Yamazumi Data'!#REF!,"AAAAADfff84=")</f>
        <v>#REF!</v>
      </c>
      <c r="GZ23" t="e">
        <f>AND('Yamazumi Data'!#REF!,"AAAAADfff88=")</f>
        <v>#REF!</v>
      </c>
      <c r="HA23" t="e">
        <f>AND('Yamazumi Data'!#REF!,"AAAAADfff9A=")</f>
        <v>#REF!</v>
      </c>
      <c r="HB23" t="e">
        <f>AND('Yamazumi Data'!#REF!,"AAAAADfff9E=")</f>
        <v>#REF!</v>
      </c>
      <c r="HC23" t="e">
        <f>AND('Yamazumi Data'!#REF!,"AAAAADfff9I=")</f>
        <v>#REF!</v>
      </c>
      <c r="HD23" t="e">
        <f>AND('Yamazumi Data'!#REF!,"AAAAADfff9M=")</f>
        <v>#REF!</v>
      </c>
      <c r="HE23" t="e">
        <f>AND('Yamazumi Data'!#REF!,"AAAAADfff9Q=")</f>
        <v>#REF!</v>
      </c>
      <c r="HF23" t="e">
        <f>AND('Yamazumi Data'!#REF!,"AAAAADfff9U=")</f>
        <v>#REF!</v>
      </c>
      <c r="HG23" t="e">
        <f>AND('Yamazumi Data'!#REF!,"AAAAADfff9Y=")</f>
        <v>#REF!</v>
      </c>
      <c r="HH23" t="e">
        <f>AND('Yamazumi Data'!#REF!,"AAAAADfff9c=")</f>
        <v>#REF!</v>
      </c>
      <c r="HI23" t="e">
        <f>AND('Yamazumi Data'!#REF!,"AAAAADfff9g=")</f>
        <v>#REF!</v>
      </c>
      <c r="HJ23" t="e">
        <f>AND('Yamazumi Data'!#REF!,"AAAAADfff9k=")</f>
        <v>#REF!</v>
      </c>
      <c r="HK23" t="e">
        <f>AND('Yamazumi Data'!#REF!,"AAAAADfff9o=")</f>
        <v>#REF!</v>
      </c>
      <c r="HL23" t="e">
        <f>AND('Yamazumi Data'!#REF!,"AAAAADfff9s=")</f>
        <v>#REF!</v>
      </c>
      <c r="HM23" t="e">
        <f>AND('Yamazumi Data'!#REF!,"AAAAADfff9w=")</f>
        <v>#REF!</v>
      </c>
      <c r="HN23" t="e">
        <f>AND('Yamazumi Data'!#REF!,"AAAAADfff90=")</f>
        <v>#REF!</v>
      </c>
      <c r="HO23" t="e">
        <f>AND('Yamazumi Data'!#REF!,"AAAAADfff94=")</f>
        <v>#REF!</v>
      </c>
      <c r="HP23" t="e">
        <f>AND('Yamazumi Data'!#REF!,"AAAAADfff98=")</f>
        <v>#REF!</v>
      </c>
      <c r="HQ23" t="e">
        <f>AND('Yamazumi Data'!#REF!,"AAAAADfff+A=")</f>
        <v>#REF!</v>
      </c>
      <c r="HR23" t="e">
        <f>AND('Yamazumi Data'!#REF!,"AAAAADfff+E=")</f>
        <v>#REF!</v>
      </c>
      <c r="HS23" t="e">
        <f>AND('Yamazumi Data'!#REF!,"AAAAADfff+I=")</f>
        <v>#REF!</v>
      </c>
      <c r="HT23" t="e">
        <f>AND('Yamazumi Data'!#REF!,"AAAAADfff+M=")</f>
        <v>#REF!</v>
      </c>
      <c r="HU23" t="e">
        <f>AND('Yamazumi Data'!#REF!,"AAAAADfff+Q=")</f>
        <v>#REF!</v>
      </c>
      <c r="HV23" t="e">
        <f>AND('Yamazumi Data'!#REF!,"AAAAADfff+U=")</f>
        <v>#REF!</v>
      </c>
      <c r="HW23" t="e">
        <f>AND('Yamazumi Data'!#REF!,"AAAAADfff+Y=")</f>
        <v>#REF!</v>
      </c>
      <c r="HX23" t="e">
        <f>AND('Yamazumi Data'!#REF!,"AAAAADfff+c=")</f>
        <v>#REF!</v>
      </c>
      <c r="HY23" t="e">
        <f>AND('Yamazumi Data'!#REF!,"AAAAADfff+g=")</f>
        <v>#REF!</v>
      </c>
      <c r="HZ23" t="e">
        <f>AND('Yamazumi Data'!#REF!,"AAAAADfff+k=")</f>
        <v>#REF!</v>
      </c>
      <c r="IA23" t="e">
        <f>AND('Yamazumi Data'!#REF!,"AAAAADfff+o=")</f>
        <v>#REF!</v>
      </c>
      <c r="IB23" t="e">
        <f>AND('Yamazumi Data'!#REF!,"AAAAADfff+s=")</f>
        <v>#REF!</v>
      </c>
      <c r="IC23" t="e">
        <f>AND('Yamazumi Data'!#REF!,"AAAAADfff+w=")</f>
        <v>#REF!</v>
      </c>
      <c r="ID23" t="e">
        <f>AND('Yamazumi Data'!#REF!,"AAAAADfff+0=")</f>
        <v>#REF!</v>
      </c>
      <c r="IE23" t="e">
        <f>IF('Yamazumi Data'!#REF!,"AAAAADfff+4=",0)</f>
        <v>#REF!</v>
      </c>
      <c r="IF23" t="e">
        <f>AND('Yamazumi Data'!#REF!,"AAAAADfff+8=")</f>
        <v>#REF!</v>
      </c>
      <c r="IG23" t="e">
        <f>AND('Yamazumi Data'!#REF!,"AAAAADfff/A=")</f>
        <v>#REF!</v>
      </c>
      <c r="IH23" t="e">
        <f>AND('Yamazumi Data'!#REF!,"AAAAADfff/E=")</f>
        <v>#REF!</v>
      </c>
      <c r="II23" t="e">
        <f>AND('Yamazumi Data'!#REF!,"AAAAADfff/I=")</f>
        <v>#REF!</v>
      </c>
      <c r="IJ23" t="e">
        <f>AND('Yamazumi Data'!#REF!,"AAAAADfff/M=")</f>
        <v>#REF!</v>
      </c>
      <c r="IK23" t="e">
        <f>AND('Yamazumi Data'!#REF!,"AAAAADfff/Q=")</f>
        <v>#REF!</v>
      </c>
      <c r="IL23" t="e">
        <f>AND('Yamazumi Data'!#REF!,"AAAAADfff/U=")</f>
        <v>#REF!</v>
      </c>
      <c r="IM23" t="e">
        <f>AND('Yamazumi Data'!#REF!,"AAAAADfff/Y=")</f>
        <v>#REF!</v>
      </c>
      <c r="IN23" t="e">
        <f>AND('Yamazumi Data'!#REF!,"AAAAADfff/c=")</f>
        <v>#REF!</v>
      </c>
      <c r="IO23" t="e">
        <f>AND('Yamazumi Data'!#REF!,"AAAAADfff/g=")</f>
        <v>#REF!</v>
      </c>
      <c r="IP23" t="e">
        <f>AND('Yamazumi Data'!#REF!,"AAAAADfff/k=")</f>
        <v>#REF!</v>
      </c>
      <c r="IQ23" t="e">
        <f>AND('Yamazumi Data'!#REF!,"AAAAADfff/o=")</f>
        <v>#REF!</v>
      </c>
      <c r="IR23" t="e">
        <f>AND('Yamazumi Data'!#REF!,"AAAAADfff/s=")</f>
        <v>#REF!</v>
      </c>
      <c r="IS23" t="e">
        <f>AND('Yamazumi Data'!#REF!,"AAAAADfff/w=")</f>
        <v>#REF!</v>
      </c>
      <c r="IT23" t="e">
        <f>AND('Yamazumi Data'!#REF!,"AAAAADfff/0=")</f>
        <v>#REF!</v>
      </c>
      <c r="IU23" t="e">
        <f>AND('Yamazumi Data'!#REF!,"AAAAADfff/4=")</f>
        <v>#REF!</v>
      </c>
      <c r="IV23" t="e">
        <f>AND('Yamazumi Data'!#REF!,"AAAAADfff/8=")</f>
        <v>#REF!</v>
      </c>
    </row>
    <row r="24" spans="1:256" ht="14.45" x14ac:dyDescent="0.3">
      <c r="A24" t="e">
        <f>AND('Yamazumi Data'!#REF!,"AAAAAH/5yAA=")</f>
        <v>#REF!</v>
      </c>
      <c r="B24" t="e">
        <f>AND('Yamazumi Data'!#REF!,"AAAAAH/5yAE=")</f>
        <v>#REF!</v>
      </c>
      <c r="C24" t="e">
        <f>AND('Yamazumi Data'!#REF!,"AAAAAH/5yAI=")</f>
        <v>#REF!</v>
      </c>
      <c r="D24" t="e">
        <f>AND('Yamazumi Data'!#REF!,"AAAAAH/5yAM=")</f>
        <v>#REF!</v>
      </c>
      <c r="E24" t="e">
        <f>AND('Yamazumi Data'!#REF!,"AAAAAH/5yAQ=")</f>
        <v>#REF!</v>
      </c>
      <c r="F24" t="e">
        <f>AND('Yamazumi Data'!#REF!,"AAAAAH/5yAU=")</f>
        <v>#REF!</v>
      </c>
      <c r="G24" t="e">
        <f>AND('Yamazumi Data'!#REF!,"AAAAAH/5yAY=")</f>
        <v>#REF!</v>
      </c>
      <c r="H24" t="e">
        <f>AND('Yamazumi Data'!#REF!,"AAAAAH/5yAc=")</f>
        <v>#REF!</v>
      </c>
      <c r="I24" t="e">
        <f>AND('Yamazumi Data'!#REF!,"AAAAAH/5yAg=")</f>
        <v>#REF!</v>
      </c>
      <c r="J24" t="e">
        <f>AND('Yamazumi Data'!#REF!,"AAAAAH/5yAk=")</f>
        <v>#REF!</v>
      </c>
      <c r="K24" t="e">
        <f>AND('Yamazumi Data'!#REF!,"AAAAAH/5yAo=")</f>
        <v>#REF!</v>
      </c>
      <c r="L24" t="e">
        <f>AND('Yamazumi Data'!#REF!,"AAAAAH/5yAs=")</f>
        <v>#REF!</v>
      </c>
      <c r="M24" t="e">
        <f>AND('Yamazumi Data'!#REF!,"AAAAAH/5yAw=")</f>
        <v>#REF!</v>
      </c>
      <c r="N24" t="e">
        <f>AND('Yamazumi Data'!#REF!,"AAAAAH/5yA0=")</f>
        <v>#REF!</v>
      </c>
      <c r="O24" t="e">
        <f>AND('Yamazumi Data'!#REF!,"AAAAAH/5yA4=")</f>
        <v>#REF!</v>
      </c>
      <c r="P24" t="e">
        <f>AND('Yamazumi Data'!#REF!,"AAAAAH/5yA8=")</f>
        <v>#REF!</v>
      </c>
      <c r="Q24" t="e">
        <f>AND('Yamazumi Data'!#REF!,"AAAAAH/5yBA=")</f>
        <v>#REF!</v>
      </c>
      <c r="R24" t="e">
        <f>AND('Yamazumi Data'!#REF!,"AAAAAH/5yBE=")</f>
        <v>#REF!</v>
      </c>
      <c r="S24" t="e">
        <f>AND('Yamazumi Data'!#REF!,"AAAAAH/5yBI=")</f>
        <v>#REF!</v>
      </c>
      <c r="T24" t="e">
        <f>AND('Yamazumi Data'!#REF!,"AAAAAH/5yBM=")</f>
        <v>#REF!</v>
      </c>
      <c r="U24" t="e">
        <f>AND('Yamazumi Data'!#REF!,"AAAAAH/5yBQ=")</f>
        <v>#REF!</v>
      </c>
      <c r="V24" t="e">
        <f>AND('Yamazumi Data'!#REF!,"AAAAAH/5yBU=")</f>
        <v>#REF!</v>
      </c>
      <c r="W24" t="e">
        <f>AND('Yamazumi Data'!#REF!,"AAAAAH/5yBY=")</f>
        <v>#REF!</v>
      </c>
      <c r="X24" t="e">
        <f>IF('Yamazumi Data'!#REF!,"AAAAAH/5yBc=",0)</f>
        <v>#REF!</v>
      </c>
      <c r="Y24" t="e">
        <f>AND('Yamazumi Data'!#REF!,"AAAAAH/5yBg=")</f>
        <v>#REF!</v>
      </c>
      <c r="Z24" t="e">
        <f>AND('Yamazumi Data'!#REF!,"AAAAAH/5yBk=")</f>
        <v>#REF!</v>
      </c>
      <c r="AA24" t="e">
        <f>AND('Yamazumi Data'!#REF!,"AAAAAH/5yBo=")</f>
        <v>#REF!</v>
      </c>
      <c r="AB24" t="e">
        <f>AND('Yamazumi Data'!#REF!,"AAAAAH/5yBs=")</f>
        <v>#REF!</v>
      </c>
      <c r="AC24" t="e">
        <f>AND('Yamazumi Data'!#REF!,"AAAAAH/5yBw=")</f>
        <v>#REF!</v>
      </c>
      <c r="AD24" t="e">
        <f>AND('Yamazumi Data'!#REF!,"AAAAAH/5yB0=")</f>
        <v>#REF!</v>
      </c>
      <c r="AE24" t="e">
        <f>AND('Yamazumi Data'!#REF!,"AAAAAH/5yB4=")</f>
        <v>#REF!</v>
      </c>
      <c r="AF24" t="e">
        <f>AND('Yamazumi Data'!#REF!,"AAAAAH/5yB8=")</f>
        <v>#REF!</v>
      </c>
      <c r="AG24" t="e">
        <f>AND('Yamazumi Data'!#REF!,"AAAAAH/5yCA=")</f>
        <v>#REF!</v>
      </c>
      <c r="AH24" t="e">
        <f>AND('Yamazumi Data'!#REF!,"AAAAAH/5yCE=")</f>
        <v>#REF!</v>
      </c>
      <c r="AI24" t="e">
        <f>AND('Yamazumi Data'!#REF!,"AAAAAH/5yCI=")</f>
        <v>#REF!</v>
      </c>
      <c r="AJ24" t="e">
        <f>AND('Yamazumi Data'!#REF!,"AAAAAH/5yCM=")</f>
        <v>#REF!</v>
      </c>
      <c r="AK24" t="e">
        <f>AND('Yamazumi Data'!#REF!,"AAAAAH/5yCQ=")</f>
        <v>#REF!</v>
      </c>
      <c r="AL24" t="e">
        <f>AND('Yamazumi Data'!#REF!,"AAAAAH/5yCU=")</f>
        <v>#REF!</v>
      </c>
      <c r="AM24" t="e">
        <f>AND('Yamazumi Data'!#REF!,"AAAAAH/5yCY=")</f>
        <v>#REF!</v>
      </c>
      <c r="AN24" t="e">
        <f>AND('Yamazumi Data'!#REF!,"AAAAAH/5yCc=")</f>
        <v>#REF!</v>
      </c>
      <c r="AO24" t="e">
        <f>AND('Yamazumi Data'!#REF!,"AAAAAH/5yCg=")</f>
        <v>#REF!</v>
      </c>
      <c r="AP24" t="e">
        <f>AND('Yamazumi Data'!#REF!,"AAAAAH/5yCk=")</f>
        <v>#REF!</v>
      </c>
      <c r="AQ24" t="e">
        <f>AND('Yamazumi Data'!#REF!,"AAAAAH/5yCo=")</f>
        <v>#REF!</v>
      </c>
      <c r="AR24" t="e">
        <f>AND('Yamazumi Data'!#REF!,"AAAAAH/5yCs=")</f>
        <v>#REF!</v>
      </c>
      <c r="AS24" t="e">
        <f>AND('Yamazumi Data'!#REF!,"AAAAAH/5yCw=")</f>
        <v>#REF!</v>
      </c>
      <c r="AT24" t="e">
        <f>AND('Yamazumi Data'!#REF!,"AAAAAH/5yC0=")</f>
        <v>#REF!</v>
      </c>
      <c r="AU24" t="e">
        <f>AND('Yamazumi Data'!#REF!,"AAAAAH/5yC4=")</f>
        <v>#REF!</v>
      </c>
      <c r="AV24" t="e">
        <f>AND('Yamazumi Data'!#REF!,"AAAAAH/5yC8=")</f>
        <v>#REF!</v>
      </c>
      <c r="AW24" t="e">
        <f>AND('Yamazumi Data'!#REF!,"AAAAAH/5yDA=")</f>
        <v>#REF!</v>
      </c>
      <c r="AX24" t="e">
        <f>AND('Yamazumi Data'!#REF!,"AAAAAH/5yDE=")</f>
        <v>#REF!</v>
      </c>
      <c r="AY24" t="e">
        <f>AND('Yamazumi Data'!#REF!,"AAAAAH/5yDI=")</f>
        <v>#REF!</v>
      </c>
      <c r="AZ24" t="e">
        <f>AND('Yamazumi Data'!#REF!,"AAAAAH/5yDM=")</f>
        <v>#REF!</v>
      </c>
      <c r="BA24" t="e">
        <f>AND('Yamazumi Data'!#REF!,"AAAAAH/5yDQ=")</f>
        <v>#REF!</v>
      </c>
      <c r="BB24" t="e">
        <f>AND('Yamazumi Data'!#REF!,"AAAAAH/5yDU=")</f>
        <v>#REF!</v>
      </c>
      <c r="BC24" t="e">
        <f>AND('Yamazumi Data'!#REF!,"AAAAAH/5yDY=")</f>
        <v>#REF!</v>
      </c>
      <c r="BD24" t="e">
        <f>AND('Yamazumi Data'!#REF!,"AAAAAH/5yDc=")</f>
        <v>#REF!</v>
      </c>
      <c r="BE24" t="e">
        <f>AND('Yamazumi Data'!#REF!,"AAAAAH/5yDg=")</f>
        <v>#REF!</v>
      </c>
      <c r="BF24" t="e">
        <f>AND('Yamazumi Data'!#REF!,"AAAAAH/5yDk=")</f>
        <v>#REF!</v>
      </c>
      <c r="BG24" t="e">
        <f>AND('Yamazumi Data'!#REF!,"AAAAAH/5yDo=")</f>
        <v>#REF!</v>
      </c>
      <c r="BH24" t="e">
        <f>AND('Yamazumi Data'!#REF!,"AAAAAH/5yDs=")</f>
        <v>#REF!</v>
      </c>
      <c r="BI24" t="e">
        <f>AND('Yamazumi Data'!#REF!,"AAAAAH/5yDw=")</f>
        <v>#REF!</v>
      </c>
      <c r="BJ24" t="e">
        <f>AND('Yamazumi Data'!#REF!,"AAAAAH/5yD0=")</f>
        <v>#REF!</v>
      </c>
      <c r="BK24" t="e">
        <f>AND('Yamazumi Data'!#REF!,"AAAAAH/5yD4=")</f>
        <v>#REF!</v>
      </c>
      <c r="BL24" t="e">
        <f>AND('Yamazumi Data'!#REF!,"AAAAAH/5yD8=")</f>
        <v>#REF!</v>
      </c>
      <c r="BM24" t="e">
        <f>IF('Yamazumi Data'!#REF!,"AAAAAH/5yEA=",0)</f>
        <v>#REF!</v>
      </c>
      <c r="BN24" t="e">
        <f>AND('Yamazumi Data'!#REF!,"AAAAAH/5yEE=")</f>
        <v>#REF!</v>
      </c>
      <c r="BO24" t="e">
        <f>AND('Yamazumi Data'!#REF!,"AAAAAH/5yEI=")</f>
        <v>#REF!</v>
      </c>
      <c r="BP24" t="e">
        <f>AND('Yamazumi Data'!#REF!,"AAAAAH/5yEM=")</f>
        <v>#REF!</v>
      </c>
      <c r="BQ24" t="e">
        <f>AND('Yamazumi Data'!#REF!,"AAAAAH/5yEQ=")</f>
        <v>#REF!</v>
      </c>
      <c r="BR24" t="e">
        <f>AND('Yamazumi Data'!#REF!,"AAAAAH/5yEU=")</f>
        <v>#REF!</v>
      </c>
      <c r="BS24" t="e">
        <f>AND('Yamazumi Data'!#REF!,"AAAAAH/5yEY=")</f>
        <v>#REF!</v>
      </c>
      <c r="BT24" t="e">
        <f>AND('Yamazumi Data'!#REF!,"AAAAAH/5yEc=")</f>
        <v>#REF!</v>
      </c>
      <c r="BU24" t="e">
        <f>AND('Yamazumi Data'!#REF!,"AAAAAH/5yEg=")</f>
        <v>#REF!</v>
      </c>
      <c r="BV24" t="e">
        <f>AND('Yamazumi Data'!#REF!,"AAAAAH/5yEk=")</f>
        <v>#REF!</v>
      </c>
      <c r="BW24" t="e">
        <f>AND('Yamazumi Data'!#REF!,"AAAAAH/5yEo=")</f>
        <v>#REF!</v>
      </c>
      <c r="BX24" t="e">
        <f>AND('Yamazumi Data'!#REF!,"AAAAAH/5yEs=")</f>
        <v>#REF!</v>
      </c>
      <c r="BY24" t="e">
        <f>AND('Yamazumi Data'!#REF!,"AAAAAH/5yEw=")</f>
        <v>#REF!</v>
      </c>
      <c r="BZ24" t="e">
        <f>AND('Yamazumi Data'!#REF!,"AAAAAH/5yE0=")</f>
        <v>#REF!</v>
      </c>
      <c r="CA24" t="e">
        <f>AND('Yamazumi Data'!#REF!,"AAAAAH/5yE4=")</f>
        <v>#REF!</v>
      </c>
      <c r="CB24" t="e">
        <f>AND('Yamazumi Data'!#REF!,"AAAAAH/5yE8=")</f>
        <v>#REF!</v>
      </c>
      <c r="CC24" t="e">
        <f>AND('Yamazumi Data'!#REF!,"AAAAAH/5yFA=")</f>
        <v>#REF!</v>
      </c>
      <c r="CD24" t="e">
        <f>AND('Yamazumi Data'!#REF!,"AAAAAH/5yFE=")</f>
        <v>#REF!</v>
      </c>
      <c r="CE24" t="e">
        <f>AND('Yamazumi Data'!#REF!,"AAAAAH/5yFI=")</f>
        <v>#REF!</v>
      </c>
      <c r="CF24" t="e">
        <f>AND('Yamazumi Data'!#REF!,"AAAAAH/5yFM=")</f>
        <v>#REF!</v>
      </c>
      <c r="CG24" t="e">
        <f>AND('Yamazumi Data'!#REF!,"AAAAAH/5yFQ=")</f>
        <v>#REF!</v>
      </c>
      <c r="CH24" t="e">
        <f>AND('Yamazumi Data'!#REF!,"AAAAAH/5yFU=")</f>
        <v>#REF!</v>
      </c>
      <c r="CI24" t="e">
        <f>AND('Yamazumi Data'!#REF!,"AAAAAH/5yFY=")</f>
        <v>#REF!</v>
      </c>
      <c r="CJ24" t="e">
        <f>AND('Yamazumi Data'!#REF!,"AAAAAH/5yFc=")</f>
        <v>#REF!</v>
      </c>
      <c r="CK24" t="e">
        <f>AND('Yamazumi Data'!#REF!,"AAAAAH/5yFg=")</f>
        <v>#REF!</v>
      </c>
      <c r="CL24" t="e">
        <f>AND('Yamazumi Data'!#REF!,"AAAAAH/5yFk=")</f>
        <v>#REF!</v>
      </c>
      <c r="CM24" t="e">
        <f>AND('Yamazumi Data'!#REF!,"AAAAAH/5yFo=")</f>
        <v>#REF!</v>
      </c>
      <c r="CN24" t="e">
        <f>AND('Yamazumi Data'!#REF!,"AAAAAH/5yFs=")</f>
        <v>#REF!</v>
      </c>
      <c r="CO24" t="e">
        <f>AND('Yamazumi Data'!#REF!,"AAAAAH/5yFw=")</f>
        <v>#REF!</v>
      </c>
      <c r="CP24" t="e">
        <f>AND('Yamazumi Data'!#REF!,"AAAAAH/5yF0=")</f>
        <v>#REF!</v>
      </c>
      <c r="CQ24" t="e">
        <f>AND('Yamazumi Data'!#REF!,"AAAAAH/5yF4=")</f>
        <v>#REF!</v>
      </c>
      <c r="CR24" t="e">
        <f>AND('Yamazumi Data'!#REF!,"AAAAAH/5yF8=")</f>
        <v>#REF!</v>
      </c>
      <c r="CS24" t="e">
        <f>AND('Yamazumi Data'!#REF!,"AAAAAH/5yGA=")</f>
        <v>#REF!</v>
      </c>
      <c r="CT24" t="e">
        <f>AND('Yamazumi Data'!#REF!,"AAAAAH/5yGE=")</f>
        <v>#REF!</v>
      </c>
      <c r="CU24" t="e">
        <f>AND('Yamazumi Data'!#REF!,"AAAAAH/5yGI=")</f>
        <v>#REF!</v>
      </c>
      <c r="CV24" t="e">
        <f>AND('Yamazumi Data'!#REF!,"AAAAAH/5yGM=")</f>
        <v>#REF!</v>
      </c>
      <c r="CW24" t="e">
        <f>AND('Yamazumi Data'!#REF!,"AAAAAH/5yGQ=")</f>
        <v>#REF!</v>
      </c>
      <c r="CX24" t="e">
        <f>AND('Yamazumi Data'!#REF!,"AAAAAH/5yGU=")</f>
        <v>#REF!</v>
      </c>
      <c r="CY24" t="e">
        <f>AND('Yamazumi Data'!#REF!,"AAAAAH/5yGY=")</f>
        <v>#REF!</v>
      </c>
      <c r="CZ24" t="e">
        <f>AND('Yamazumi Data'!#REF!,"AAAAAH/5yGc=")</f>
        <v>#REF!</v>
      </c>
      <c r="DA24" t="e">
        <f>AND('Yamazumi Data'!#REF!,"AAAAAH/5yGg=")</f>
        <v>#REF!</v>
      </c>
      <c r="DB24" t="e">
        <f>IF('Yamazumi Data'!#REF!,"AAAAAH/5yGk=",0)</f>
        <v>#REF!</v>
      </c>
      <c r="DC24" t="e">
        <f>AND('Yamazumi Data'!#REF!,"AAAAAH/5yGo=")</f>
        <v>#REF!</v>
      </c>
      <c r="DD24" t="e">
        <f>AND('Yamazumi Data'!#REF!,"AAAAAH/5yGs=")</f>
        <v>#REF!</v>
      </c>
      <c r="DE24" t="e">
        <f>AND('Yamazumi Data'!#REF!,"AAAAAH/5yGw=")</f>
        <v>#REF!</v>
      </c>
      <c r="DF24" t="e">
        <f>AND('Yamazumi Data'!#REF!,"AAAAAH/5yG0=")</f>
        <v>#REF!</v>
      </c>
      <c r="DG24" t="e">
        <f>AND('Yamazumi Data'!#REF!,"AAAAAH/5yG4=")</f>
        <v>#REF!</v>
      </c>
      <c r="DH24" t="e">
        <f>AND('Yamazumi Data'!#REF!,"AAAAAH/5yG8=")</f>
        <v>#REF!</v>
      </c>
      <c r="DI24" t="e">
        <f>AND('Yamazumi Data'!#REF!,"AAAAAH/5yHA=")</f>
        <v>#REF!</v>
      </c>
      <c r="DJ24" t="e">
        <f>AND('Yamazumi Data'!#REF!,"AAAAAH/5yHE=")</f>
        <v>#REF!</v>
      </c>
      <c r="DK24" t="e">
        <f>AND('Yamazumi Data'!#REF!,"AAAAAH/5yHI=")</f>
        <v>#REF!</v>
      </c>
      <c r="DL24" t="e">
        <f>AND('Yamazumi Data'!#REF!,"AAAAAH/5yHM=")</f>
        <v>#REF!</v>
      </c>
      <c r="DM24" t="e">
        <f>AND('Yamazumi Data'!#REF!,"AAAAAH/5yHQ=")</f>
        <v>#REF!</v>
      </c>
      <c r="DN24" t="e">
        <f>AND('Yamazumi Data'!#REF!,"AAAAAH/5yHU=")</f>
        <v>#REF!</v>
      </c>
      <c r="DO24" t="e">
        <f>AND('Yamazumi Data'!#REF!,"AAAAAH/5yHY=")</f>
        <v>#REF!</v>
      </c>
      <c r="DP24" t="e">
        <f>AND('Yamazumi Data'!#REF!,"AAAAAH/5yHc=")</f>
        <v>#REF!</v>
      </c>
      <c r="DQ24" t="e">
        <f>AND('Yamazumi Data'!#REF!,"AAAAAH/5yHg=")</f>
        <v>#REF!</v>
      </c>
      <c r="DR24" t="e">
        <f>AND('Yamazumi Data'!#REF!,"AAAAAH/5yHk=")</f>
        <v>#REF!</v>
      </c>
      <c r="DS24" t="e">
        <f>AND('Yamazumi Data'!#REF!,"AAAAAH/5yHo=")</f>
        <v>#REF!</v>
      </c>
      <c r="DT24" t="e">
        <f>AND('Yamazumi Data'!#REF!,"AAAAAH/5yHs=")</f>
        <v>#REF!</v>
      </c>
      <c r="DU24" t="e">
        <f>AND('Yamazumi Data'!#REF!,"AAAAAH/5yHw=")</f>
        <v>#REF!</v>
      </c>
      <c r="DV24" t="e">
        <f>AND('Yamazumi Data'!#REF!,"AAAAAH/5yH0=")</f>
        <v>#REF!</v>
      </c>
      <c r="DW24" t="e">
        <f>AND('Yamazumi Data'!#REF!,"AAAAAH/5yH4=")</f>
        <v>#REF!</v>
      </c>
      <c r="DX24" t="e">
        <f>AND('Yamazumi Data'!#REF!,"AAAAAH/5yH8=")</f>
        <v>#REF!</v>
      </c>
      <c r="DY24" t="e">
        <f>AND('Yamazumi Data'!#REF!,"AAAAAH/5yIA=")</f>
        <v>#REF!</v>
      </c>
      <c r="DZ24" t="e">
        <f>AND('Yamazumi Data'!#REF!,"AAAAAH/5yIE=")</f>
        <v>#REF!</v>
      </c>
      <c r="EA24" t="e">
        <f>AND('Yamazumi Data'!#REF!,"AAAAAH/5yII=")</f>
        <v>#REF!</v>
      </c>
      <c r="EB24" t="e">
        <f>AND('Yamazumi Data'!#REF!,"AAAAAH/5yIM=")</f>
        <v>#REF!</v>
      </c>
      <c r="EC24" t="e">
        <f>AND('Yamazumi Data'!#REF!,"AAAAAH/5yIQ=")</f>
        <v>#REF!</v>
      </c>
      <c r="ED24" t="e">
        <f>AND('Yamazumi Data'!#REF!,"AAAAAH/5yIU=")</f>
        <v>#REF!</v>
      </c>
      <c r="EE24" t="e">
        <f>AND('Yamazumi Data'!#REF!,"AAAAAH/5yIY=")</f>
        <v>#REF!</v>
      </c>
      <c r="EF24" t="e">
        <f>AND('Yamazumi Data'!#REF!,"AAAAAH/5yIc=")</f>
        <v>#REF!</v>
      </c>
      <c r="EG24" t="e">
        <f>AND('Yamazumi Data'!#REF!,"AAAAAH/5yIg=")</f>
        <v>#REF!</v>
      </c>
      <c r="EH24" t="e">
        <f>AND('Yamazumi Data'!#REF!,"AAAAAH/5yIk=")</f>
        <v>#REF!</v>
      </c>
      <c r="EI24" t="e">
        <f>AND('Yamazumi Data'!#REF!,"AAAAAH/5yIo=")</f>
        <v>#REF!</v>
      </c>
      <c r="EJ24" t="e">
        <f>AND('Yamazumi Data'!#REF!,"AAAAAH/5yIs=")</f>
        <v>#REF!</v>
      </c>
      <c r="EK24" t="e">
        <f>AND('Yamazumi Data'!#REF!,"AAAAAH/5yIw=")</f>
        <v>#REF!</v>
      </c>
      <c r="EL24" t="e">
        <f>AND('Yamazumi Data'!#REF!,"AAAAAH/5yI0=")</f>
        <v>#REF!</v>
      </c>
      <c r="EM24" t="e">
        <f>AND('Yamazumi Data'!#REF!,"AAAAAH/5yI4=")</f>
        <v>#REF!</v>
      </c>
      <c r="EN24" t="e">
        <f>AND('Yamazumi Data'!#REF!,"AAAAAH/5yI8=")</f>
        <v>#REF!</v>
      </c>
      <c r="EO24" t="e">
        <f>AND('Yamazumi Data'!#REF!,"AAAAAH/5yJA=")</f>
        <v>#REF!</v>
      </c>
      <c r="EP24" t="e">
        <f>AND('Yamazumi Data'!#REF!,"AAAAAH/5yJE=")</f>
        <v>#REF!</v>
      </c>
      <c r="EQ24" t="e">
        <f>IF('Yamazumi Data'!#REF!,"AAAAAH/5yJI=",0)</f>
        <v>#REF!</v>
      </c>
      <c r="ER24" t="e">
        <f>AND('Yamazumi Data'!#REF!,"AAAAAH/5yJM=")</f>
        <v>#REF!</v>
      </c>
      <c r="ES24" t="e">
        <f>AND('Yamazumi Data'!#REF!,"AAAAAH/5yJQ=")</f>
        <v>#REF!</v>
      </c>
      <c r="ET24" t="e">
        <f>AND('Yamazumi Data'!#REF!,"AAAAAH/5yJU=")</f>
        <v>#REF!</v>
      </c>
      <c r="EU24" t="e">
        <f>AND('Yamazumi Data'!#REF!,"AAAAAH/5yJY=")</f>
        <v>#REF!</v>
      </c>
      <c r="EV24" t="e">
        <f>AND('Yamazumi Data'!#REF!,"AAAAAH/5yJc=")</f>
        <v>#REF!</v>
      </c>
      <c r="EW24" t="e">
        <f>AND('Yamazumi Data'!#REF!,"AAAAAH/5yJg=")</f>
        <v>#REF!</v>
      </c>
      <c r="EX24" t="e">
        <f>AND('Yamazumi Data'!#REF!,"AAAAAH/5yJk=")</f>
        <v>#REF!</v>
      </c>
      <c r="EY24" t="e">
        <f>AND('Yamazumi Data'!#REF!,"AAAAAH/5yJo=")</f>
        <v>#REF!</v>
      </c>
      <c r="EZ24" t="e">
        <f>AND('Yamazumi Data'!#REF!,"AAAAAH/5yJs=")</f>
        <v>#REF!</v>
      </c>
      <c r="FA24" t="e">
        <f>AND('Yamazumi Data'!#REF!,"AAAAAH/5yJw=")</f>
        <v>#REF!</v>
      </c>
      <c r="FB24" t="e">
        <f>AND('Yamazumi Data'!#REF!,"AAAAAH/5yJ0=")</f>
        <v>#REF!</v>
      </c>
      <c r="FC24" t="e">
        <f>AND('Yamazumi Data'!#REF!,"AAAAAH/5yJ4=")</f>
        <v>#REF!</v>
      </c>
      <c r="FD24" t="e">
        <f>AND('Yamazumi Data'!#REF!,"AAAAAH/5yJ8=")</f>
        <v>#REF!</v>
      </c>
      <c r="FE24" t="e">
        <f>AND('Yamazumi Data'!#REF!,"AAAAAH/5yKA=")</f>
        <v>#REF!</v>
      </c>
      <c r="FF24" t="e">
        <f>AND('Yamazumi Data'!#REF!,"AAAAAH/5yKE=")</f>
        <v>#REF!</v>
      </c>
      <c r="FG24" t="e">
        <f>AND('Yamazumi Data'!#REF!,"AAAAAH/5yKI=")</f>
        <v>#REF!</v>
      </c>
      <c r="FH24" t="e">
        <f>AND('Yamazumi Data'!#REF!,"AAAAAH/5yKM=")</f>
        <v>#REF!</v>
      </c>
      <c r="FI24" t="e">
        <f>AND('Yamazumi Data'!#REF!,"AAAAAH/5yKQ=")</f>
        <v>#REF!</v>
      </c>
      <c r="FJ24" t="e">
        <f>AND('Yamazumi Data'!#REF!,"AAAAAH/5yKU=")</f>
        <v>#REF!</v>
      </c>
      <c r="FK24" t="e">
        <f>AND('Yamazumi Data'!#REF!,"AAAAAH/5yKY=")</f>
        <v>#REF!</v>
      </c>
      <c r="FL24" t="e">
        <f>AND('Yamazumi Data'!#REF!,"AAAAAH/5yKc=")</f>
        <v>#REF!</v>
      </c>
      <c r="FM24" t="e">
        <f>AND('Yamazumi Data'!#REF!,"AAAAAH/5yKg=")</f>
        <v>#REF!</v>
      </c>
      <c r="FN24" t="e">
        <f>AND('Yamazumi Data'!#REF!,"AAAAAH/5yKk=")</f>
        <v>#REF!</v>
      </c>
      <c r="FO24" t="e">
        <f>AND('Yamazumi Data'!#REF!,"AAAAAH/5yKo=")</f>
        <v>#REF!</v>
      </c>
      <c r="FP24" t="e">
        <f>AND('Yamazumi Data'!#REF!,"AAAAAH/5yKs=")</f>
        <v>#REF!</v>
      </c>
      <c r="FQ24" t="e">
        <f>AND('Yamazumi Data'!#REF!,"AAAAAH/5yKw=")</f>
        <v>#REF!</v>
      </c>
      <c r="FR24" t="e">
        <f>AND('Yamazumi Data'!#REF!,"AAAAAH/5yK0=")</f>
        <v>#REF!</v>
      </c>
      <c r="FS24" t="e">
        <f>AND('Yamazumi Data'!#REF!,"AAAAAH/5yK4=")</f>
        <v>#REF!</v>
      </c>
      <c r="FT24" t="e">
        <f>AND('Yamazumi Data'!#REF!,"AAAAAH/5yK8=")</f>
        <v>#REF!</v>
      </c>
      <c r="FU24" t="e">
        <f>AND('Yamazumi Data'!#REF!,"AAAAAH/5yLA=")</f>
        <v>#REF!</v>
      </c>
      <c r="FV24" t="e">
        <f>AND('Yamazumi Data'!#REF!,"AAAAAH/5yLE=")</f>
        <v>#REF!</v>
      </c>
      <c r="FW24" t="e">
        <f>AND('Yamazumi Data'!#REF!,"AAAAAH/5yLI=")</f>
        <v>#REF!</v>
      </c>
      <c r="FX24" t="e">
        <f>AND('Yamazumi Data'!#REF!,"AAAAAH/5yLM=")</f>
        <v>#REF!</v>
      </c>
      <c r="FY24" t="e">
        <f>AND('Yamazumi Data'!#REF!,"AAAAAH/5yLQ=")</f>
        <v>#REF!</v>
      </c>
      <c r="FZ24" t="e">
        <f>AND('Yamazumi Data'!#REF!,"AAAAAH/5yLU=")</f>
        <v>#REF!</v>
      </c>
      <c r="GA24" t="e">
        <f>AND('Yamazumi Data'!#REF!,"AAAAAH/5yLY=")</f>
        <v>#REF!</v>
      </c>
      <c r="GB24" t="e">
        <f>AND('Yamazumi Data'!#REF!,"AAAAAH/5yLc=")</f>
        <v>#REF!</v>
      </c>
      <c r="GC24" t="e">
        <f>AND('Yamazumi Data'!#REF!,"AAAAAH/5yLg=")</f>
        <v>#REF!</v>
      </c>
      <c r="GD24" t="e">
        <f>AND('Yamazumi Data'!#REF!,"AAAAAH/5yLk=")</f>
        <v>#REF!</v>
      </c>
      <c r="GE24" t="e">
        <f>AND('Yamazumi Data'!#REF!,"AAAAAH/5yLo=")</f>
        <v>#REF!</v>
      </c>
      <c r="GF24" t="e">
        <f>IF('Yamazumi Data'!#REF!,"AAAAAH/5yLs=",0)</f>
        <v>#REF!</v>
      </c>
      <c r="GG24" t="e">
        <f>AND('Yamazumi Data'!#REF!,"AAAAAH/5yLw=")</f>
        <v>#REF!</v>
      </c>
      <c r="GH24" t="e">
        <f>AND('Yamazumi Data'!#REF!,"AAAAAH/5yL0=")</f>
        <v>#REF!</v>
      </c>
      <c r="GI24" t="e">
        <f>AND('Yamazumi Data'!#REF!,"AAAAAH/5yL4=")</f>
        <v>#REF!</v>
      </c>
      <c r="GJ24" t="e">
        <f>AND('Yamazumi Data'!#REF!,"AAAAAH/5yL8=")</f>
        <v>#REF!</v>
      </c>
      <c r="GK24" t="e">
        <f>AND('Yamazumi Data'!#REF!,"AAAAAH/5yMA=")</f>
        <v>#REF!</v>
      </c>
      <c r="GL24" t="e">
        <f>AND('Yamazumi Data'!#REF!,"AAAAAH/5yME=")</f>
        <v>#REF!</v>
      </c>
      <c r="GM24" t="e">
        <f>AND('Yamazumi Data'!#REF!,"AAAAAH/5yMI=")</f>
        <v>#REF!</v>
      </c>
      <c r="GN24" t="e">
        <f>AND('Yamazumi Data'!#REF!,"AAAAAH/5yMM=")</f>
        <v>#REF!</v>
      </c>
      <c r="GO24" t="e">
        <f>AND('Yamazumi Data'!#REF!,"AAAAAH/5yMQ=")</f>
        <v>#REF!</v>
      </c>
      <c r="GP24" t="e">
        <f>AND('Yamazumi Data'!#REF!,"AAAAAH/5yMU=")</f>
        <v>#REF!</v>
      </c>
      <c r="GQ24" t="e">
        <f>AND('Yamazumi Data'!#REF!,"AAAAAH/5yMY=")</f>
        <v>#REF!</v>
      </c>
      <c r="GR24" t="e">
        <f>AND('Yamazumi Data'!#REF!,"AAAAAH/5yMc=")</f>
        <v>#REF!</v>
      </c>
      <c r="GS24" t="e">
        <f>AND('Yamazumi Data'!#REF!,"AAAAAH/5yMg=")</f>
        <v>#REF!</v>
      </c>
      <c r="GT24" t="e">
        <f>AND('Yamazumi Data'!#REF!,"AAAAAH/5yMk=")</f>
        <v>#REF!</v>
      </c>
      <c r="GU24" t="e">
        <f>AND('Yamazumi Data'!#REF!,"AAAAAH/5yMo=")</f>
        <v>#REF!</v>
      </c>
      <c r="GV24" t="e">
        <f>AND('Yamazumi Data'!#REF!,"AAAAAH/5yMs=")</f>
        <v>#REF!</v>
      </c>
      <c r="GW24" t="e">
        <f>AND('Yamazumi Data'!#REF!,"AAAAAH/5yMw=")</f>
        <v>#REF!</v>
      </c>
      <c r="GX24" t="e">
        <f>AND('Yamazumi Data'!#REF!,"AAAAAH/5yM0=")</f>
        <v>#REF!</v>
      </c>
      <c r="GY24" t="e">
        <f>AND('Yamazumi Data'!#REF!,"AAAAAH/5yM4=")</f>
        <v>#REF!</v>
      </c>
      <c r="GZ24" t="e">
        <f>AND('Yamazumi Data'!#REF!,"AAAAAH/5yM8=")</f>
        <v>#REF!</v>
      </c>
      <c r="HA24" t="e">
        <f>AND('Yamazumi Data'!#REF!,"AAAAAH/5yNA=")</f>
        <v>#REF!</v>
      </c>
      <c r="HB24" t="e">
        <f>AND('Yamazumi Data'!#REF!,"AAAAAH/5yNE=")</f>
        <v>#REF!</v>
      </c>
      <c r="HC24" t="e">
        <f>AND('Yamazumi Data'!#REF!,"AAAAAH/5yNI=")</f>
        <v>#REF!</v>
      </c>
      <c r="HD24" t="e">
        <f>AND('Yamazumi Data'!#REF!,"AAAAAH/5yNM=")</f>
        <v>#REF!</v>
      </c>
      <c r="HE24" t="e">
        <f>AND('Yamazumi Data'!#REF!,"AAAAAH/5yNQ=")</f>
        <v>#REF!</v>
      </c>
      <c r="HF24" t="e">
        <f>AND('Yamazumi Data'!#REF!,"AAAAAH/5yNU=")</f>
        <v>#REF!</v>
      </c>
      <c r="HG24" t="e">
        <f>AND('Yamazumi Data'!#REF!,"AAAAAH/5yNY=")</f>
        <v>#REF!</v>
      </c>
      <c r="HH24" t="e">
        <f>AND('Yamazumi Data'!#REF!,"AAAAAH/5yNc=")</f>
        <v>#REF!</v>
      </c>
      <c r="HI24" t="e">
        <f>AND('Yamazumi Data'!#REF!,"AAAAAH/5yNg=")</f>
        <v>#REF!</v>
      </c>
      <c r="HJ24" t="e">
        <f>AND('Yamazumi Data'!#REF!,"AAAAAH/5yNk=")</f>
        <v>#REF!</v>
      </c>
      <c r="HK24" t="e">
        <f>AND('Yamazumi Data'!#REF!,"AAAAAH/5yNo=")</f>
        <v>#REF!</v>
      </c>
      <c r="HL24" t="e">
        <f>AND('Yamazumi Data'!#REF!,"AAAAAH/5yNs=")</f>
        <v>#REF!</v>
      </c>
      <c r="HM24" t="e">
        <f>AND('Yamazumi Data'!#REF!,"AAAAAH/5yNw=")</f>
        <v>#REF!</v>
      </c>
      <c r="HN24" t="e">
        <f>AND('Yamazumi Data'!#REF!,"AAAAAH/5yN0=")</f>
        <v>#REF!</v>
      </c>
      <c r="HO24" t="e">
        <f>AND('Yamazumi Data'!#REF!,"AAAAAH/5yN4=")</f>
        <v>#REF!</v>
      </c>
      <c r="HP24" t="e">
        <f>AND('Yamazumi Data'!#REF!,"AAAAAH/5yN8=")</f>
        <v>#REF!</v>
      </c>
      <c r="HQ24" t="e">
        <f>AND('Yamazumi Data'!#REF!,"AAAAAH/5yOA=")</f>
        <v>#REF!</v>
      </c>
      <c r="HR24" t="e">
        <f>AND('Yamazumi Data'!#REF!,"AAAAAH/5yOE=")</f>
        <v>#REF!</v>
      </c>
      <c r="HS24" t="e">
        <f>AND('Yamazumi Data'!#REF!,"AAAAAH/5yOI=")</f>
        <v>#REF!</v>
      </c>
      <c r="HT24" t="e">
        <f>AND('Yamazumi Data'!#REF!,"AAAAAH/5yOM=")</f>
        <v>#REF!</v>
      </c>
      <c r="HU24" t="e">
        <f>IF('Yamazumi Data'!#REF!,"AAAAAH/5yOQ=",0)</f>
        <v>#REF!</v>
      </c>
      <c r="HV24" t="e">
        <f>AND('Yamazumi Data'!#REF!,"AAAAAH/5yOU=")</f>
        <v>#REF!</v>
      </c>
      <c r="HW24" t="e">
        <f>AND('Yamazumi Data'!#REF!,"AAAAAH/5yOY=")</f>
        <v>#REF!</v>
      </c>
      <c r="HX24" t="e">
        <f>AND('Yamazumi Data'!#REF!,"AAAAAH/5yOc=")</f>
        <v>#REF!</v>
      </c>
      <c r="HY24" t="e">
        <f>AND('Yamazumi Data'!#REF!,"AAAAAH/5yOg=")</f>
        <v>#REF!</v>
      </c>
      <c r="HZ24" t="e">
        <f>AND('Yamazumi Data'!#REF!,"AAAAAH/5yOk=")</f>
        <v>#REF!</v>
      </c>
      <c r="IA24" t="e">
        <f>AND('Yamazumi Data'!#REF!,"AAAAAH/5yOo=")</f>
        <v>#REF!</v>
      </c>
      <c r="IB24" t="e">
        <f>AND('Yamazumi Data'!#REF!,"AAAAAH/5yOs=")</f>
        <v>#REF!</v>
      </c>
      <c r="IC24" t="e">
        <f>AND('Yamazumi Data'!#REF!,"AAAAAH/5yOw=")</f>
        <v>#REF!</v>
      </c>
      <c r="ID24" t="e">
        <f>AND('Yamazumi Data'!#REF!,"AAAAAH/5yO0=")</f>
        <v>#REF!</v>
      </c>
      <c r="IE24" t="e">
        <f>AND('Yamazumi Data'!#REF!,"AAAAAH/5yO4=")</f>
        <v>#REF!</v>
      </c>
      <c r="IF24" t="e">
        <f>AND('Yamazumi Data'!#REF!,"AAAAAH/5yO8=")</f>
        <v>#REF!</v>
      </c>
      <c r="IG24" t="e">
        <f>AND('Yamazumi Data'!#REF!,"AAAAAH/5yPA=")</f>
        <v>#REF!</v>
      </c>
      <c r="IH24" t="e">
        <f>AND('Yamazumi Data'!#REF!,"AAAAAH/5yPE=")</f>
        <v>#REF!</v>
      </c>
      <c r="II24" t="e">
        <f>AND('Yamazumi Data'!#REF!,"AAAAAH/5yPI=")</f>
        <v>#REF!</v>
      </c>
      <c r="IJ24" t="e">
        <f>AND('Yamazumi Data'!#REF!,"AAAAAH/5yPM=")</f>
        <v>#REF!</v>
      </c>
      <c r="IK24" t="e">
        <f>AND('Yamazumi Data'!#REF!,"AAAAAH/5yPQ=")</f>
        <v>#REF!</v>
      </c>
      <c r="IL24" t="e">
        <f>AND('Yamazumi Data'!#REF!,"AAAAAH/5yPU=")</f>
        <v>#REF!</v>
      </c>
      <c r="IM24" t="e">
        <f>AND('Yamazumi Data'!#REF!,"AAAAAH/5yPY=")</f>
        <v>#REF!</v>
      </c>
      <c r="IN24" t="e">
        <f>AND('Yamazumi Data'!#REF!,"AAAAAH/5yPc=")</f>
        <v>#REF!</v>
      </c>
      <c r="IO24" t="e">
        <f>AND('Yamazumi Data'!#REF!,"AAAAAH/5yPg=")</f>
        <v>#REF!</v>
      </c>
      <c r="IP24" t="e">
        <f>AND('Yamazumi Data'!#REF!,"AAAAAH/5yPk=")</f>
        <v>#REF!</v>
      </c>
      <c r="IQ24" t="e">
        <f>AND('Yamazumi Data'!#REF!,"AAAAAH/5yPo=")</f>
        <v>#REF!</v>
      </c>
      <c r="IR24" t="e">
        <f>AND('Yamazumi Data'!#REF!,"AAAAAH/5yPs=")</f>
        <v>#REF!</v>
      </c>
      <c r="IS24" t="e">
        <f>AND('Yamazumi Data'!#REF!,"AAAAAH/5yPw=")</f>
        <v>#REF!</v>
      </c>
      <c r="IT24" t="e">
        <f>AND('Yamazumi Data'!#REF!,"AAAAAH/5yP0=")</f>
        <v>#REF!</v>
      </c>
      <c r="IU24" t="e">
        <f>AND('Yamazumi Data'!#REF!,"AAAAAH/5yP4=")</f>
        <v>#REF!</v>
      </c>
      <c r="IV24" t="e">
        <f>AND('Yamazumi Data'!#REF!,"AAAAAH/5yP8=")</f>
        <v>#REF!</v>
      </c>
    </row>
    <row r="25" spans="1:256" ht="14.45" x14ac:dyDescent="0.3">
      <c r="A25" t="e">
        <f>AND('Yamazumi Data'!#REF!,"AAAAAHn+/wA=")</f>
        <v>#REF!</v>
      </c>
      <c r="B25" t="e">
        <f>AND('Yamazumi Data'!#REF!,"AAAAAHn+/wE=")</f>
        <v>#REF!</v>
      </c>
      <c r="C25" t="e">
        <f>AND('Yamazumi Data'!#REF!,"AAAAAHn+/wI=")</f>
        <v>#REF!</v>
      </c>
      <c r="D25" t="e">
        <f>AND('Yamazumi Data'!#REF!,"AAAAAHn+/wM=")</f>
        <v>#REF!</v>
      </c>
      <c r="E25" t="e">
        <f>AND('Yamazumi Data'!#REF!,"AAAAAHn+/wQ=")</f>
        <v>#REF!</v>
      </c>
      <c r="F25" t="e">
        <f>AND('Yamazumi Data'!#REF!,"AAAAAHn+/wU=")</f>
        <v>#REF!</v>
      </c>
      <c r="G25" t="e">
        <f>AND('Yamazumi Data'!#REF!,"AAAAAHn+/wY=")</f>
        <v>#REF!</v>
      </c>
      <c r="H25" t="e">
        <f>AND('Yamazumi Data'!#REF!,"AAAAAHn+/wc=")</f>
        <v>#REF!</v>
      </c>
      <c r="I25" t="e">
        <f>AND('Yamazumi Data'!#REF!,"AAAAAHn+/wg=")</f>
        <v>#REF!</v>
      </c>
      <c r="J25" t="e">
        <f>AND('Yamazumi Data'!#REF!,"AAAAAHn+/wk=")</f>
        <v>#REF!</v>
      </c>
      <c r="K25" t="e">
        <f>AND('Yamazumi Data'!#REF!,"AAAAAHn+/wo=")</f>
        <v>#REF!</v>
      </c>
      <c r="L25" t="e">
        <f>AND('Yamazumi Data'!#REF!,"AAAAAHn+/ws=")</f>
        <v>#REF!</v>
      </c>
      <c r="M25" t="e">
        <f>AND('Yamazumi Data'!#REF!,"AAAAAHn+/ww=")</f>
        <v>#REF!</v>
      </c>
      <c r="N25" t="e">
        <f>IF('Yamazumi Data'!#REF!,"AAAAAHn+/w0=",0)</f>
        <v>#REF!</v>
      </c>
      <c r="O25" t="e">
        <f>AND('Yamazumi Data'!#REF!,"AAAAAHn+/w4=")</f>
        <v>#REF!</v>
      </c>
      <c r="P25" t="e">
        <f>AND('Yamazumi Data'!#REF!,"AAAAAHn+/w8=")</f>
        <v>#REF!</v>
      </c>
      <c r="Q25" t="e">
        <f>AND('Yamazumi Data'!#REF!,"AAAAAHn+/xA=")</f>
        <v>#REF!</v>
      </c>
      <c r="R25" t="e">
        <f>AND('Yamazumi Data'!#REF!,"AAAAAHn+/xE=")</f>
        <v>#REF!</v>
      </c>
      <c r="S25" t="e">
        <f>AND('Yamazumi Data'!#REF!,"AAAAAHn+/xI=")</f>
        <v>#REF!</v>
      </c>
      <c r="T25" t="e">
        <f>AND('Yamazumi Data'!#REF!,"AAAAAHn+/xM=")</f>
        <v>#REF!</v>
      </c>
      <c r="U25" t="e">
        <f>AND('Yamazumi Data'!#REF!,"AAAAAHn+/xQ=")</f>
        <v>#REF!</v>
      </c>
      <c r="V25" t="e">
        <f>AND('Yamazumi Data'!#REF!,"AAAAAHn+/xU=")</f>
        <v>#REF!</v>
      </c>
      <c r="W25" t="e">
        <f>AND('Yamazumi Data'!#REF!,"AAAAAHn+/xY=")</f>
        <v>#REF!</v>
      </c>
      <c r="X25" t="e">
        <f>AND('Yamazumi Data'!#REF!,"AAAAAHn+/xc=")</f>
        <v>#REF!</v>
      </c>
      <c r="Y25" t="e">
        <f>AND('Yamazumi Data'!#REF!,"AAAAAHn+/xg=")</f>
        <v>#REF!</v>
      </c>
      <c r="Z25" t="e">
        <f>AND('Yamazumi Data'!#REF!,"AAAAAHn+/xk=")</f>
        <v>#REF!</v>
      </c>
      <c r="AA25" t="e">
        <f>AND('Yamazumi Data'!#REF!,"AAAAAHn+/xo=")</f>
        <v>#REF!</v>
      </c>
      <c r="AB25" t="e">
        <f>AND('Yamazumi Data'!#REF!,"AAAAAHn+/xs=")</f>
        <v>#REF!</v>
      </c>
      <c r="AC25" t="e">
        <f>AND('Yamazumi Data'!#REF!,"AAAAAHn+/xw=")</f>
        <v>#REF!</v>
      </c>
      <c r="AD25" t="e">
        <f>AND('Yamazumi Data'!#REF!,"AAAAAHn+/x0=")</f>
        <v>#REF!</v>
      </c>
      <c r="AE25" t="e">
        <f>AND('Yamazumi Data'!#REF!,"AAAAAHn+/x4=")</f>
        <v>#REF!</v>
      </c>
      <c r="AF25" t="e">
        <f>AND('Yamazumi Data'!#REF!,"AAAAAHn+/x8=")</f>
        <v>#REF!</v>
      </c>
      <c r="AG25" t="e">
        <f>AND('Yamazumi Data'!#REF!,"AAAAAHn+/yA=")</f>
        <v>#REF!</v>
      </c>
      <c r="AH25" t="e">
        <f>AND('Yamazumi Data'!#REF!,"AAAAAHn+/yE=")</f>
        <v>#REF!</v>
      </c>
      <c r="AI25" t="e">
        <f>AND('Yamazumi Data'!#REF!,"AAAAAHn+/yI=")</f>
        <v>#REF!</v>
      </c>
      <c r="AJ25" t="e">
        <f>AND('Yamazumi Data'!#REF!,"AAAAAHn+/yM=")</f>
        <v>#REF!</v>
      </c>
      <c r="AK25" t="e">
        <f>AND('Yamazumi Data'!#REF!,"AAAAAHn+/yQ=")</f>
        <v>#REF!</v>
      </c>
      <c r="AL25" t="e">
        <f>AND('Yamazumi Data'!#REF!,"AAAAAHn+/yU=")</f>
        <v>#REF!</v>
      </c>
      <c r="AM25" t="e">
        <f>AND('Yamazumi Data'!#REF!,"AAAAAHn+/yY=")</f>
        <v>#REF!</v>
      </c>
      <c r="AN25" t="e">
        <f>AND('Yamazumi Data'!#REF!,"AAAAAHn+/yc=")</f>
        <v>#REF!</v>
      </c>
      <c r="AO25" t="e">
        <f>AND('Yamazumi Data'!#REF!,"AAAAAHn+/yg=")</f>
        <v>#REF!</v>
      </c>
      <c r="AP25" t="e">
        <f>AND('Yamazumi Data'!#REF!,"AAAAAHn+/yk=")</f>
        <v>#REF!</v>
      </c>
      <c r="AQ25" t="e">
        <f>AND('Yamazumi Data'!#REF!,"AAAAAHn+/yo=")</f>
        <v>#REF!</v>
      </c>
      <c r="AR25" t="e">
        <f>AND('Yamazumi Data'!#REF!,"AAAAAHn+/ys=")</f>
        <v>#REF!</v>
      </c>
      <c r="AS25" t="e">
        <f>AND('Yamazumi Data'!#REF!,"AAAAAHn+/yw=")</f>
        <v>#REF!</v>
      </c>
      <c r="AT25" t="e">
        <f>AND('Yamazumi Data'!#REF!,"AAAAAHn+/y0=")</f>
        <v>#REF!</v>
      </c>
      <c r="AU25" t="e">
        <f>AND('Yamazumi Data'!#REF!,"AAAAAHn+/y4=")</f>
        <v>#REF!</v>
      </c>
      <c r="AV25" t="e">
        <f>AND('Yamazumi Data'!#REF!,"AAAAAHn+/y8=")</f>
        <v>#REF!</v>
      </c>
      <c r="AW25" t="e">
        <f>AND('Yamazumi Data'!#REF!,"AAAAAHn+/zA=")</f>
        <v>#REF!</v>
      </c>
      <c r="AX25" t="e">
        <f>AND('Yamazumi Data'!#REF!,"AAAAAHn+/zE=")</f>
        <v>#REF!</v>
      </c>
      <c r="AY25" t="e">
        <f>AND('Yamazumi Data'!#REF!,"AAAAAHn+/zI=")</f>
        <v>#REF!</v>
      </c>
      <c r="AZ25" t="e">
        <f>AND('Yamazumi Data'!#REF!,"AAAAAHn+/zM=")</f>
        <v>#REF!</v>
      </c>
      <c r="BA25" t="e">
        <f>AND('Yamazumi Data'!#REF!,"AAAAAHn+/zQ=")</f>
        <v>#REF!</v>
      </c>
      <c r="BB25" t="e">
        <f>AND('Yamazumi Data'!#REF!,"AAAAAHn+/zU=")</f>
        <v>#REF!</v>
      </c>
      <c r="BC25" t="e">
        <f>IF('Yamazumi Data'!#REF!,"AAAAAHn+/zY=",0)</f>
        <v>#REF!</v>
      </c>
      <c r="BD25" t="e">
        <f>AND('Yamazumi Data'!#REF!,"AAAAAHn+/zc=")</f>
        <v>#REF!</v>
      </c>
      <c r="BE25" t="e">
        <f>AND('Yamazumi Data'!#REF!,"AAAAAHn+/zg=")</f>
        <v>#REF!</v>
      </c>
      <c r="BF25" t="e">
        <f>AND('Yamazumi Data'!#REF!,"AAAAAHn+/zk=")</f>
        <v>#REF!</v>
      </c>
      <c r="BG25" t="e">
        <f>AND('Yamazumi Data'!#REF!,"AAAAAHn+/zo=")</f>
        <v>#REF!</v>
      </c>
      <c r="BH25" t="e">
        <f>AND('Yamazumi Data'!#REF!,"AAAAAHn+/zs=")</f>
        <v>#REF!</v>
      </c>
      <c r="BI25" t="e">
        <f>AND('Yamazumi Data'!#REF!,"AAAAAHn+/zw=")</f>
        <v>#REF!</v>
      </c>
      <c r="BJ25" t="e">
        <f>AND('Yamazumi Data'!#REF!,"AAAAAHn+/z0=")</f>
        <v>#REF!</v>
      </c>
      <c r="BK25" t="e">
        <f>AND('Yamazumi Data'!#REF!,"AAAAAHn+/z4=")</f>
        <v>#REF!</v>
      </c>
      <c r="BL25" t="e">
        <f>AND('Yamazumi Data'!#REF!,"AAAAAHn+/z8=")</f>
        <v>#REF!</v>
      </c>
      <c r="BM25" t="e">
        <f>AND('Yamazumi Data'!#REF!,"AAAAAHn+/0A=")</f>
        <v>#REF!</v>
      </c>
      <c r="BN25" t="e">
        <f>AND('Yamazumi Data'!#REF!,"AAAAAHn+/0E=")</f>
        <v>#REF!</v>
      </c>
      <c r="BO25" t="e">
        <f>AND('Yamazumi Data'!#REF!,"AAAAAHn+/0I=")</f>
        <v>#REF!</v>
      </c>
      <c r="BP25" t="e">
        <f>AND('Yamazumi Data'!#REF!,"AAAAAHn+/0M=")</f>
        <v>#REF!</v>
      </c>
      <c r="BQ25" t="e">
        <f>AND('Yamazumi Data'!#REF!,"AAAAAHn+/0Q=")</f>
        <v>#REF!</v>
      </c>
      <c r="BR25" t="e">
        <f>AND('Yamazumi Data'!#REF!,"AAAAAHn+/0U=")</f>
        <v>#REF!</v>
      </c>
      <c r="BS25" t="e">
        <f>AND('Yamazumi Data'!#REF!,"AAAAAHn+/0Y=")</f>
        <v>#REF!</v>
      </c>
      <c r="BT25" t="e">
        <f>AND('Yamazumi Data'!#REF!,"AAAAAHn+/0c=")</f>
        <v>#REF!</v>
      </c>
      <c r="BU25" t="e">
        <f>AND('Yamazumi Data'!#REF!,"AAAAAHn+/0g=")</f>
        <v>#REF!</v>
      </c>
      <c r="BV25" t="e">
        <f>AND('Yamazumi Data'!#REF!,"AAAAAHn+/0k=")</f>
        <v>#REF!</v>
      </c>
      <c r="BW25" t="e">
        <f>AND('Yamazumi Data'!#REF!,"AAAAAHn+/0o=")</f>
        <v>#REF!</v>
      </c>
      <c r="BX25" t="e">
        <f>AND('Yamazumi Data'!#REF!,"AAAAAHn+/0s=")</f>
        <v>#REF!</v>
      </c>
      <c r="BY25" t="e">
        <f>AND('Yamazumi Data'!#REF!,"AAAAAHn+/0w=")</f>
        <v>#REF!</v>
      </c>
      <c r="BZ25" t="e">
        <f>AND('Yamazumi Data'!#REF!,"AAAAAHn+/00=")</f>
        <v>#REF!</v>
      </c>
      <c r="CA25" t="e">
        <f>AND('Yamazumi Data'!#REF!,"AAAAAHn+/04=")</f>
        <v>#REF!</v>
      </c>
      <c r="CB25" t="e">
        <f>AND('Yamazumi Data'!#REF!,"AAAAAHn+/08=")</f>
        <v>#REF!</v>
      </c>
      <c r="CC25" t="e">
        <f>AND('Yamazumi Data'!#REF!,"AAAAAHn+/1A=")</f>
        <v>#REF!</v>
      </c>
      <c r="CD25" t="e">
        <f>AND('Yamazumi Data'!#REF!,"AAAAAHn+/1E=")</f>
        <v>#REF!</v>
      </c>
      <c r="CE25" t="e">
        <f>AND('Yamazumi Data'!#REF!,"AAAAAHn+/1I=")</f>
        <v>#REF!</v>
      </c>
      <c r="CF25" t="e">
        <f>AND('Yamazumi Data'!#REF!,"AAAAAHn+/1M=")</f>
        <v>#REF!</v>
      </c>
      <c r="CG25" t="e">
        <f>AND('Yamazumi Data'!#REF!,"AAAAAHn+/1Q=")</f>
        <v>#REF!</v>
      </c>
      <c r="CH25" t="e">
        <f>AND('Yamazumi Data'!#REF!,"AAAAAHn+/1U=")</f>
        <v>#REF!</v>
      </c>
      <c r="CI25" t="e">
        <f>AND('Yamazumi Data'!#REF!,"AAAAAHn+/1Y=")</f>
        <v>#REF!</v>
      </c>
      <c r="CJ25" t="e">
        <f>AND('Yamazumi Data'!#REF!,"AAAAAHn+/1c=")</f>
        <v>#REF!</v>
      </c>
      <c r="CK25" t="e">
        <f>AND('Yamazumi Data'!#REF!,"AAAAAHn+/1g=")</f>
        <v>#REF!</v>
      </c>
      <c r="CL25" t="e">
        <f>AND('Yamazumi Data'!#REF!,"AAAAAHn+/1k=")</f>
        <v>#REF!</v>
      </c>
      <c r="CM25" t="e">
        <f>AND('Yamazumi Data'!#REF!,"AAAAAHn+/1o=")</f>
        <v>#REF!</v>
      </c>
      <c r="CN25" t="e">
        <f>AND('Yamazumi Data'!#REF!,"AAAAAHn+/1s=")</f>
        <v>#REF!</v>
      </c>
      <c r="CO25" t="e">
        <f>AND('Yamazumi Data'!#REF!,"AAAAAHn+/1w=")</f>
        <v>#REF!</v>
      </c>
      <c r="CP25" t="e">
        <f>AND('Yamazumi Data'!#REF!,"AAAAAHn+/10=")</f>
        <v>#REF!</v>
      </c>
      <c r="CQ25" t="e">
        <f>AND('Yamazumi Data'!#REF!,"AAAAAHn+/14=")</f>
        <v>#REF!</v>
      </c>
      <c r="CR25" t="e">
        <f>IF('Yamazumi Data'!#REF!,"AAAAAHn+/18=",0)</f>
        <v>#REF!</v>
      </c>
      <c r="CS25" t="e">
        <f>AND('Yamazumi Data'!#REF!,"AAAAAHn+/2A=")</f>
        <v>#REF!</v>
      </c>
      <c r="CT25" t="e">
        <f>AND('Yamazumi Data'!#REF!,"AAAAAHn+/2E=")</f>
        <v>#REF!</v>
      </c>
      <c r="CU25" t="e">
        <f>AND('Yamazumi Data'!#REF!,"AAAAAHn+/2I=")</f>
        <v>#REF!</v>
      </c>
      <c r="CV25" t="e">
        <f>AND('Yamazumi Data'!#REF!,"AAAAAHn+/2M=")</f>
        <v>#REF!</v>
      </c>
      <c r="CW25" t="e">
        <f>AND('Yamazumi Data'!#REF!,"AAAAAHn+/2Q=")</f>
        <v>#REF!</v>
      </c>
      <c r="CX25" t="e">
        <f>AND('Yamazumi Data'!#REF!,"AAAAAHn+/2U=")</f>
        <v>#REF!</v>
      </c>
      <c r="CY25" t="e">
        <f>AND('Yamazumi Data'!#REF!,"AAAAAHn+/2Y=")</f>
        <v>#REF!</v>
      </c>
      <c r="CZ25" t="e">
        <f>AND('Yamazumi Data'!#REF!,"AAAAAHn+/2c=")</f>
        <v>#REF!</v>
      </c>
      <c r="DA25" t="e">
        <f>AND('Yamazumi Data'!#REF!,"AAAAAHn+/2g=")</f>
        <v>#REF!</v>
      </c>
      <c r="DB25" t="e">
        <f>AND('Yamazumi Data'!#REF!,"AAAAAHn+/2k=")</f>
        <v>#REF!</v>
      </c>
      <c r="DC25" t="e">
        <f>AND('Yamazumi Data'!#REF!,"AAAAAHn+/2o=")</f>
        <v>#REF!</v>
      </c>
      <c r="DD25" t="e">
        <f>AND('Yamazumi Data'!#REF!,"AAAAAHn+/2s=")</f>
        <v>#REF!</v>
      </c>
      <c r="DE25" t="e">
        <f>AND('Yamazumi Data'!#REF!,"AAAAAHn+/2w=")</f>
        <v>#REF!</v>
      </c>
      <c r="DF25" t="e">
        <f>AND('Yamazumi Data'!#REF!,"AAAAAHn+/20=")</f>
        <v>#REF!</v>
      </c>
      <c r="DG25" t="e">
        <f>AND('Yamazumi Data'!#REF!,"AAAAAHn+/24=")</f>
        <v>#REF!</v>
      </c>
      <c r="DH25" t="e">
        <f>AND('Yamazumi Data'!#REF!,"AAAAAHn+/28=")</f>
        <v>#REF!</v>
      </c>
      <c r="DI25" t="e">
        <f>AND('Yamazumi Data'!#REF!,"AAAAAHn+/3A=")</f>
        <v>#REF!</v>
      </c>
      <c r="DJ25" t="e">
        <f>AND('Yamazumi Data'!#REF!,"AAAAAHn+/3E=")</f>
        <v>#REF!</v>
      </c>
      <c r="DK25" t="e">
        <f>AND('Yamazumi Data'!#REF!,"AAAAAHn+/3I=")</f>
        <v>#REF!</v>
      </c>
      <c r="DL25" t="e">
        <f>AND('Yamazumi Data'!#REF!,"AAAAAHn+/3M=")</f>
        <v>#REF!</v>
      </c>
      <c r="DM25" t="e">
        <f>AND('Yamazumi Data'!#REF!,"AAAAAHn+/3Q=")</f>
        <v>#REF!</v>
      </c>
      <c r="DN25" t="e">
        <f>AND('Yamazumi Data'!#REF!,"AAAAAHn+/3U=")</f>
        <v>#REF!</v>
      </c>
      <c r="DO25" t="e">
        <f>AND('Yamazumi Data'!#REF!,"AAAAAHn+/3Y=")</f>
        <v>#REF!</v>
      </c>
      <c r="DP25" t="e">
        <f>AND('Yamazumi Data'!#REF!,"AAAAAHn+/3c=")</f>
        <v>#REF!</v>
      </c>
      <c r="DQ25" t="e">
        <f>AND('Yamazumi Data'!#REF!,"AAAAAHn+/3g=")</f>
        <v>#REF!</v>
      </c>
      <c r="DR25" t="e">
        <f>AND('Yamazumi Data'!#REF!,"AAAAAHn+/3k=")</f>
        <v>#REF!</v>
      </c>
      <c r="DS25" t="e">
        <f>AND('Yamazumi Data'!#REF!,"AAAAAHn+/3o=")</f>
        <v>#REF!</v>
      </c>
      <c r="DT25" t="e">
        <f>AND('Yamazumi Data'!#REF!,"AAAAAHn+/3s=")</f>
        <v>#REF!</v>
      </c>
      <c r="DU25" t="e">
        <f>AND('Yamazumi Data'!#REF!,"AAAAAHn+/3w=")</f>
        <v>#REF!</v>
      </c>
      <c r="DV25" t="e">
        <f>AND('Yamazumi Data'!#REF!,"AAAAAHn+/30=")</f>
        <v>#REF!</v>
      </c>
      <c r="DW25" t="e">
        <f>AND('Yamazumi Data'!#REF!,"AAAAAHn+/34=")</f>
        <v>#REF!</v>
      </c>
      <c r="DX25" t="e">
        <f>AND('Yamazumi Data'!#REF!,"AAAAAHn+/38=")</f>
        <v>#REF!</v>
      </c>
      <c r="DY25" t="e">
        <f>AND('Yamazumi Data'!#REF!,"AAAAAHn+/4A=")</f>
        <v>#REF!</v>
      </c>
      <c r="DZ25" t="e">
        <f>AND('Yamazumi Data'!#REF!,"AAAAAHn+/4E=")</f>
        <v>#REF!</v>
      </c>
      <c r="EA25" t="e">
        <f>AND('Yamazumi Data'!#REF!,"AAAAAHn+/4I=")</f>
        <v>#REF!</v>
      </c>
      <c r="EB25" t="e">
        <f>AND('Yamazumi Data'!#REF!,"AAAAAHn+/4M=")</f>
        <v>#REF!</v>
      </c>
      <c r="EC25" t="e">
        <f>AND('Yamazumi Data'!#REF!,"AAAAAHn+/4Q=")</f>
        <v>#REF!</v>
      </c>
      <c r="ED25" t="e">
        <f>AND('Yamazumi Data'!#REF!,"AAAAAHn+/4U=")</f>
        <v>#REF!</v>
      </c>
      <c r="EE25" t="e">
        <f>AND('Yamazumi Data'!#REF!,"AAAAAHn+/4Y=")</f>
        <v>#REF!</v>
      </c>
      <c r="EF25" t="e">
        <f>AND('Yamazumi Data'!#REF!,"AAAAAHn+/4c=")</f>
        <v>#REF!</v>
      </c>
      <c r="EG25" t="e">
        <f>IF('Yamazumi Data'!#REF!,"AAAAAHn+/4g=",0)</f>
        <v>#REF!</v>
      </c>
      <c r="EH25" t="e">
        <f>AND('Yamazumi Data'!#REF!,"AAAAAHn+/4k=")</f>
        <v>#REF!</v>
      </c>
      <c r="EI25" t="e">
        <f>AND('Yamazumi Data'!#REF!,"AAAAAHn+/4o=")</f>
        <v>#REF!</v>
      </c>
      <c r="EJ25" t="e">
        <f>AND('Yamazumi Data'!#REF!,"AAAAAHn+/4s=")</f>
        <v>#REF!</v>
      </c>
      <c r="EK25" t="e">
        <f>AND('Yamazumi Data'!#REF!,"AAAAAHn+/4w=")</f>
        <v>#REF!</v>
      </c>
      <c r="EL25" t="e">
        <f>AND('Yamazumi Data'!#REF!,"AAAAAHn+/40=")</f>
        <v>#REF!</v>
      </c>
      <c r="EM25" t="e">
        <f>AND('Yamazumi Data'!#REF!,"AAAAAHn+/44=")</f>
        <v>#REF!</v>
      </c>
      <c r="EN25" t="e">
        <f>AND('Yamazumi Data'!#REF!,"AAAAAHn+/48=")</f>
        <v>#REF!</v>
      </c>
      <c r="EO25" t="e">
        <f>AND('Yamazumi Data'!#REF!,"AAAAAHn+/5A=")</f>
        <v>#REF!</v>
      </c>
      <c r="EP25" t="e">
        <f>AND('Yamazumi Data'!#REF!,"AAAAAHn+/5E=")</f>
        <v>#REF!</v>
      </c>
      <c r="EQ25" t="e">
        <f>AND('Yamazumi Data'!#REF!,"AAAAAHn+/5I=")</f>
        <v>#REF!</v>
      </c>
      <c r="ER25" t="e">
        <f>AND('Yamazumi Data'!#REF!,"AAAAAHn+/5M=")</f>
        <v>#REF!</v>
      </c>
      <c r="ES25" t="e">
        <f>AND('Yamazumi Data'!#REF!,"AAAAAHn+/5Q=")</f>
        <v>#REF!</v>
      </c>
      <c r="ET25" t="e">
        <f>AND('Yamazumi Data'!#REF!,"AAAAAHn+/5U=")</f>
        <v>#REF!</v>
      </c>
      <c r="EU25" t="e">
        <f>AND('Yamazumi Data'!#REF!,"AAAAAHn+/5Y=")</f>
        <v>#REF!</v>
      </c>
      <c r="EV25" t="e">
        <f>AND('Yamazumi Data'!#REF!,"AAAAAHn+/5c=")</f>
        <v>#REF!</v>
      </c>
      <c r="EW25" t="e">
        <f>AND('Yamazumi Data'!#REF!,"AAAAAHn+/5g=")</f>
        <v>#REF!</v>
      </c>
      <c r="EX25" t="e">
        <f>AND('Yamazumi Data'!#REF!,"AAAAAHn+/5k=")</f>
        <v>#REF!</v>
      </c>
      <c r="EY25" t="e">
        <f>AND('Yamazumi Data'!#REF!,"AAAAAHn+/5o=")</f>
        <v>#REF!</v>
      </c>
      <c r="EZ25" t="e">
        <f>AND('Yamazumi Data'!#REF!,"AAAAAHn+/5s=")</f>
        <v>#REF!</v>
      </c>
      <c r="FA25" t="e">
        <f>AND('Yamazumi Data'!#REF!,"AAAAAHn+/5w=")</f>
        <v>#REF!</v>
      </c>
      <c r="FB25" t="e">
        <f>AND('Yamazumi Data'!#REF!,"AAAAAHn+/50=")</f>
        <v>#REF!</v>
      </c>
      <c r="FC25" t="e">
        <f>AND('Yamazumi Data'!#REF!,"AAAAAHn+/54=")</f>
        <v>#REF!</v>
      </c>
      <c r="FD25" t="e">
        <f>AND('Yamazumi Data'!#REF!,"AAAAAHn+/58=")</f>
        <v>#REF!</v>
      </c>
      <c r="FE25" t="e">
        <f>AND('Yamazumi Data'!#REF!,"AAAAAHn+/6A=")</f>
        <v>#REF!</v>
      </c>
      <c r="FF25" t="e">
        <f>AND('Yamazumi Data'!#REF!,"AAAAAHn+/6E=")</f>
        <v>#REF!</v>
      </c>
      <c r="FG25" t="e">
        <f>AND('Yamazumi Data'!#REF!,"AAAAAHn+/6I=")</f>
        <v>#REF!</v>
      </c>
      <c r="FH25" t="e">
        <f>AND('Yamazumi Data'!#REF!,"AAAAAHn+/6M=")</f>
        <v>#REF!</v>
      </c>
      <c r="FI25" t="e">
        <f>AND('Yamazumi Data'!#REF!,"AAAAAHn+/6Q=")</f>
        <v>#REF!</v>
      </c>
      <c r="FJ25" t="e">
        <f>AND('Yamazumi Data'!#REF!,"AAAAAHn+/6U=")</f>
        <v>#REF!</v>
      </c>
      <c r="FK25" t="e">
        <f>AND('Yamazumi Data'!#REF!,"AAAAAHn+/6Y=")</f>
        <v>#REF!</v>
      </c>
      <c r="FL25" t="e">
        <f>AND('Yamazumi Data'!#REF!,"AAAAAHn+/6c=")</f>
        <v>#REF!</v>
      </c>
      <c r="FM25" t="e">
        <f>AND('Yamazumi Data'!#REF!,"AAAAAHn+/6g=")</f>
        <v>#REF!</v>
      </c>
      <c r="FN25" t="e">
        <f>AND('Yamazumi Data'!#REF!,"AAAAAHn+/6k=")</f>
        <v>#REF!</v>
      </c>
      <c r="FO25" t="e">
        <f>AND('Yamazumi Data'!#REF!,"AAAAAHn+/6o=")</f>
        <v>#REF!</v>
      </c>
      <c r="FP25" t="e">
        <f>AND('Yamazumi Data'!#REF!,"AAAAAHn+/6s=")</f>
        <v>#REF!</v>
      </c>
      <c r="FQ25" t="e">
        <f>AND('Yamazumi Data'!#REF!,"AAAAAHn+/6w=")</f>
        <v>#REF!</v>
      </c>
      <c r="FR25" t="e">
        <f>AND('Yamazumi Data'!#REF!,"AAAAAHn+/60=")</f>
        <v>#REF!</v>
      </c>
      <c r="FS25" t="e">
        <f>AND('Yamazumi Data'!#REF!,"AAAAAHn+/64=")</f>
        <v>#REF!</v>
      </c>
      <c r="FT25" t="e">
        <f>AND('Yamazumi Data'!#REF!,"AAAAAHn+/68=")</f>
        <v>#REF!</v>
      </c>
      <c r="FU25" t="e">
        <f>AND('Yamazumi Data'!#REF!,"AAAAAHn+/7A=")</f>
        <v>#REF!</v>
      </c>
      <c r="FV25" t="e">
        <f>IF('Yamazumi Data'!#REF!,"AAAAAHn+/7E=",0)</f>
        <v>#REF!</v>
      </c>
      <c r="FW25" t="e">
        <f>AND('Yamazumi Data'!#REF!,"AAAAAHn+/7I=")</f>
        <v>#REF!</v>
      </c>
      <c r="FX25" t="e">
        <f>AND('Yamazumi Data'!#REF!,"AAAAAHn+/7M=")</f>
        <v>#REF!</v>
      </c>
      <c r="FY25" t="e">
        <f>AND('Yamazumi Data'!#REF!,"AAAAAHn+/7Q=")</f>
        <v>#REF!</v>
      </c>
      <c r="FZ25" t="e">
        <f>AND('Yamazumi Data'!#REF!,"AAAAAHn+/7U=")</f>
        <v>#REF!</v>
      </c>
      <c r="GA25" t="e">
        <f>AND('Yamazumi Data'!#REF!,"AAAAAHn+/7Y=")</f>
        <v>#REF!</v>
      </c>
      <c r="GB25" t="e">
        <f>AND('Yamazumi Data'!#REF!,"AAAAAHn+/7c=")</f>
        <v>#REF!</v>
      </c>
      <c r="GC25" t="e">
        <f>AND('Yamazumi Data'!#REF!,"AAAAAHn+/7g=")</f>
        <v>#REF!</v>
      </c>
      <c r="GD25" t="e">
        <f>AND('Yamazumi Data'!#REF!,"AAAAAHn+/7k=")</f>
        <v>#REF!</v>
      </c>
      <c r="GE25" t="e">
        <f>AND('Yamazumi Data'!#REF!,"AAAAAHn+/7o=")</f>
        <v>#REF!</v>
      </c>
      <c r="GF25" t="e">
        <f>AND('Yamazumi Data'!#REF!,"AAAAAHn+/7s=")</f>
        <v>#REF!</v>
      </c>
      <c r="GG25" t="e">
        <f>AND('Yamazumi Data'!#REF!,"AAAAAHn+/7w=")</f>
        <v>#REF!</v>
      </c>
      <c r="GH25" t="e">
        <f>AND('Yamazumi Data'!#REF!,"AAAAAHn+/70=")</f>
        <v>#REF!</v>
      </c>
      <c r="GI25" t="e">
        <f>AND('Yamazumi Data'!#REF!,"AAAAAHn+/74=")</f>
        <v>#REF!</v>
      </c>
      <c r="GJ25" t="e">
        <f>AND('Yamazumi Data'!#REF!,"AAAAAHn+/78=")</f>
        <v>#REF!</v>
      </c>
      <c r="GK25" t="e">
        <f>AND('Yamazumi Data'!#REF!,"AAAAAHn+/8A=")</f>
        <v>#REF!</v>
      </c>
      <c r="GL25" t="e">
        <f>AND('Yamazumi Data'!#REF!,"AAAAAHn+/8E=")</f>
        <v>#REF!</v>
      </c>
      <c r="GM25" t="e">
        <f>AND('Yamazumi Data'!#REF!,"AAAAAHn+/8I=")</f>
        <v>#REF!</v>
      </c>
      <c r="GN25" t="e">
        <f>AND('Yamazumi Data'!#REF!,"AAAAAHn+/8M=")</f>
        <v>#REF!</v>
      </c>
      <c r="GO25" t="e">
        <f>AND('Yamazumi Data'!#REF!,"AAAAAHn+/8Q=")</f>
        <v>#REF!</v>
      </c>
      <c r="GP25" t="e">
        <f>AND('Yamazumi Data'!#REF!,"AAAAAHn+/8U=")</f>
        <v>#REF!</v>
      </c>
      <c r="GQ25" t="e">
        <f>AND('Yamazumi Data'!#REF!,"AAAAAHn+/8Y=")</f>
        <v>#REF!</v>
      </c>
      <c r="GR25" t="e">
        <f>AND('Yamazumi Data'!#REF!,"AAAAAHn+/8c=")</f>
        <v>#REF!</v>
      </c>
      <c r="GS25" t="e">
        <f>AND('Yamazumi Data'!#REF!,"AAAAAHn+/8g=")</f>
        <v>#REF!</v>
      </c>
      <c r="GT25" t="e">
        <f>AND('Yamazumi Data'!#REF!,"AAAAAHn+/8k=")</f>
        <v>#REF!</v>
      </c>
      <c r="GU25" t="e">
        <f>AND('Yamazumi Data'!#REF!,"AAAAAHn+/8o=")</f>
        <v>#REF!</v>
      </c>
      <c r="GV25" t="e">
        <f>AND('Yamazumi Data'!#REF!,"AAAAAHn+/8s=")</f>
        <v>#REF!</v>
      </c>
      <c r="GW25" t="e">
        <f>AND('Yamazumi Data'!#REF!,"AAAAAHn+/8w=")</f>
        <v>#REF!</v>
      </c>
      <c r="GX25" t="e">
        <f>AND('Yamazumi Data'!#REF!,"AAAAAHn+/80=")</f>
        <v>#REF!</v>
      </c>
      <c r="GY25" t="e">
        <f>AND('Yamazumi Data'!#REF!,"AAAAAHn+/84=")</f>
        <v>#REF!</v>
      </c>
      <c r="GZ25" t="e">
        <f>AND('Yamazumi Data'!#REF!,"AAAAAHn+/88=")</f>
        <v>#REF!</v>
      </c>
      <c r="HA25" t="e">
        <f>AND('Yamazumi Data'!#REF!,"AAAAAHn+/9A=")</f>
        <v>#REF!</v>
      </c>
      <c r="HB25" t="e">
        <f>AND('Yamazumi Data'!#REF!,"AAAAAHn+/9E=")</f>
        <v>#REF!</v>
      </c>
      <c r="HC25" t="e">
        <f>AND('Yamazumi Data'!#REF!,"AAAAAHn+/9I=")</f>
        <v>#REF!</v>
      </c>
      <c r="HD25" t="e">
        <f>AND('Yamazumi Data'!#REF!,"AAAAAHn+/9M=")</f>
        <v>#REF!</v>
      </c>
      <c r="HE25" t="e">
        <f>AND('Yamazumi Data'!#REF!,"AAAAAHn+/9Q=")</f>
        <v>#REF!</v>
      </c>
      <c r="HF25" t="e">
        <f>AND('Yamazumi Data'!#REF!,"AAAAAHn+/9U=")</f>
        <v>#REF!</v>
      </c>
      <c r="HG25" t="e">
        <f>AND('Yamazumi Data'!#REF!,"AAAAAHn+/9Y=")</f>
        <v>#REF!</v>
      </c>
      <c r="HH25" t="e">
        <f>AND('Yamazumi Data'!#REF!,"AAAAAHn+/9c=")</f>
        <v>#REF!</v>
      </c>
      <c r="HI25" t="e">
        <f>AND('Yamazumi Data'!#REF!,"AAAAAHn+/9g=")</f>
        <v>#REF!</v>
      </c>
      <c r="HJ25" t="e">
        <f>AND('Yamazumi Data'!#REF!,"AAAAAHn+/9k=")</f>
        <v>#REF!</v>
      </c>
      <c r="HK25" t="e">
        <f>IF('Yamazumi Data'!#REF!,"AAAAAHn+/9o=",0)</f>
        <v>#REF!</v>
      </c>
      <c r="HL25" t="e">
        <f>AND('Yamazumi Data'!#REF!,"AAAAAHn+/9s=")</f>
        <v>#REF!</v>
      </c>
      <c r="HM25" t="e">
        <f>AND('Yamazumi Data'!#REF!,"AAAAAHn+/9w=")</f>
        <v>#REF!</v>
      </c>
      <c r="HN25" t="e">
        <f>AND('Yamazumi Data'!#REF!,"AAAAAHn+/90=")</f>
        <v>#REF!</v>
      </c>
      <c r="HO25" t="e">
        <f>AND('Yamazumi Data'!#REF!,"AAAAAHn+/94=")</f>
        <v>#REF!</v>
      </c>
      <c r="HP25" t="e">
        <f>AND('Yamazumi Data'!#REF!,"AAAAAHn+/98=")</f>
        <v>#REF!</v>
      </c>
      <c r="HQ25" t="e">
        <f>AND('Yamazumi Data'!#REF!,"AAAAAHn+/+A=")</f>
        <v>#REF!</v>
      </c>
      <c r="HR25" t="e">
        <f>AND('Yamazumi Data'!#REF!,"AAAAAHn+/+E=")</f>
        <v>#REF!</v>
      </c>
      <c r="HS25" t="e">
        <f>AND('Yamazumi Data'!#REF!,"AAAAAHn+/+I=")</f>
        <v>#REF!</v>
      </c>
      <c r="HT25" t="e">
        <f>AND('Yamazumi Data'!#REF!,"AAAAAHn+/+M=")</f>
        <v>#REF!</v>
      </c>
      <c r="HU25" t="e">
        <f>AND('Yamazumi Data'!#REF!,"AAAAAHn+/+Q=")</f>
        <v>#REF!</v>
      </c>
      <c r="HV25" t="e">
        <f>AND('Yamazumi Data'!#REF!,"AAAAAHn+/+U=")</f>
        <v>#REF!</v>
      </c>
      <c r="HW25" t="e">
        <f>AND('Yamazumi Data'!#REF!,"AAAAAHn+/+Y=")</f>
        <v>#REF!</v>
      </c>
      <c r="HX25" t="e">
        <f>AND('Yamazumi Data'!#REF!,"AAAAAHn+/+c=")</f>
        <v>#REF!</v>
      </c>
      <c r="HY25" t="e">
        <f>AND('Yamazumi Data'!#REF!,"AAAAAHn+/+g=")</f>
        <v>#REF!</v>
      </c>
      <c r="HZ25" t="e">
        <f>AND('Yamazumi Data'!#REF!,"AAAAAHn+/+k=")</f>
        <v>#REF!</v>
      </c>
      <c r="IA25" t="e">
        <f>AND('Yamazumi Data'!#REF!,"AAAAAHn+/+o=")</f>
        <v>#REF!</v>
      </c>
      <c r="IB25" t="e">
        <f>AND('Yamazumi Data'!#REF!,"AAAAAHn+/+s=")</f>
        <v>#REF!</v>
      </c>
      <c r="IC25" t="e">
        <f>AND('Yamazumi Data'!#REF!,"AAAAAHn+/+w=")</f>
        <v>#REF!</v>
      </c>
      <c r="ID25" t="e">
        <f>AND('Yamazumi Data'!#REF!,"AAAAAHn+/+0=")</f>
        <v>#REF!</v>
      </c>
      <c r="IE25" t="e">
        <f>AND('Yamazumi Data'!#REF!,"AAAAAHn+/+4=")</f>
        <v>#REF!</v>
      </c>
      <c r="IF25" t="e">
        <f>AND('Yamazumi Data'!#REF!,"AAAAAHn+/+8=")</f>
        <v>#REF!</v>
      </c>
      <c r="IG25" t="e">
        <f>AND('Yamazumi Data'!#REF!,"AAAAAHn+//A=")</f>
        <v>#REF!</v>
      </c>
      <c r="IH25" t="e">
        <f>AND('Yamazumi Data'!#REF!,"AAAAAHn+//E=")</f>
        <v>#REF!</v>
      </c>
      <c r="II25" t="e">
        <f>AND('Yamazumi Data'!#REF!,"AAAAAHn+//I=")</f>
        <v>#REF!</v>
      </c>
      <c r="IJ25" t="e">
        <f>AND('Yamazumi Data'!#REF!,"AAAAAHn+//M=")</f>
        <v>#REF!</v>
      </c>
      <c r="IK25" t="e">
        <f>AND('Yamazumi Data'!#REF!,"AAAAAHn+//Q=")</f>
        <v>#REF!</v>
      </c>
      <c r="IL25" t="e">
        <f>AND('Yamazumi Data'!#REF!,"AAAAAHn+//U=")</f>
        <v>#REF!</v>
      </c>
      <c r="IM25" t="e">
        <f>AND('Yamazumi Data'!#REF!,"AAAAAHn+//Y=")</f>
        <v>#REF!</v>
      </c>
      <c r="IN25" t="e">
        <f>AND('Yamazumi Data'!#REF!,"AAAAAHn+//c=")</f>
        <v>#REF!</v>
      </c>
      <c r="IO25" t="e">
        <f>AND('Yamazumi Data'!#REF!,"AAAAAHn+//g=")</f>
        <v>#REF!</v>
      </c>
      <c r="IP25" t="e">
        <f>AND('Yamazumi Data'!#REF!,"AAAAAHn+//k=")</f>
        <v>#REF!</v>
      </c>
      <c r="IQ25" t="e">
        <f>AND('Yamazumi Data'!#REF!,"AAAAAHn+//o=")</f>
        <v>#REF!</v>
      </c>
      <c r="IR25" t="e">
        <f>AND('Yamazumi Data'!#REF!,"AAAAAHn+//s=")</f>
        <v>#REF!</v>
      </c>
      <c r="IS25" t="e">
        <f>AND('Yamazumi Data'!#REF!,"AAAAAHn+//w=")</f>
        <v>#REF!</v>
      </c>
      <c r="IT25" t="e">
        <f>AND('Yamazumi Data'!#REF!,"AAAAAHn+//0=")</f>
        <v>#REF!</v>
      </c>
      <c r="IU25" t="e">
        <f>AND('Yamazumi Data'!#REF!,"AAAAAHn+//4=")</f>
        <v>#REF!</v>
      </c>
      <c r="IV25" t="e">
        <f>AND('Yamazumi Data'!#REF!,"AAAAAHn+//8=")</f>
        <v>#REF!</v>
      </c>
    </row>
    <row r="26" spans="1:256" ht="14.45" x14ac:dyDescent="0.3">
      <c r="A26" t="e">
        <f>AND('Yamazumi Data'!#REF!,"AAAAAHt//wA=")</f>
        <v>#REF!</v>
      </c>
      <c r="B26" t="e">
        <f>AND('Yamazumi Data'!#REF!,"AAAAAHt//wE=")</f>
        <v>#REF!</v>
      </c>
      <c r="C26" t="e">
        <f>AND('Yamazumi Data'!#REF!,"AAAAAHt//wI=")</f>
        <v>#REF!</v>
      </c>
      <c r="D26" t="e">
        <f>IF('Yamazumi Data'!#REF!,"AAAAAHt//wM=",0)</f>
        <v>#REF!</v>
      </c>
      <c r="E26" t="e">
        <f>AND('Yamazumi Data'!#REF!,"AAAAAHt//wQ=")</f>
        <v>#REF!</v>
      </c>
      <c r="F26" t="e">
        <f>AND('Yamazumi Data'!#REF!,"AAAAAHt//wU=")</f>
        <v>#REF!</v>
      </c>
      <c r="G26" t="e">
        <f>AND('Yamazumi Data'!#REF!,"AAAAAHt//wY=")</f>
        <v>#REF!</v>
      </c>
      <c r="H26" t="e">
        <f>AND('Yamazumi Data'!#REF!,"AAAAAHt//wc=")</f>
        <v>#REF!</v>
      </c>
      <c r="I26" t="e">
        <f>AND('Yamazumi Data'!#REF!,"AAAAAHt//wg=")</f>
        <v>#REF!</v>
      </c>
      <c r="J26" t="e">
        <f>AND('Yamazumi Data'!#REF!,"AAAAAHt//wk=")</f>
        <v>#REF!</v>
      </c>
      <c r="K26" t="e">
        <f>AND('Yamazumi Data'!#REF!,"AAAAAHt//wo=")</f>
        <v>#REF!</v>
      </c>
      <c r="L26" t="e">
        <f>AND('Yamazumi Data'!#REF!,"AAAAAHt//ws=")</f>
        <v>#REF!</v>
      </c>
      <c r="M26" t="e">
        <f>AND('Yamazumi Data'!#REF!,"AAAAAHt//ww=")</f>
        <v>#REF!</v>
      </c>
      <c r="N26" t="e">
        <f>AND('Yamazumi Data'!#REF!,"AAAAAHt//w0=")</f>
        <v>#REF!</v>
      </c>
      <c r="O26" t="e">
        <f>AND('Yamazumi Data'!#REF!,"AAAAAHt//w4=")</f>
        <v>#REF!</v>
      </c>
      <c r="P26" t="e">
        <f>AND('Yamazumi Data'!#REF!,"AAAAAHt//w8=")</f>
        <v>#REF!</v>
      </c>
      <c r="Q26" t="e">
        <f>AND('Yamazumi Data'!#REF!,"AAAAAHt//xA=")</f>
        <v>#REF!</v>
      </c>
      <c r="R26" t="e">
        <f>AND('Yamazumi Data'!#REF!,"AAAAAHt//xE=")</f>
        <v>#REF!</v>
      </c>
      <c r="S26" t="e">
        <f>AND('Yamazumi Data'!#REF!,"AAAAAHt//xI=")</f>
        <v>#REF!</v>
      </c>
      <c r="T26" t="e">
        <f>AND('Yamazumi Data'!#REF!,"AAAAAHt//xM=")</f>
        <v>#REF!</v>
      </c>
      <c r="U26" t="e">
        <f>AND('Yamazumi Data'!#REF!,"AAAAAHt//xQ=")</f>
        <v>#REF!</v>
      </c>
      <c r="V26" t="e">
        <f>AND('Yamazumi Data'!#REF!,"AAAAAHt//xU=")</f>
        <v>#REF!</v>
      </c>
      <c r="W26" t="e">
        <f>AND('Yamazumi Data'!#REF!,"AAAAAHt//xY=")</f>
        <v>#REF!</v>
      </c>
      <c r="X26" t="e">
        <f>AND('Yamazumi Data'!#REF!,"AAAAAHt//xc=")</f>
        <v>#REF!</v>
      </c>
      <c r="Y26" t="e">
        <f>AND('Yamazumi Data'!#REF!,"AAAAAHt//xg=")</f>
        <v>#REF!</v>
      </c>
      <c r="Z26" t="e">
        <f>AND('Yamazumi Data'!#REF!,"AAAAAHt//xk=")</f>
        <v>#REF!</v>
      </c>
      <c r="AA26" t="e">
        <f>AND('Yamazumi Data'!#REF!,"AAAAAHt//xo=")</f>
        <v>#REF!</v>
      </c>
      <c r="AB26" t="e">
        <f>AND('Yamazumi Data'!#REF!,"AAAAAHt//xs=")</f>
        <v>#REF!</v>
      </c>
      <c r="AC26" t="e">
        <f>AND('Yamazumi Data'!#REF!,"AAAAAHt//xw=")</f>
        <v>#REF!</v>
      </c>
      <c r="AD26" t="e">
        <f>AND('Yamazumi Data'!#REF!,"AAAAAHt//x0=")</f>
        <v>#REF!</v>
      </c>
      <c r="AE26" t="e">
        <f>AND('Yamazumi Data'!#REF!,"AAAAAHt//x4=")</f>
        <v>#REF!</v>
      </c>
      <c r="AF26" t="e">
        <f>AND('Yamazumi Data'!#REF!,"AAAAAHt//x8=")</f>
        <v>#REF!</v>
      </c>
      <c r="AG26" t="e">
        <f>AND('Yamazumi Data'!#REF!,"AAAAAHt//yA=")</f>
        <v>#REF!</v>
      </c>
      <c r="AH26" t="e">
        <f>AND('Yamazumi Data'!#REF!,"AAAAAHt//yE=")</f>
        <v>#REF!</v>
      </c>
      <c r="AI26" t="e">
        <f>AND('Yamazumi Data'!#REF!,"AAAAAHt//yI=")</f>
        <v>#REF!</v>
      </c>
      <c r="AJ26" t="e">
        <f>AND('Yamazumi Data'!#REF!,"AAAAAHt//yM=")</f>
        <v>#REF!</v>
      </c>
      <c r="AK26" t="e">
        <f>AND('Yamazumi Data'!#REF!,"AAAAAHt//yQ=")</f>
        <v>#REF!</v>
      </c>
      <c r="AL26" t="e">
        <f>AND('Yamazumi Data'!#REF!,"AAAAAHt//yU=")</f>
        <v>#REF!</v>
      </c>
      <c r="AM26" t="e">
        <f>AND('Yamazumi Data'!#REF!,"AAAAAHt//yY=")</f>
        <v>#REF!</v>
      </c>
      <c r="AN26" t="e">
        <f>AND('Yamazumi Data'!#REF!,"AAAAAHt//yc=")</f>
        <v>#REF!</v>
      </c>
      <c r="AO26" t="e">
        <f>AND('Yamazumi Data'!#REF!,"AAAAAHt//yg=")</f>
        <v>#REF!</v>
      </c>
      <c r="AP26" t="e">
        <f>AND('Yamazumi Data'!#REF!,"AAAAAHt//yk=")</f>
        <v>#REF!</v>
      </c>
      <c r="AQ26" t="e">
        <f>AND('Yamazumi Data'!#REF!,"AAAAAHt//yo=")</f>
        <v>#REF!</v>
      </c>
      <c r="AR26" t="e">
        <f>AND('Yamazumi Data'!#REF!,"AAAAAHt//ys=")</f>
        <v>#REF!</v>
      </c>
      <c r="AS26" t="e">
        <f>IF('Yamazumi Data'!#REF!,"AAAAAHt//yw=",0)</f>
        <v>#REF!</v>
      </c>
      <c r="AT26" t="e">
        <f>AND('Yamazumi Data'!#REF!,"AAAAAHt//y0=")</f>
        <v>#REF!</v>
      </c>
      <c r="AU26" t="e">
        <f>AND('Yamazumi Data'!#REF!,"AAAAAHt//y4=")</f>
        <v>#REF!</v>
      </c>
      <c r="AV26" t="e">
        <f>AND('Yamazumi Data'!#REF!,"AAAAAHt//y8=")</f>
        <v>#REF!</v>
      </c>
      <c r="AW26" t="e">
        <f>AND('Yamazumi Data'!#REF!,"AAAAAHt//zA=")</f>
        <v>#REF!</v>
      </c>
      <c r="AX26" t="e">
        <f>AND('Yamazumi Data'!#REF!,"AAAAAHt//zE=")</f>
        <v>#REF!</v>
      </c>
      <c r="AY26" t="e">
        <f>AND('Yamazumi Data'!#REF!,"AAAAAHt//zI=")</f>
        <v>#REF!</v>
      </c>
      <c r="AZ26" t="e">
        <f>AND('Yamazumi Data'!#REF!,"AAAAAHt//zM=")</f>
        <v>#REF!</v>
      </c>
      <c r="BA26" t="e">
        <f>AND('Yamazumi Data'!#REF!,"AAAAAHt//zQ=")</f>
        <v>#REF!</v>
      </c>
      <c r="BB26" t="e">
        <f>AND('Yamazumi Data'!#REF!,"AAAAAHt//zU=")</f>
        <v>#REF!</v>
      </c>
      <c r="BC26" t="e">
        <f>AND('Yamazumi Data'!#REF!,"AAAAAHt//zY=")</f>
        <v>#REF!</v>
      </c>
      <c r="BD26" t="e">
        <f>AND('Yamazumi Data'!#REF!,"AAAAAHt//zc=")</f>
        <v>#REF!</v>
      </c>
      <c r="BE26" t="e">
        <f>AND('Yamazumi Data'!#REF!,"AAAAAHt//zg=")</f>
        <v>#REF!</v>
      </c>
      <c r="BF26" t="e">
        <f>AND('Yamazumi Data'!#REF!,"AAAAAHt//zk=")</f>
        <v>#REF!</v>
      </c>
      <c r="BG26" t="e">
        <f>AND('Yamazumi Data'!#REF!,"AAAAAHt//zo=")</f>
        <v>#REF!</v>
      </c>
      <c r="BH26" t="e">
        <f>AND('Yamazumi Data'!#REF!,"AAAAAHt//zs=")</f>
        <v>#REF!</v>
      </c>
      <c r="BI26" t="e">
        <f>AND('Yamazumi Data'!#REF!,"AAAAAHt//zw=")</f>
        <v>#REF!</v>
      </c>
      <c r="BJ26" t="e">
        <f>AND('Yamazumi Data'!#REF!,"AAAAAHt//z0=")</f>
        <v>#REF!</v>
      </c>
      <c r="BK26" t="e">
        <f>AND('Yamazumi Data'!#REF!,"AAAAAHt//z4=")</f>
        <v>#REF!</v>
      </c>
      <c r="BL26" t="e">
        <f>AND('Yamazumi Data'!#REF!,"AAAAAHt//z8=")</f>
        <v>#REF!</v>
      </c>
      <c r="BM26" t="e">
        <f>AND('Yamazumi Data'!#REF!,"AAAAAHt//0A=")</f>
        <v>#REF!</v>
      </c>
      <c r="BN26" t="e">
        <f>AND('Yamazumi Data'!#REF!,"AAAAAHt//0E=")</f>
        <v>#REF!</v>
      </c>
      <c r="BO26" t="e">
        <f>AND('Yamazumi Data'!#REF!,"AAAAAHt//0I=")</f>
        <v>#REF!</v>
      </c>
      <c r="BP26" t="e">
        <f>AND('Yamazumi Data'!#REF!,"AAAAAHt//0M=")</f>
        <v>#REF!</v>
      </c>
      <c r="BQ26" t="e">
        <f>AND('Yamazumi Data'!#REF!,"AAAAAHt//0Q=")</f>
        <v>#REF!</v>
      </c>
      <c r="BR26" t="e">
        <f>AND('Yamazumi Data'!#REF!,"AAAAAHt//0U=")</f>
        <v>#REF!</v>
      </c>
      <c r="BS26" t="e">
        <f>AND('Yamazumi Data'!#REF!,"AAAAAHt//0Y=")</f>
        <v>#REF!</v>
      </c>
      <c r="BT26" t="e">
        <f>AND('Yamazumi Data'!#REF!,"AAAAAHt//0c=")</f>
        <v>#REF!</v>
      </c>
      <c r="BU26" t="e">
        <f>AND('Yamazumi Data'!#REF!,"AAAAAHt//0g=")</f>
        <v>#REF!</v>
      </c>
      <c r="BV26" t="e">
        <f>AND('Yamazumi Data'!#REF!,"AAAAAHt//0k=")</f>
        <v>#REF!</v>
      </c>
      <c r="BW26" t="e">
        <f>AND('Yamazumi Data'!#REF!,"AAAAAHt//0o=")</f>
        <v>#REF!</v>
      </c>
      <c r="BX26" t="e">
        <f>AND('Yamazumi Data'!#REF!,"AAAAAHt//0s=")</f>
        <v>#REF!</v>
      </c>
      <c r="BY26" t="e">
        <f>AND('Yamazumi Data'!#REF!,"AAAAAHt//0w=")</f>
        <v>#REF!</v>
      </c>
      <c r="BZ26" t="e">
        <f>AND('Yamazumi Data'!#REF!,"AAAAAHt//00=")</f>
        <v>#REF!</v>
      </c>
      <c r="CA26" t="e">
        <f>AND('Yamazumi Data'!#REF!,"AAAAAHt//04=")</f>
        <v>#REF!</v>
      </c>
      <c r="CB26" t="e">
        <f>AND('Yamazumi Data'!#REF!,"AAAAAHt//08=")</f>
        <v>#REF!</v>
      </c>
      <c r="CC26" t="e">
        <f>AND('Yamazumi Data'!#REF!,"AAAAAHt//1A=")</f>
        <v>#REF!</v>
      </c>
      <c r="CD26" t="e">
        <f>AND('Yamazumi Data'!#REF!,"AAAAAHt//1E=")</f>
        <v>#REF!</v>
      </c>
      <c r="CE26" t="e">
        <f>AND('Yamazumi Data'!#REF!,"AAAAAHt//1I=")</f>
        <v>#REF!</v>
      </c>
      <c r="CF26" t="e">
        <f>AND('Yamazumi Data'!#REF!,"AAAAAHt//1M=")</f>
        <v>#REF!</v>
      </c>
      <c r="CG26" t="e">
        <f>AND('Yamazumi Data'!#REF!,"AAAAAHt//1Q=")</f>
        <v>#REF!</v>
      </c>
      <c r="CH26" t="e">
        <f>IF('Yamazumi Data'!#REF!,"AAAAAHt//1U=",0)</f>
        <v>#REF!</v>
      </c>
      <c r="CI26" t="e">
        <f>AND('Yamazumi Data'!#REF!,"AAAAAHt//1Y=")</f>
        <v>#REF!</v>
      </c>
      <c r="CJ26" t="e">
        <f>AND('Yamazumi Data'!#REF!,"AAAAAHt//1c=")</f>
        <v>#REF!</v>
      </c>
      <c r="CK26" t="e">
        <f>AND('Yamazumi Data'!#REF!,"AAAAAHt//1g=")</f>
        <v>#REF!</v>
      </c>
      <c r="CL26" t="e">
        <f>AND('Yamazumi Data'!#REF!,"AAAAAHt//1k=")</f>
        <v>#REF!</v>
      </c>
      <c r="CM26" t="e">
        <f>AND('Yamazumi Data'!#REF!,"AAAAAHt//1o=")</f>
        <v>#REF!</v>
      </c>
      <c r="CN26" t="e">
        <f>AND('Yamazumi Data'!#REF!,"AAAAAHt//1s=")</f>
        <v>#REF!</v>
      </c>
      <c r="CO26" t="e">
        <f>AND('Yamazumi Data'!#REF!,"AAAAAHt//1w=")</f>
        <v>#REF!</v>
      </c>
      <c r="CP26" t="e">
        <f>AND('Yamazumi Data'!#REF!,"AAAAAHt//10=")</f>
        <v>#REF!</v>
      </c>
      <c r="CQ26" t="e">
        <f>AND('Yamazumi Data'!#REF!,"AAAAAHt//14=")</f>
        <v>#REF!</v>
      </c>
      <c r="CR26" t="e">
        <f>AND('Yamazumi Data'!#REF!,"AAAAAHt//18=")</f>
        <v>#REF!</v>
      </c>
      <c r="CS26" t="e">
        <f>AND('Yamazumi Data'!#REF!,"AAAAAHt//2A=")</f>
        <v>#REF!</v>
      </c>
      <c r="CT26" t="e">
        <f>AND('Yamazumi Data'!#REF!,"AAAAAHt//2E=")</f>
        <v>#REF!</v>
      </c>
      <c r="CU26" t="e">
        <f>AND('Yamazumi Data'!#REF!,"AAAAAHt//2I=")</f>
        <v>#REF!</v>
      </c>
      <c r="CV26" t="e">
        <f>AND('Yamazumi Data'!#REF!,"AAAAAHt//2M=")</f>
        <v>#REF!</v>
      </c>
      <c r="CW26" t="e">
        <f>AND('Yamazumi Data'!#REF!,"AAAAAHt//2Q=")</f>
        <v>#REF!</v>
      </c>
      <c r="CX26" t="e">
        <f>AND('Yamazumi Data'!#REF!,"AAAAAHt//2U=")</f>
        <v>#REF!</v>
      </c>
      <c r="CY26" t="e">
        <f>AND('Yamazumi Data'!#REF!,"AAAAAHt//2Y=")</f>
        <v>#REF!</v>
      </c>
      <c r="CZ26" t="e">
        <f>AND('Yamazumi Data'!#REF!,"AAAAAHt//2c=")</f>
        <v>#REF!</v>
      </c>
      <c r="DA26" t="e">
        <f>AND('Yamazumi Data'!#REF!,"AAAAAHt//2g=")</f>
        <v>#REF!</v>
      </c>
      <c r="DB26" t="e">
        <f>AND('Yamazumi Data'!#REF!,"AAAAAHt//2k=")</f>
        <v>#REF!</v>
      </c>
      <c r="DC26" t="e">
        <f>AND('Yamazumi Data'!#REF!,"AAAAAHt//2o=")</f>
        <v>#REF!</v>
      </c>
      <c r="DD26" t="e">
        <f>AND('Yamazumi Data'!#REF!,"AAAAAHt//2s=")</f>
        <v>#REF!</v>
      </c>
      <c r="DE26" t="e">
        <f>AND('Yamazumi Data'!#REF!,"AAAAAHt//2w=")</f>
        <v>#REF!</v>
      </c>
      <c r="DF26" t="e">
        <f>AND('Yamazumi Data'!#REF!,"AAAAAHt//20=")</f>
        <v>#REF!</v>
      </c>
      <c r="DG26" t="e">
        <f>AND('Yamazumi Data'!#REF!,"AAAAAHt//24=")</f>
        <v>#REF!</v>
      </c>
      <c r="DH26" t="e">
        <f>AND('Yamazumi Data'!#REF!,"AAAAAHt//28=")</f>
        <v>#REF!</v>
      </c>
      <c r="DI26" t="e">
        <f>AND('Yamazumi Data'!#REF!,"AAAAAHt//3A=")</f>
        <v>#REF!</v>
      </c>
      <c r="DJ26" t="e">
        <f>AND('Yamazumi Data'!#REF!,"AAAAAHt//3E=")</f>
        <v>#REF!</v>
      </c>
      <c r="DK26" t="e">
        <f>AND('Yamazumi Data'!#REF!,"AAAAAHt//3I=")</f>
        <v>#REF!</v>
      </c>
      <c r="DL26" t="e">
        <f>AND('Yamazumi Data'!#REF!,"AAAAAHt//3M=")</f>
        <v>#REF!</v>
      </c>
      <c r="DM26" t="e">
        <f>AND('Yamazumi Data'!#REF!,"AAAAAHt//3Q=")</f>
        <v>#REF!</v>
      </c>
      <c r="DN26" t="e">
        <f>AND('Yamazumi Data'!#REF!,"AAAAAHt//3U=")</f>
        <v>#REF!</v>
      </c>
      <c r="DO26" t="e">
        <f>AND('Yamazumi Data'!#REF!,"AAAAAHt//3Y=")</f>
        <v>#REF!</v>
      </c>
      <c r="DP26" t="e">
        <f>AND('Yamazumi Data'!#REF!,"AAAAAHt//3c=")</f>
        <v>#REF!</v>
      </c>
      <c r="DQ26" t="e">
        <f>AND('Yamazumi Data'!#REF!,"AAAAAHt//3g=")</f>
        <v>#REF!</v>
      </c>
      <c r="DR26" t="e">
        <f>AND('Yamazumi Data'!#REF!,"AAAAAHt//3k=")</f>
        <v>#REF!</v>
      </c>
      <c r="DS26" t="e">
        <f>AND('Yamazumi Data'!#REF!,"AAAAAHt//3o=")</f>
        <v>#REF!</v>
      </c>
      <c r="DT26" t="e">
        <f>AND('Yamazumi Data'!#REF!,"AAAAAHt//3s=")</f>
        <v>#REF!</v>
      </c>
      <c r="DU26" t="e">
        <f>AND('Yamazumi Data'!#REF!,"AAAAAHt//3w=")</f>
        <v>#REF!</v>
      </c>
      <c r="DV26" t="e">
        <f>AND('Yamazumi Data'!#REF!,"AAAAAHt//30=")</f>
        <v>#REF!</v>
      </c>
      <c r="DW26" t="e">
        <f>IF('Yamazumi Data'!#REF!,"AAAAAHt//34=",0)</f>
        <v>#REF!</v>
      </c>
      <c r="DX26" t="e">
        <f>AND('Yamazumi Data'!#REF!,"AAAAAHt//38=")</f>
        <v>#REF!</v>
      </c>
      <c r="DY26" t="e">
        <f>AND('Yamazumi Data'!#REF!,"AAAAAHt//4A=")</f>
        <v>#REF!</v>
      </c>
      <c r="DZ26" t="e">
        <f>AND('Yamazumi Data'!#REF!,"AAAAAHt//4E=")</f>
        <v>#REF!</v>
      </c>
      <c r="EA26" t="e">
        <f>AND('Yamazumi Data'!#REF!,"AAAAAHt//4I=")</f>
        <v>#REF!</v>
      </c>
      <c r="EB26" t="e">
        <f>AND('Yamazumi Data'!#REF!,"AAAAAHt//4M=")</f>
        <v>#REF!</v>
      </c>
      <c r="EC26" t="e">
        <f>AND('Yamazumi Data'!#REF!,"AAAAAHt//4Q=")</f>
        <v>#REF!</v>
      </c>
      <c r="ED26" t="e">
        <f>AND('Yamazumi Data'!#REF!,"AAAAAHt//4U=")</f>
        <v>#REF!</v>
      </c>
      <c r="EE26" t="e">
        <f>AND('Yamazumi Data'!#REF!,"AAAAAHt//4Y=")</f>
        <v>#REF!</v>
      </c>
      <c r="EF26" t="e">
        <f>AND('Yamazumi Data'!#REF!,"AAAAAHt//4c=")</f>
        <v>#REF!</v>
      </c>
      <c r="EG26" t="e">
        <f>AND('Yamazumi Data'!#REF!,"AAAAAHt//4g=")</f>
        <v>#REF!</v>
      </c>
      <c r="EH26" t="e">
        <f>AND('Yamazumi Data'!#REF!,"AAAAAHt//4k=")</f>
        <v>#REF!</v>
      </c>
      <c r="EI26" t="e">
        <f>AND('Yamazumi Data'!#REF!,"AAAAAHt//4o=")</f>
        <v>#REF!</v>
      </c>
      <c r="EJ26" t="e">
        <f>AND('Yamazumi Data'!#REF!,"AAAAAHt//4s=")</f>
        <v>#REF!</v>
      </c>
      <c r="EK26" t="e">
        <f>AND('Yamazumi Data'!#REF!,"AAAAAHt//4w=")</f>
        <v>#REF!</v>
      </c>
      <c r="EL26" t="e">
        <f>AND('Yamazumi Data'!#REF!,"AAAAAHt//40=")</f>
        <v>#REF!</v>
      </c>
      <c r="EM26" t="e">
        <f>AND('Yamazumi Data'!#REF!,"AAAAAHt//44=")</f>
        <v>#REF!</v>
      </c>
      <c r="EN26" t="e">
        <f>AND('Yamazumi Data'!#REF!,"AAAAAHt//48=")</f>
        <v>#REF!</v>
      </c>
      <c r="EO26" t="e">
        <f>AND('Yamazumi Data'!#REF!,"AAAAAHt//5A=")</f>
        <v>#REF!</v>
      </c>
      <c r="EP26" t="e">
        <f>AND('Yamazumi Data'!#REF!,"AAAAAHt//5E=")</f>
        <v>#REF!</v>
      </c>
      <c r="EQ26" t="e">
        <f>AND('Yamazumi Data'!#REF!,"AAAAAHt//5I=")</f>
        <v>#REF!</v>
      </c>
      <c r="ER26" t="e">
        <f>AND('Yamazumi Data'!#REF!,"AAAAAHt//5M=")</f>
        <v>#REF!</v>
      </c>
      <c r="ES26" t="e">
        <f>AND('Yamazumi Data'!#REF!,"AAAAAHt//5Q=")</f>
        <v>#REF!</v>
      </c>
      <c r="ET26" t="e">
        <f>AND('Yamazumi Data'!#REF!,"AAAAAHt//5U=")</f>
        <v>#REF!</v>
      </c>
      <c r="EU26" t="e">
        <f>AND('Yamazumi Data'!#REF!,"AAAAAHt//5Y=")</f>
        <v>#REF!</v>
      </c>
      <c r="EV26" t="e">
        <f>AND('Yamazumi Data'!#REF!,"AAAAAHt//5c=")</f>
        <v>#REF!</v>
      </c>
      <c r="EW26" t="e">
        <f>AND('Yamazumi Data'!#REF!,"AAAAAHt//5g=")</f>
        <v>#REF!</v>
      </c>
      <c r="EX26" t="e">
        <f>AND('Yamazumi Data'!#REF!,"AAAAAHt//5k=")</f>
        <v>#REF!</v>
      </c>
      <c r="EY26" t="e">
        <f>AND('Yamazumi Data'!#REF!,"AAAAAHt//5o=")</f>
        <v>#REF!</v>
      </c>
      <c r="EZ26" t="e">
        <f>AND('Yamazumi Data'!#REF!,"AAAAAHt//5s=")</f>
        <v>#REF!</v>
      </c>
      <c r="FA26" t="e">
        <f>AND('Yamazumi Data'!#REF!,"AAAAAHt//5w=")</f>
        <v>#REF!</v>
      </c>
      <c r="FB26" t="e">
        <f>AND('Yamazumi Data'!#REF!,"AAAAAHt//50=")</f>
        <v>#REF!</v>
      </c>
      <c r="FC26" t="e">
        <f>AND('Yamazumi Data'!#REF!,"AAAAAHt//54=")</f>
        <v>#REF!</v>
      </c>
      <c r="FD26" t="e">
        <f>AND('Yamazumi Data'!#REF!,"AAAAAHt//58=")</f>
        <v>#REF!</v>
      </c>
      <c r="FE26" t="e">
        <f>AND('Yamazumi Data'!#REF!,"AAAAAHt//6A=")</f>
        <v>#REF!</v>
      </c>
      <c r="FF26" t="e">
        <f>AND('Yamazumi Data'!#REF!,"AAAAAHt//6E=")</f>
        <v>#REF!</v>
      </c>
      <c r="FG26" t="e">
        <f>AND('Yamazumi Data'!#REF!,"AAAAAHt//6I=")</f>
        <v>#REF!</v>
      </c>
      <c r="FH26" t="e">
        <f>AND('Yamazumi Data'!#REF!,"AAAAAHt//6M=")</f>
        <v>#REF!</v>
      </c>
      <c r="FI26" t="e">
        <f>AND('Yamazumi Data'!#REF!,"AAAAAHt//6Q=")</f>
        <v>#REF!</v>
      </c>
      <c r="FJ26" t="e">
        <f>AND('Yamazumi Data'!#REF!,"AAAAAHt//6U=")</f>
        <v>#REF!</v>
      </c>
      <c r="FK26" t="e">
        <f>AND('Yamazumi Data'!#REF!,"AAAAAHt//6Y=")</f>
        <v>#REF!</v>
      </c>
      <c r="FL26" t="e">
        <f>IF('Yamazumi Data'!#REF!,"AAAAAHt//6c=",0)</f>
        <v>#REF!</v>
      </c>
      <c r="FM26" t="e">
        <f>AND('Yamazumi Data'!#REF!,"AAAAAHt//6g=")</f>
        <v>#REF!</v>
      </c>
      <c r="FN26" t="e">
        <f>AND('Yamazumi Data'!#REF!,"AAAAAHt//6k=")</f>
        <v>#REF!</v>
      </c>
      <c r="FO26" t="e">
        <f>AND('Yamazumi Data'!#REF!,"AAAAAHt//6o=")</f>
        <v>#REF!</v>
      </c>
      <c r="FP26" t="e">
        <f>AND('Yamazumi Data'!#REF!,"AAAAAHt//6s=")</f>
        <v>#REF!</v>
      </c>
      <c r="FQ26" t="e">
        <f>AND('Yamazumi Data'!#REF!,"AAAAAHt//6w=")</f>
        <v>#REF!</v>
      </c>
      <c r="FR26" t="e">
        <f>AND('Yamazumi Data'!#REF!,"AAAAAHt//60=")</f>
        <v>#REF!</v>
      </c>
      <c r="FS26" t="e">
        <f>AND('Yamazumi Data'!#REF!,"AAAAAHt//64=")</f>
        <v>#REF!</v>
      </c>
      <c r="FT26" t="e">
        <f>AND('Yamazumi Data'!#REF!,"AAAAAHt//68=")</f>
        <v>#REF!</v>
      </c>
      <c r="FU26" t="e">
        <f>AND('Yamazumi Data'!#REF!,"AAAAAHt//7A=")</f>
        <v>#REF!</v>
      </c>
      <c r="FV26" t="e">
        <f>AND('Yamazumi Data'!#REF!,"AAAAAHt//7E=")</f>
        <v>#REF!</v>
      </c>
      <c r="FW26" t="e">
        <f>AND('Yamazumi Data'!#REF!,"AAAAAHt//7I=")</f>
        <v>#REF!</v>
      </c>
      <c r="FX26" t="e">
        <f>AND('Yamazumi Data'!#REF!,"AAAAAHt//7M=")</f>
        <v>#REF!</v>
      </c>
      <c r="FY26" t="e">
        <f>AND('Yamazumi Data'!#REF!,"AAAAAHt//7Q=")</f>
        <v>#REF!</v>
      </c>
      <c r="FZ26" t="e">
        <f>AND('Yamazumi Data'!#REF!,"AAAAAHt//7U=")</f>
        <v>#REF!</v>
      </c>
      <c r="GA26" t="e">
        <f>AND('Yamazumi Data'!#REF!,"AAAAAHt//7Y=")</f>
        <v>#REF!</v>
      </c>
      <c r="GB26" t="e">
        <f>AND('Yamazumi Data'!#REF!,"AAAAAHt//7c=")</f>
        <v>#REF!</v>
      </c>
      <c r="GC26" t="e">
        <f>AND('Yamazumi Data'!#REF!,"AAAAAHt//7g=")</f>
        <v>#REF!</v>
      </c>
      <c r="GD26" t="e">
        <f>AND('Yamazumi Data'!#REF!,"AAAAAHt//7k=")</f>
        <v>#REF!</v>
      </c>
      <c r="GE26" t="e">
        <f>AND('Yamazumi Data'!#REF!,"AAAAAHt//7o=")</f>
        <v>#REF!</v>
      </c>
      <c r="GF26" t="e">
        <f>AND('Yamazumi Data'!#REF!,"AAAAAHt//7s=")</f>
        <v>#REF!</v>
      </c>
      <c r="GG26" t="e">
        <f>AND('Yamazumi Data'!#REF!,"AAAAAHt//7w=")</f>
        <v>#REF!</v>
      </c>
      <c r="GH26" t="e">
        <f>AND('Yamazumi Data'!#REF!,"AAAAAHt//70=")</f>
        <v>#REF!</v>
      </c>
      <c r="GI26" t="e">
        <f>AND('Yamazumi Data'!#REF!,"AAAAAHt//74=")</f>
        <v>#REF!</v>
      </c>
      <c r="GJ26" t="e">
        <f>AND('Yamazumi Data'!#REF!,"AAAAAHt//78=")</f>
        <v>#REF!</v>
      </c>
      <c r="GK26" t="e">
        <f>AND('Yamazumi Data'!#REF!,"AAAAAHt//8A=")</f>
        <v>#REF!</v>
      </c>
      <c r="GL26" t="e">
        <f>AND('Yamazumi Data'!#REF!,"AAAAAHt//8E=")</f>
        <v>#REF!</v>
      </c>
      <c r="GM26" t="e">
        <f>AND('Yamazumi Data'!#REF!,"AAAAAHt//8I=")</f>
        <v>#REF!</v>
      </c>
      <c r="GN26" t="e">
        <f>AND('Yamazumi Data'!#REF!,"AAAAAHt//8M=")</f>
        <v>#REF!</v>
      </c>
      <c r="GO26" t="e">
        <f>AND('Yamazumi Data'!#REF!,"AAAAAHt//8Q=")</f>
        <v>#REF!</v>
      </c>
      <c r="GP26" t="e">
        <f>AND('Yamazumi Data'!#REF!,"AAAAAHt//8U=")</f>
        <v>#REF!</v>
      </c>
      <c r="GQ26" t="e">
        <f>AND('Yamazumi Data'!#REF!,"AAAAAHt//8Y=")</f>
        <v>#REF!</v>
      </c>
      <c r="GR26" t="e">
        <f>AND('Yamazumi Data'!#REF!,"AAAAAHt//8c=")</f>
        <v>#REF!</v>
      </c>
      <c r="GS26" t="e">
        <f>AND('Yamazumi Data'!#REF!,"AAAAAHt//8g=")</f>
        <v>#REF!</v>
      </c>
      <c r="GT26" t="e">
        <f>AND('Yamazumi Data'!#REF!,"AAAAAHt//8k=")</f>
        <v>#REF!</v>
      </c>
      <c r="GU26" t="e">
        <f>AND('Yamazumi Data'!#REF!,"AAAAAHt//8o=")</f>
        <v>#REF!</v>
      </c>
      <c r="GV26" t="e">
        <f>AND('Yamazumi Data'!#REF!,"AAAAAHt//8s=")</f>
        <v>#REF!</v>
      </c>
      <c r="GW26" t="e">
        <f>AND('Yamazumi Data'!#REF!,"AAAAAHt//8w=")</f>
        <v>#REF!</v>
      </c>
      <c r="GX26" t="e">
        <f>AND('Yamazumi Data'!#REF!,"AAAAAHt//80=")</f>
        <v>#REF!</v>
      </c>
      <c r="GY26" t="e">
        <f>AND('Yamazumi Data'!#REF!,"AAAAAHt//84=")</f>
        <v>#REF!</v>
      </c>
      <c r="GZ26" t="e">
        <f>AND('Yamazumi Data'!#REF!,"AAAAAHt//88=")</f>
        <v>#REF!</v>
      </c>
      <c r="HA26" t="e">
        <f>IF('Yamazumi Data'!#REF!,"AAAAAHt//9A=",0)</f>
        <v>#REF!</v>
      </c>
      <c r="HB26" t="e">
        <f>AND('Yamazumi Data'!#REF!,"AAAAAHt//9E=")</f>
        <v>#REF!</v>
      </c>
      <c r="HC26" t="e">
        <f>AND('Yamazumi Data'!#REF!,"AAAAAHt//9I=")</f>
        <v>#REF!</v>
      </c>
      <c r="HD26" t="e">
        <f>AND('Yamazumi Data'!#REF!,"AAAAAHt//9M=")</f>
        <v>#REF!</v>
      </c>
      <c r="HE26" t="e">
        <f>AND('Yamazumi Data'!#REF!,"AAAAAHt//9Q=")</f>
        <v>#REF!</v>
      </c>
      <c r="HF26" t="e">
        <f>AND('Yamazumi Data'!#REF!,"AAAAAHt//9U=")</f>
        <v>#REF!</v>
      </c>
      <c r="HG26" t="e">
        <f>AND('Yamazumi Data'!#REF!,"AAAAAHt//9Y=")</f>
        <v>#REF!</v>
      </c>
      <c r="HH26" t="e">
        <f>AND('Yamazumi Data'!#REF!,"AAAAAHt//9c=")</f>
        <v>#REF!</v>
      </c>
      <c r="HI26" t="e">
        <f>AND('Yamazumi Data'!#REF!,"AAAAAHt//9g=")</f>
        <v>#REF!</v>
      </c>
      <c r="HJ26" t="e">
        <f>AND('Yamazumi Data'!#REF!,"AAAAAHt//9k=")</f>
        <v>#REF!</v>
      </c>
      <c r="HK26" t="e">
        <f>AND('Yamazumi Data'!#REF!,"AAAAAHt//9o=")</f>
        <v>#REF!</v>
      </c>
      <c r="HL26" t="e">
        <f>AND('Yamazumi Data'!#REF!,"AAAAAHt//9s=")</f>
        <v>#REF!</v>
      </c>
      <c r="HM26" t="e">
        <f>AND('Yamazumi Data'!#REF!,"AAAAAHt//9w=")</f>
        <v>#REF!</v>
      </c>
      <c r="HN26" t="e">
        <f>AND('Yamazumi Data'!#REF!,"AAAAAHt//90=")</f>
        <v>#REF!</v>
      </c>
      <c r="HO26" t="e">
        <f>AND('Yamazumi Data'!#REF!,"AAAAAHt//94=")</f>
        <v>#REF!</v>
      </c>
      <c r="HP26" t="e">
        <f>AND('Yamazumi Data'!#REF!,"AAAAAHt//98=")</f>
        <v>#REF!</v>
      </c>
      <c r="HQ26" t="e">
        <f>AND('Yamazumi Data'!#REF!,"AAAAAHt//+A=")</f>
        <v>#REF!</v>
      </c>
      <c r="HR26" t="e">
        <f>AND('Yamazumi Data'!#REF!,"AAAAAHt//+E=")</f>
        <v>#REF!</v>
      </c>
      <c r="HS26" t="e">
        <f>AND('Yamazumi Data'!#REF!,"AAAAAHt//+I=")</f>
        <v>#REF!</v>
      </c>
      <c r="HT26" t="e">
        <f>AND('Yamazumi Data'!#REF!,"AAAAAHt//+M=")</f>
        <v>#REF!</v>
      </c>
      <c r="HU26" t="e">
        <f>AND('Yamazumi Data'!#REF!,"AAAAAHt//+Q=")</f>
        <v>#REF!</v>
      </c>
      <c r="HV26" t="e">
        <f>AND('Yamazumi Data'!#REF!,"AAAAAHt//+U=")</f>
        <v>#REF!</v>
      </c>
      <c r="HW26" t="e">
        <f>AND('Yamazumi Data'!#REF!,"AAAAAHt//+Y=")</f>
        <v>#REF!</v>
      </c>
      <c r="HX26" t="e">
        <f>AND('Yamazumi Data'!#REF!,"AAAAAHt//+c=")</f>
        <v>#REF!</v>
      </c>
      <c r="HY26" t="e">
        <f>AND('Yamazumi Data'!#REF!,"AAAAAHt//+g=")</f>
        <v>#REF!</v>
      </c>
      <c r="HZ26" t="e">
        <f>AND('Yamazumi Data'!#REF!,"AAAAAHt//+k=")</f>
        <v>#REF!</v>
      </c>
      <c r="IA26" t="e">
        <f>AND('Yamazumi Data'!#REF!,"AAAAAHt//+o=")</f>
        <v>#REF!</v>
      </c>
      <c r="IB26" t="e">
        <f>AND('Yamazumi Data'!#REF!,"AAAAAHt//+s=")</f>
        <v>#REF!</v>
      </c>
      <c r="IC26" t="e">
        <f>AND('Yamazumi Data'!#REF!,"AAAAAHt//+w=")</f>
        <v>#REF!</v>
      </c>
      <c r="ID26" t="e">
        <f>AND('Yamazumi Data'!#REF!,"AAAAAHt//+0=")</f>
        <v>#REF!</v>
      </c>
      <c r="IE26" t="e">
        <f>AND('Yamazumi Data'!#REF!,"AAAAAHt//+4=")</f>
        <v>#REF!</v>
      </c>
      <c r="IF26" t="e">
        <f>AND('Yamazumi Data'!#REF!,"AAAAAHt//+8=")</f>
        <v>#REF!</v>
      </c>
      <c r="IG26" t="e">
        <f>AND('Yamazumi Data'!#REF!,"AAAAAHt///A=")</f>
        <v>#REF!</v>
      </c>
      <c r="IH26" t="e">
        <f>AND('Yamazumi Data'!#REF!,"AAAAAHt///E=")</f>
        <v>#REF!</v>
      </c>
      <c r="II26" t="e">
        <f>AND('Yamazumi Data'!#REF!,"AAAAAHt///I=")</f>
        <v>#REF!</v>
      </c>
      <c r="IJ26" t="e">
        <f>AND('Yamazumi Data'!#REF!,"AAAAAHt///M=")</f>
        <v>#REF!</v>
      </c>
      <c r="IK26" t="e">
        <f>AND('Yamazumi Data'!#REF!,"AAAAAHt///Q=")</f>
        <v>#REF!</v>
      </c>
      <c r="IL26" t="e">
        <f>AND('Yamazumi Data'!#REF!,"AAAAAHt///U=")</f>
        <v>#REF!</v>
      </c>
      <c r="IM26" t="e">
        <f>AND('Yamazumi Data'!#REF!,"AAAAAHt///Y=")</f>
        <v>#REF!</v>
      </c>
      <c r="IN26" t="e">
        <f>AND('Yamazumi Data'!#REF!,"AAAAAHt///c=")</f>
        <v>#REF!</v>
      </c>
      <c r="IO26" t="e">
        <f>AND('Yamazumi Data'!#REF!,"AAAAAHt///g=")</f>
        <v>#REF!</v>
      </c>
      <c r="IP26" t="e">
        <f>IF('Yamazumi Data'!#REF!,"AAAAAHt///k=",0)</f>
        <v>#REF!</v>
      </c>
      <c r="IQ26" t="e">
        <f>AND('Yamazumi Data'!#REF!,"AAAAAHt///o=")</f>
        <v>#REF!</v>
      </c>
      <c r="IR26" t="e">
        <f>AND('Yamazumi Data'!#REF!,"AAAAAHt///s=")</f>
        <v>#REF!</v>
      </c>
      <c r="IS26" t="e">
        <f>AND('Yamazumi Data'!#REF!,"AAAAAHt///w=")</f>
        <v>#REF!</v>
      </c>
      <c r="IT26" t="e">
        <f>AND('Yamazumi Data'!#REF!,"AAAAAHt///0=")</f>
        <v>#REF!</v>
      </c>
      <c r="IU26" t="e">
        <f>AND('Yamazumi Data'!#REF!,"AAAAAHt///4=")</f>
        <v>#REF!</v>
      </c>
      <c r="IV26" t="e">
        <f>AND('Yamazumi Data'!#REF!,"AAAAAHt///8=")</f>
        <v>#REF!</v>
      </c>
    </row>
    <row r="27" spans="1:256" ht="14.45" x14ac:dyDescent="0.3">
      <c r="A27" t="e">
        <f>AND('Yamazumi Data'!#REF!,"AAAAAH/72wA=")</f>
        <v>#REF!</v>
      </c>
      <c r="B27" t="e">
        <f>AND('Yamazumi Data'!#REF!,"AAAAAH/72wE=")</f>
        <v>#REF!</v>
      </c>
      <c r="C27" t="e">
        <f>AND('Yamazumi Data'!#REF!,"AAAAAH/72wI=")</f>
        <v>#REF!</v>
      </c>
      <c r="D27" t="e">
        <f>AND('Yamazumi Data'!#REF!,"AAAAAH/72wM=")</f>
        <v>#REF!</v>
      </c>
      <c r="E27" t="e">
        <f>AND('Yamazumi Data'!#REF!,"AAAAAH/72wQ=")</f>
        <v>#REF!</v>
      </c>
      <c r="F27" t="e">
        <f>AND('Yamazumi Data'!#REF!,"AAAAAH/72wU=")</f>
        <v>#REF!</v>
      </c>
      <c r="G27" t="e">
        <f>AND('Yamazumi Data'!#REF!,"AAAAAH/72wY=")</f>
        <v>#REF!</v>
      </c>
      <c r="H27" t="e">
        <f>AND('Yamazumi Data'!#REF!,"AAAAAH/72wc=")</f>
        <v>#REF!</v>
      </c>
      <c r="I27" t="e">
        <f>AND('Yamazumi Data'!#REF!,"AAAAAH/72wg=")</f>
        <v>#REF!</v>
      </c>
      <c r="J27" t="e">
        <f>AND('Yamazumi Data'!#REF!,"AAAAAH/72wk=")</f>
        <v>#REF!</v>
      </c>
      <c r="K27" t="e">
        <f>AND('Yamazumi Data'!#REF!,"AAAAAH/72wo=")</f>
        <v>#REF!</v>
      </c>
      <c r="L27" t="e">
        <f>AND('Yamazumi Data'!#REF!,"AAAAAH/72ws=")</f>
        <v>#REF!</v>
      </c>
      <c r="M27" t="e">
        <f>AND('Yamazumi Data'!#REF!,"AAAAAH/72ww=")</f>
        <v>#REF!</v>
      </c>
      <c r="N27" t="e">
        <f>AND('Yamazumi Data'!#REF!,"AAAAAH/72w0=")</f>
        <v>#REF!</v>
      </c>
      <c r="O27" t="e">
        <f>AND('Yamazumi Data'!#REF!,"AAAAAH/72w4=")</f>
        <v>#REF!</v>
      </c>
      <c r="P27" t="e">
        <f>AND('Yamazumi Data'!#REF!,"AAAAAH/72w8=")</f>
        <v>#REF!</v>
      </c>
      <c r="Q27" t="e">
        <f>AND('Yamazumi Data'!#REF!,"AAAAAH/72xA=")</f>
        <v>#REF!</v>
      </c>
      <c r="R27" t="e">
        <f>AND('Yamazumi Data'!#REF!,"AAAAAH/72xE=")</f>
        <v>#REF!</v>
      </c>
      <c r="S27" t="e">
        <f>AND('Yamazumi Data'!#REF!,"AAAAAH/72xI=")</f>
        <v>#REF!</v>
      </c>
      <c r="T27" t="e">
        <f>AND('Yamazumi Data'!#REF!,"AAAAAH/72xM=")</f>
        <v>#REF!</v>
      </c>
      <c r="U27" t="e">
        <f>AND('Yamazumi Data'!#REF!,"AAAAAH/72xQ=")</f>
        <v>#REF!</v>
      </c>
      <c r="V27" t="e">
        <f>AND('Yamazumi Data'!#REF!,"AAAAAH/72xU=")</f>
        <v>#REF!</v>
      </c>
      <c r="W27" t="e">
        <f>AND('Yamazumi Data'!#REF!,"AAAAAH/72xY=")</f>
        <v>#REF!</v>
      </c>
      <c r="X27" t="e">
        <f>AND('Yamazumi Data'!#REF!,"AAAAAH/72xc=")</f>
        <v>#REF!</v>
      </c>
      <c r="Y27" t="e">
        <f>AND('Yamazumi Data'!#REF!,"AAAAAH/72xg=")</f>
        <v>#REF!</v>
      </c>
      <c r="Z27" t="e">
        <f>AND('Yamazumi Data'!#REF!,"AAAAAH/72xk=")</f>
        <v>#REF!</v>
      </c>
      <c r="AA27" t="e">
        <f>AND('Yamazumi Data'!#REF!,"AAAAAH/72xo=")</f>
        <v>#REF!</v>
      </c>
      <c r="AB27" t="e">
        <f>AND('Yamazumi Data'!#REF!,"AAAAAH/72xs=")</f>
        <v>#REF!</v>
      </c>
      <c r="AC27" t="e">
        <f>AND('Yamazumi Data'!#REF!,"AAAAAH/72xw=")</f>
        <v>#REF!</v>
      </c>
      <c r="AD27" t="e">
        <f>AND('Yamazumi Data'!#REF!,"AAAAAH/72x0=")</f>
        <v>#REF!</v>
      </c>
      <c r="AE27" t="e">
        <f>AND('Yamazumi Data'!#REF!,"AAAAAH/72x4=")</f>
        <v>#REF!</v>
      </c>
      <c r="AF27" t="e">
        <f>AND('Yamazumi Data'!#REF!,"AAAAAH/72x8=")</f>
        <v>#REF!</v>
      </c>
      <c r="AG27" t="e">
        <f>AND('Yamazumi Data'!#REF!,"AAAAAH/72yA=")</f>
        <v>#REF!</v>
      </c>
      <c r="AH27" t="e">
        <f>AND('Yamazumi Data'!#REF!,"AAAAAH/72yE=")</f>
        <v>#REF!</v>
      </c>
      <c r="AI27" t="e">
        <f>IF('Yamazumi Data'!#REF!,"AAAAAH/72yI=",0)</f>
        <v>#REF!</v>
      </c>
      <c r="AJ27" t="e">
        <f>AND('Yamazumi Data'!#REF!,"AAAAAH/72yM=")</f>
        <v>#REF!</v>
      </c>
      <c r="AK27" t="e">
        <f>AND('Yamazumi Data'!#REF!,"AAAAAH/72yQ=")</f>
        <v>#REF!</v>
      </c>
      <c r="AL27" t="e">
        <f>AND('Yamazumi Data'!#REF!,"AAAAAH/72yU=")</f>
        <v>#REF!</v>
      </c>
      <c r="AM27" t="e">
        <f>AND('Yamazumi Data'!#REF!,"AAAAAH/72yY=")</f>
        <v>#REF!</v>
      </c>
      <c r="AN27" t="e">
        <f>AND('Yamazumi Data'!#REF!,"AAAAAH/72yc=")</f>
        <v>#REF!</v>
      </c>
      <c r="AO27" t="e">
        <f>AND('Yamazumi Data'!#REF!,"AAAAAH/72yg=")</f>
        <v>#REF!</v>
      </c>
      <c r="AP27" t="e">
        <f>AND('Yamazumi Data'!#REF!,"AAAAAH/72yk=")</f>
        <v>#REF!</v>
      </c>
      <c r="AQ27" t="e">
        <f>AND('Yamazumi Data'!#REF!,"AAAAAH/72yo=")</f>
        <v>#REF!</v>
      </c>
      <c r="AR27" t="e">
        <f>AND('Yamazumi Data'!#REF!,"AAAAAH/72ys=")</f>
        <v>#REF!</v>
      </c>
      <c r="AS27" t="e">
        <f>AND('Yamazumi Data'!#REF!,"AAAAAH/72yw=")</f>
        <v>#REF!</v>
      </c>
      <c r="AT27" t="e">
        <f>AND('Yamazumi Data'!#REF!,"AAAAAH/72y0=")</f>
        <v>#REF!</v>
      </c>
      <c r="AU27" t="e">
        <f>AND('Yamazumi Data'!#REF!,"AAAAAH/72y4=")</f>
        <v>#REF!</v>
      </c>
      <c r="AV27" t="e">
        <f>AND('Yamazumi Data'!#REF!,"AAAAAH/72y8=")</f>
        <v>#REF!</v>
      </c>
      <c r="AW27" t="e">
        <f>AND('Yamazumi Data'!#REF!,"AAAAAH/72zA=")</f>
        <v>#REF!</v>
      </c>
      <c r="AX27" t="e">
        <f>AND('Yamazumi Data'!#REF!,"AAAAAH/72zE=")</f>
        <v>#REF!</v>
      </c>
      <c r="AY27" t="e">
        <f>AND('Yamazumi Data'!#REF!,"AAAAAH/72zI=")</f>
        <v>#REF!</v>
      </c>
      <c r="AZ27" t="e">
        <f>AND('Yamazumi Data'!#REF!,"AAAAAH/72zM=")</f>
        <v>#REF!</v>
      </c>
      <c r="BA27" t="e">
        <f>AND('Yamazumi Data'!#REF!,"AAAAAH/72zQ=")</f>
        <v>#REF!</v>
      </c>
      <c r="BB27" t="e">
        <f>AND('Yamazumi Data'!#REF!,"AAAAAH/72zU=")</f>
        <v>#REF!</v>
      </c>
      <c r="BC27" t="e">
        <f>AND('Yamazumi Data'!#REF!,"AAAAAH/72zY=")</f>
        <v>#REF!</v>
      </c>
      <c r="BD27" t="e">
        <f>AND('Yamazumi Data'!#REF!,"AAAAAH/72zc=")</f>
        <v>#REF!</v>
      </c>
      <c r="BE27" t="e">
        <f>AND('Yamazumi Data'!#REF!,"AAAAAH/72zg=")</f>
        <v>#REF!</v>
      </c>
      <c r="BF27" t="e">
        <f>AND('Yamazumi Data'!#REF!,"AAAAAH/72zk=")</f>
        <v>#REF!</v>
      </c>
      <c r="BG27" t="e">
        <f>AND('Yamazumi Data'!#REF!,"AAAAAH/72zo=")</f>
        <v>#REF!</v>
      </c>
      <c r="BH27" t="e">
        <f>AND('Yamazumi Data'!#REF!,"AAAAAH/72zs=")</f>
        <v>#REF!</v>
      </c>
      <c r="BI27" t="e">
        <f>AND('Yamazumi Data'!#REF!,"AAAAAH/72zw=")</f>
        <v>#REF!</v>
      </c>
      <c r="BJ27" t="e">
        <f>AND('Yamazumi Data'!#REF!,"AAAAAH/72z0=")</f>
        <v>#REF!</v>
      </c>
      <c r="BK27" t="e">
        <f>AND('Yamazumi Data'!#REF!,"AAAAAH/72z4=")</f>
        <v>#REF!</v>
      </c>
      <c r="BL27" t="e">
        <f>AND('Yamazumi Data'!#REF!,"AAAAAH/72z8=")</f>
        <v>#REF!</v>
      </c>
      <c r="BM27" t="e">
        <f>AND('Yamazumi Data'!#REF!,"AAAAAH/720A=")</f>
        <v>#REF!</v>
      </c>
      <c r="BN27" t="e">
        <f>AND('Yamazumi Data'!#REF!,"AAAAAH/720E=")</f>
        <v>#REF!</v>
      </c>
      <c r="BO27" t="e">
        <f>AND('Yamazumi Data'!#REF!,"AAAAAH/720I=")</f>
        <v>#REF!</v>
      </c>
      <c r="BP27" t="e">
        <f>AND('Yamazumi Data'!#REF!,"AAAAAH/720M=")</f>
        <v>#REF!</v>
      </c>
      <c r="BQ27" t="e">
        <f>AND('Yamazumi Data'!#REF!,"AAAAAH/720Q=")</f>
        <v>#REF!</v>
      </c>
      <c r="BR27" t="e">
        <f>AND('Yamazumi Data'!#REF!,"AAAAAH/720U=")</f>
        <v>#REF!</v>
      </c>
      <c r="BS27" t="e">
        <f>AND('Yamazumi Data'!#REF!,"AAAAAH/720Y=")</f>
        <v>#REF!</v>
      </c>
      <c r="BT27" t="e">
        <f>AND('Yamazumi Data'!#REF!,"AAAAAH/720c=")</f>
        <v>#REF!</v>
      </c>
      <c r="BU27" t="e">
        <f>AND('Yamazumi Data'!#REF!,"AAAAAH/720g=")</f>
        <v>#REF!</v>
      </c>
      <c r="BV27" t="e">
        <f>AND('Yamazumi Data'!#REF!,"AAAAAH/720k=")</f>
        <v>#REF!</v>
      </c>
      <c r="BW27" t="e">
        <f>AND('Yamazumi Data'!#REF!,"AAAAAH/720o=")</f>
        <v>#REF!</v>
      </c>
      <c r="BX27" t="e">
        <f>IF('Yamazumi Data'!#REF!,"AAAAAH/720s=",0)</f>
        <v>#REF!</v>
      </c>
      <c r="BY27" t="e">
        <f>AND('Yamazumi Data'!#REF!,"AAAAAH/720w=")</f>
        <v>#REF!</v>
      </c>
      <c r="BZ27" t="e">
        <f>AND('Yamazumi Data'!#REF!,"AAAAAH/7200=")</f>
        <v>#REF!</v>
      </c>
      <c r="CA27" t="e">
        <f>AND('Yamazumi Data'!#REF!,"AAAAAH/7204=")</f>
        <v>#REF!</v>
      </c>
      <c r="CB27" t="e">
        <f>AND('Yamazumi Data'!#REF!,"AAAAAH/7208=")</f>
        <v>#REF!</v>
      </c>
      <c r="CC27" t="e">
        <f>AND('Yamazumi Data'!#REF!,"AAAAAH/721A=")</f>
        <v>#REF!</v>
      </c>
      <c r="CD27" t="e">
        <f>AND('Yamazumi Data'!#REF!,"AAAAAH/721E=")</f>
        <v>#REF!</v>
      </c>
      <c r="CE27" t="e">
        <f>AND('Yamazumi Data'!#REF!,"AAAAAH/721I=")</f>
        <v>#REF!</v>
      </c>
      <c r="CF27" t="e">
        <f>AND('Yamazumi Data'!#REF!,"AAAAAH/721M=")</f>
        <v>#REF!</v>
      </c>
      <c r="CG27" t="e">
        <f>AND('Yamazumi Data'!#REF!,"AAAAAH/721Q=")</f>
        <v>#REF!</v>
      </c>
      <c r="CH27" t="e">
        <f>AND('Yamazumi Data'!#REF!,"AAAAAH/721U=")</f>
        <v>#REF!</v>
      </c>
      <c r="CI27" t="e">
        <f>AND('Yamazumi Data'!#REF!,"AAAAAH/721Y=")</f>
        <v>#REF!</v>
      </c>
      <c r="CJ27" t="e">
        <f>AND('Yamazumi Data'!#REF!,"AAAAAH/721c=")</f>
        <v>#REF!</v>
      </c>
      <c r="CK27" t="e">
        <f>AND('Yamazumi Data'!#REF!,"AAAAAH/721g=")</f>
        <v>#REF!</v>
      </c>
      <c r="CL27" t="e">
        <f>AND('Yamazumi Data'!#REF!,"AAAAAH/721k=")</f>
        <v>#REF!</v>
      </c>
      <c r="CM27" t="e">
        <f>AND('Yamazumi Data'!#REF!,"AAAAAH/721o=")</f>
        <v>#REF!</v>
      </c>
      <c r="CN27" t="e">
        <f>AND('Yamazumi Data'!#REF!,"AAAAAH/721s=")</f>
        <v>#REF!</v>
      </c>
      <c r="CO27" t="e">
        <f>AND('Yamazumi Data'!#REF!,"AAAAAH/721w=")</f>
        <v>#REF!</v>
      </c>
      <c r="CP27" t="e">
        <f>AND('Yamazumi Data'!#REF!,"AAAAAH/7210=")</f>
        <v>#REF!</v>
      </c>
      <c r="CQ27" t="e">
        <f>AND('Yamazumi Data'!#REF!,"AAAAAH/7214=")</f>
        <v>#REF!</v>
      </c>
      <c r="CR27" t="e">
        <f>AND('Yamazumi Data'!#REF!,"AAAAAH/7218=")</f>
        <v>#REF!</v>
      </c>
      <c r="CS27" t="e">
        <f>AND('Yamazumi Data'!#REF!,"AAAAAH/722A=")</f>
        <v>#REF!</v>
      </c>
      <c r="CT27" t="e">
        <f>AND('Yamazumi Data'!#REF!,"AAAAAH/722E=")</f>
        <v>#REF!</v>
      </c>
      <c r="CU27" t="e">
        <f>AND('Yamazumi Data'!#REF!,"AAAAAH/722I=")</f>
        <v>#REF!</v>
      </c>
      <c r="CV27" t="e">
        <f>AND('Yamazumi Data'!#REF!,"AAAAAH/722M=")</f>
        <v>#REF!</v>
      </c>
      <c r="CW27" t="e">
        <f>AND('Yamazumi Data'!#REF!,"AAAAAH/722Q=")</f>
        <v>#REF!</v>
      </c>
      <c r="CX27" t="e">
        <f>AND('Yamazumi Data'!#REF!,"AAAAAH/722U=")</f>
        <v>#REF!</v>
      </c>
      <c r="CY27" t="e">
        <f>AND('Yamazumi Data'!#REF!,"AAAAAH/722Y=")</f>
        <v>#REF!</v>
      </c>
      <c r="CZ27" t="e">
        <f>AND('Yamazumi Data'!#REF!,"AAAAAH/722c=")</f>
        <v>#REF!</v>
      </c>
      <c r="DA27" t="e">
        <f>AND('Yamazumi Data'!#REF!,"AAAAAH/722g=")</f>
        <v>#REF!</v>
      </c>
      <c r="DB27" t="e">
        <f>AND('Yamazumi Data'!#REF!,"AAAAAH/722k=")</f>
        <v>#REF!</v>
      </c>
      <c r="DC27" t="e">
        <f>AND('Yamazumi Data'!#REF!,"AAAAAH/722o=")</f>
        <v>#REF!</v>
      </c>
      <c r="DD27" t="e">
        <f>AND('Yamazumi Data'!#REF!,"AAAAAH/722s=")</f>
        <v>#REF!</v>
      </c>
      <c r="DE27" t="e">
        <f>AND('Yamazumi Data'!#REF!,"AAAAAH/722w=")</f>
        <v>#REF!</v>
      </c>
      <c r="DF27" t="e">
        <f>AND('Yamazumi Data'!#REF!,"AAAAAH/7220=")</f>
        <v>#REF!</v>
      </c>
      <c r="DG27" t="e">
        <f>AND('Yamazumi Data'!#REF!,"AAAAAH/7224=")</f>
        <v>#REF!</v>
      </c>
      <c r="DH27" t="e">
        <f>AND('Yamazumi Data'!#REF!,"AAAAAH/7228=")</f>
        <v>#REF!</v>
      </c>
      <c r="DI27" t="e">
        <f>AND('Yamazumi Data'!#REF!,"AAAAAH/723A=")</f>
        <v>#REF!</v>
      </c>
      <c r="DJ27" t="e">
        <f>AND('Yamazumi Data'!#REF!,"AAAAAH/723E=")</f>
        <v>#REF!</v>
      </c>
      <c r="DK27" t="e">
        <f>AND('Yamazumi Data'!#REF!,"AAAAAH/723I=")</f>
        <v>#REF!</v>
      </c>
      <c r="DL27" t="e">
        <f>AND('Yamazumi Data'!#REF!,"AAAAAH/723M=")</f>
        <v>#REF!</v>
      </c>
      <c r="DM27" t="e">
        <f>IF('Yamazumi Data'!#REF!,"AAAAAH/723Q=",0)</f>
        <v>#REF!</v>
      </c>
      <c r="DN27" t="e">
        <f>AND('Yamazumi Data'!#REF!,"AAAAAH/723U=")</f>
        <v>#REF!</v>
      </c>
      <c r="DO27" t="e">
        <f>AND('Yamazumi Data'!#REF!,"AAAAAH/723Y=")</f>
        <v>#REF!</v>
      </c>
      <c r="DP27" t="e">
        <f>AND('Yamazumi Data'!#REF!,"AAAAAH/723c=")</f>
        <v>#REF!</v>
      </c>
      <c r="DQ27" t="e">
        <f>AND('Yamazumi Data'!#REF!,"AAAAAH/723g=")</f>
        <v>#REF!</v>
      </c>
      <c r="DR27" t="e">
        <f>AND('Yamazumi Data'!#REF!,"AAAAAH/723k=")</f>
        <v>#REF!</v>
      </c>
      <c r="DS27" t="e">
        <f>AND('Yamazumi Data'!#REF!,"AAAAAH/723o=")</f>
        <v>#REF!</v>
      </c>
      <c r="DT27" t="e">
        <f>AND('Yamazumi Data'!#REF!,"AAAAAH/723s=")</f>
        <v>#REF!</v>
      </c>
      <c r="DU27" t="e">
        <f>AND('Yamazumi Data'!#REF!,"AAAAAH/723w=")</f>
        <v>#REF!</v>
      </c>
      <c r="DV27" t="e">
        <f>AND('Yamazumi Data'!#REF!,"AAAAAH/7230=")</f>
        <v>#REF!</v>
      </c>
      <c r="DW27" t="e">
        <f>AND('Yamazumi Data'!#REF!,"AAAAAH/7234=")</f>
        <v>#REF!</v>
      </c>
      <c r="DX27" t="e">
        <f>AND('Yamazumi Data'!#REF!,"AAAAAH/7238=")</f>
        <v>#REF!</v>
      </c>
      <c r="DY27" t="e">
        <f>AND('Yamazumi Data'!#REF!,"AAAAAH/724A=")</f>
        <v>#REF!</v>
      </c>
      <c r="DZ27" t="e">
        <f>AND('Yamazumi Data'!#REF!,"AAAAAH/724E=")</f>
        <v>#REF!</v>
      </c>
      <c r="EA27" t="e">
        <f>AND('Yamazumi Data'!#REF!,"AAAAAH/724I=")</f>
        <v>#REF!</v>
      </c>
      <c r="EB27" t="e">
        <f>AND('Yamazumi Data'!#REF!,"AAAAAH/724M=")</f>
        <v>#REF!</v>
      </c>
      <c r="EC27" t="e">
        <f>AND('Yamazumi Data'!#REF!,"AAAAAH/724Q=")</f>
        <v>#REF!</v>
      </c>
      <c r="ED27" t="e">
        <f>AND('Yamazumi Data'!#REF!,"AAAAAH/724U=")</f>
        <v>#REF!</v>
      </c>
      <c r="EE27" t="e">
        <f>AND('Yamazumi Data'!#REF!,"AAAAAH/724Y=")</f>
        <v>#REF!</v>
      </c>
      <c r="EF27" t="e">
        <f>AND('Yamazumi Data'!#REF!,"AAAAAH/724c=")</f>
        <v>#REF!</v>
      </c>
      <c r="EG27" t="e">
        <f>AND('Yamazumi Data'!#REF!,"AAAAAH/724g=")</f>
        <v>#REF!</v>
      </c>
      <c r="EH27" t="e">
        <f>AND('Yamazumi Data'!#REF!,"AAAAAH/724k=")</f>
        <v>#REF!</v>
      </c>
      <c r="EI27" t="e">
        <f>AND('Yamazumi Data'!#REF!,"AAAAAH/724o=")</f>
        <v>#REF!</v>
      </c>
      <c r="EJ27" t="e">
        <f>AND('Yamazumi Data'!#REF!,"AAAAAH/724s=")</f>
        <v>#REF!</v>
      </c>
      <c r="EK27" t="e">
        <f>AND('Yamazumi Data'!#REF!,"AAAAAH/724w=")</f>
        <v>#REF!</v>
      </c>
      <c r="EL27" t="e">
        <f>AND('Yamazumi Data'!#REF!,"AAAAAH/7240=")</f>
        <v>#REF!</v>
      </c>
      <c r="EM27" t="e">
        <f>AND('Yamazumi Data'!#REF!,"AAAAAH/7244=")</f>
        <v>#REF!</v>
      </c>
      <c r="EN27" t="e">
        <f>AND('Yamazumi Data'!#REF!,"AAAAAH/7248=")</f>
        <v>#REF!</v>
      </c>
      <c r="EO27" t="e">
        <f>AND('Yamazumi Data'!#REF!,"AAAAAH/725A=")</f>
        <v>#REF!</v>
      </c>
      <c r="EP27" t="e">
        <f>AND('Yamazumi Data'!#REF!,"AAAAAH/725E=")</f>
        <v>#REF!</v>
      </c>
      <c r="EQ27" t="e">
        <f>AND('Yamazumi Data'!#REF!,"AAAAAH/725I=")</f>
        <v>#REF!</v>
      </c>
      <c r="ER27" t="e">
        <f>AND('Yamazumi Data'!#REF!,"AAAAAH/725M=")</f>
        <v>#REF!</v>
      </c>
      <c r="ES27" t="e">
        <f>AND('Yamazumi Data'!#REF!,"AAAAAH/725Q=")</f>
        <v>#REF!</v>
      </c>
      <c r="ET27" t="e">
        <f>AND('Yamazumi Data'!#REF!,"AAAAAH/725U=")</f>
        <v>#REF!</v>
      </c>
      <c r="EU27" t="e">
        <f>AND('Yamazumi Data'!#REF!,"AAAAAH/725Y=")</f>
        <v>#REF!</v>
      </c>
      <c r="EV27" t="e">
        <f>AND('Yamazumi Data'!#REF!,"AAAAAH/725c=")</f>
        <v>#REF!</v>
      </c>
      <c r="EW27" t="e">
        <f>AND('Yamazumi Data'!#REF!,"AAAAAH/725g=")</f>
        <v>#REF!</v>
      </c>
      <c r="EX27" t="e">
        <f>AND('Yamazumi Data'!#REF!,"AAAAAH/725k=")</f>
        <v>#REF!</v>
      </c>
      <c r="EY27" t="e">
        <f>AND('Yamazumi Data'!#REF!,"AAAAAH/725o=")</f>
        <v>#REF!</v>
      </c>
      <c r="EZ27" t="e">
        <f>AND('Yamazumi Data'!#REF!,"AAAAAH/725s=")</f>
        <v>#REF!</v>
      </c>
      <c r="FA27" t="e">
        <f>AND('Yamazumi Data'!#REF!,"AAAAAH/725w=")</f>
        <v>#REF!</v>
      </c>
      <c r="FB27" t="e">
        <f>IF('Yamazumi Data'!#REF!,"AAAAAH/7250=",0)</f>
        <v>#REF!</v>
      </c>
      <c r="FC27" t="e">
        <f>AND('Yamazumi Data'!#REF!,"AAAAAH/7254=")</f>
        <v>#REF!</v>
      </c>
      <c r="FD27" t="e">
        <f>AND('Yamazumi Data'!#REF!,"AAAAAH/7258=")</f>
        <v>#REF!</v>
      </c>
      <c r="FE27" t="e">
        <f>AND('Yamazumi Data'!#REF!,"AAAAAH/726A=")</f>
        <v>#REF!</v>
      </c>
      <c r="FF27" t="e">
        <f>AND('Yamazumi Data'!#REF!,"AAAAAH/726E=")</f>
        <v>#REF!</v>
      </c>
      <c r="FG27" t="e">
        <f>AND('Yamazumi Data'!#REF!,"AAAAAH/726I=")</f>
        <v>#REF!</v>
      </c>
      <c r="FH27" t="e">
        <f>AND('Yamazumi Data'!#REF!,"AAAAAH/726M=")</f>
        <v>#REF!</v>
      </c>
      <c r="FI27" t="e">
        <f>AND('Yamazumi Data'!#REF!,"AAAAAH/726Q=")</f>
        <v>#REF!</v>
      </c>
      <c r="FJ27" t="e">
        <f>AND('Yamazumi Data'!#REF!,"AAAAAH/726U=")</f>
        <v>#REF!</v>
      </c>
      <c r="FK27" t="e">
        <f>AND('Yamazumi Data'!#REF!,"AAAAAH/726Y=")</f>
        <v>#REF!</v>
      </c>
      <c r="FL27" t="e">
        <f>AND('Yamazumi Data'!#REF!,"AAAAAH/726c=")</f>
        <v>#REF!</v>
      </c>
      <c r="FM27" t="e">
        <f>AND('Yamazumi Data'!#REF!,"AAAAAH/726g=")</f>
        <v>#REF!</v>
      </c>
      <c r="FN27" t="e">
        <f>AND('Yamazumi Data'!#REF!,"AAAAAH/726k=")</f>
        <v>#REF!</v>
      </c>
      <c r="FO27" t="e">
        <f>AND('Yamazumi Data'!#REF!,"AAAAAH/726o=")</f>
        <v>#REF!</v>
      </c>
      <c r="FP27" t="e">
        <f>AND('Yamazumi Data'!#REF!,"AAAAAH/726s=")</f>
        <v>#REF!</v>
      </c>
      <c r="FQ27" t="e">
        <f>AND('Yamazumi Data'!#REF!,"AAAAAH/726w=")</f>
        <v>#REF!</v>
      </c>
      <c r="FR27" t="e">
        <f>AND('Yamazumi Data'!#REF!,"AAAAAH/7260=")</f>
        <v>#REF!</v>
      </c>
      <c r="FS27" t="e">
        <f>AND('Yamazumi Data'!#REF!,"AAAAAH/7264=")</f>
        <v>#REF!</v>
      </c>
      <c r="FT27" t="e">
        <f>AND('Yamazumi Data'!#REF!,"AAAAAH/7268=")</f>
        <v>#REF!</v>
      </c>
      <c r="FU27" t="e">
        <f>AND('Yamazumi Data'!#REF!,"AAAAAH/727A=")</f>
        <v>#REF!</v>
      </c>
      <c r="FV27" t="e">
        <f>AND('Yamazumi Data'!#REF!,"AAAAAH/727E=")</f>
        <v>#REF!</v>
      </c>
      <c r="FW27" t="e">
        <f>AND('Yamazumi Data'!#REF!,"AAAAAH/727I=")</f>
        <v>#REF!</v>
      </c>
      <c r="FX27" t="e">
        <f>AND('Yamazumi Data'!#REF!,"AAAAAH/727M=")</f>
        <v>#REF!</v>
      </c>
      <c r="FY27" t="e">
        <f>AND('Yamazumi Data'!#REF!,"AAAAAH/727Q=")</f>
        <v>#REF!</v>
      </c>
      <c r="FZ27" t="e">
        <f>AND('Yamazumi Data'!#REF!,"AAAAAH/727U=")</f>
        <v>#REF!</v>
      </c>
      <c r="GA27" t="e">
        <f>AND('Yamazumi Data'!#REF!,"AAAAAH/727Y=")</f>
        <v>#REF!</v>
      </c>
      <c r="GB27" t="e">
        <f>AND('Yamazumi Data'!#REF!,"AAAAAH/727c=")</f>
        <v>#REF!</v>
      </c>
      <c r="GC27" t="e">
        <f>AND('Yamazumi Data'!#REF!,"AAAAAH/727g=")</f>
        <v>#REF!</v>
      </c>
      <c r="GD27" t="e">
        <f>AND('Yamazumi Data'!#REF!,"AAAAAH/727k=")</f>
        <v>#REF!</v>
      </c>
      <c r="GE27" t="e">
        <f>AND('Yamazumi Data'!#REF!,"AAAAAH/727o=")</f>
        <v>#REF!</v>
      </c>
      <c r="GF27" t="e">
        <f>AND('Yamazumi Data'!#REF!,"AAAAAH/727s=")</f>
        <v>#REF!</v>
      </c>
      <c r="GG27" t="e">
        <f>AND('Yamazumi Data'!#REF!,"AAAAAH/727w=")</f>
        <v>#REF!</v>
      </c>
      <c r="GH27" t="e">
        <f>AND('Yamazumi Data'!#REF!,"AAAAAH/7270=")</f>
        <v>#REF!</v>
      </c>
      <c r="GI27" t="e">
        <f>AND('Yamazumi Data'!#REF!,"AAAAAH/7274=")</f>
        <v>#REF!</v>
      </c>
      <c r="GJ27" t="e">
        <f>AND('Yamazumi Data'!#REF!,"AAAAAH/7278=")</f>
        <v>#REF!</v>
      </c>
      <c r="GK27" t="e">
        <f>AND('Yamazumi Data'!#REF!,"AAAAAH/728A=")</f>
        <v>#REF!</v>
      </c>
      <c r="GL27" t="e">
        <f>AND('Yamazumi Data'!#REF!,"AAAAAH/728E=")</f>
        <v>#REF!</v>
      </c>
      <c r="GM27" t="e">
        <f>AND('Yamazumi Data'!#REF!,"AAAAAH/728I=")</f>
        <v>#REF!</v>
      </c>
      <c r="GN27" t="e">
        <f>AND('Yamazumi Data'!#REF!,"AAAAAH/728M=")</f>
        <v>#REF!</v>
      </c>
      <c r="GO27" t="e">
        <f>AND('Yamazumi Data'!#REF!,"AAAAAH/728Q=")</f>
        <v>#REF!</v>
      </c>
      <c r="GP27" t="e">
        <f>AND('Yamazumi Data'!#REF!,"AAAAAH/728U=")</f>
        <v>#REF!</v>
      </c>
      <c r="GQ27" t="e">
        <f>IF('Yamazumi Data'!#REF!,"AAAAAH/728Y=",0)</f>
        <v>#REF!</v>
      </c>
      <c r="GR27" t="e">
        <f>AND('Yamazumi Data'!#REF!,"AAAAAH/728c=")</f>
        <v>#REF!</v>
      </c>
      <c r="GS27" t="e">
        <f>AND('Yamazumi Data'!#REF!,"AAAAAH/728g=")</f>
        <v>#REF!</v>
      </c>
      <c r="GT27" t="e">
        <f>AND('Yamazumi Data'!#REF!,"AAAAAH/728k=")</f>
        <v>#REF!</v>
      </c>
      <c r="GU27" t="e">
        <f>AND('Yamazumi Data'!#REF!,"AAAAAH/728o=")</f>
        <v>#REF!</v>
      </c>
      <c r="GV27" t="e">
        <f>AND('Yamazumi Data'!#REF!,"AAAAAH/728s=")</f>
        <v>#REF!</v>
      </c>
      <c r="GW27" t="e">
        <f>AND('Yamazumi Data'!#REF!,"AAAAAH/728w=")</f>
        <v>#REF!</v>
      </c>
      <c r="GX27" t="e">
        <f>AND('Yamazumi Data'!#REF!,"AAAAAH/7280=")</f>
        <v>#REF!</v>
      </c>
      <c r="GY27" t="e">
        <f>AND('Yamazumi Data'!#REF!,"AAAAAH/7284=")</f>
        <v>#REF!</v>
      </c>
      <c r="GZ27" t="e">
        <f>AND('Yamazumi Data'!#REF!,"AAAAAH/7288=")</f>
        <v>#REF!</v>
      </c>
      <c r="HA27" t="e">
        <f>AND('Yamazumi Data'!#REF!,"AAAAAH/729A=")</f>
        <v>#REF!</v>
      </c>
      <c r="HB27" t="e">
        <f>AND('Yamazumi Data'!#REF!,"AAAAAH/729E=")</f>
        <v>#REF!</v>
      </c>
      <c r="HC27" t="e">
        <f>AND('Yamazumi Data'!#REF!,"AAAAAH/729I=")</f>
        <v>#REF!</v>
      </c>
      <c r="HD27" t="e">
        <f>AND('Yamazumi Data'!#REF!,"AAAAAH/729M=")</f>
        <v>#REF!</v>
      </c>
      <c r="HE27" t="e">
        <f>AND('Yamazumi Data'!#REF!,"AAAAAH/729Q=")</f>
        <v>#REF!</v>
      </c>
      <c r="HF27" t="e">
        <f>AND('Yamazumi Data'!#REF!,"AAAAAH/729U=")</f>
        <v>#REF!</v>
      </c>
      <c r="HG27" t="e">
        <f>AND('Yamazumi Data'!#REF!,"AAAAAH/729Y=")</f>
        <v>#REF!</v>
      </c>
      <c r="HH27" t="e">
        <f>AND('Yamazumi Data'!#REF!,"AAAAAH/729c=")</f>
        <v>#REF!</v>
      </c>
      <c r="HI27" t="e">
        <f>AND('Yamazumi Data'!#REF!,"AAAAAH/729g=")</f>
        <v>#REF!</v>
      </c>
      <c r="HJ27" t="e">
        <f>AND('Yamazumi Data'!#REF!,"AAAAAH/729k=")</f>
        <v>#REF!</v>
      </c>
      <c r="HK27" t="e">
        <f>AND('Yamazumi Data'!#REF!,"AAAAAH/729o=")</f>
        <v>#REF!</v>
      </c>
      <c r="HL27" t="e">
        <f>AND('Yamazumi Data'!#REF!,"AAAAAH/729s=")</f>
        <v>#REF!</v>
      </c>
      <c r="HM27" t="e">
        <f>AND('Yamazumi Data'!#REF!,"AAAAAH/729w=")</f>
        <v>#REF!</v>
      </c>
      <c r="HN27" t="e">
        <f>AND('Yamazumi Data'!#REF!,"AAAAAH/7290=")</f>
        <v>#REF!</v>
      </c>
      <c r="HO27" t="e">
        <f>AND('Yamazumi Data'!#REF!,"AAAAAH/7294=")</f>
        <v>#REF!</v>
      </c>
      <c r="HP27" t="e">
        <f>AND('Yamazumi Data'!#REF!,"AAAAAH/7298=")</f>
        <v>#REF!</v>
      </c>
      <c r="HQ27" t="e">
        <f>AND('Yamazumi Data'!#REF!,"AAAAAH/72+A=")</f>
        <v>#REF!</v>
      </c>
      <c r="HR27" t="e">
        <f>AND('Yamazumi Data'!#REF!,"AAAAAH/72+E=")</f>
        <v>#REF!</v>
      </c>
      <c r="HS27" t="e">
        <f>AND('Yamazumi Data'!#REF!,"AAAAAH/72+I=")</f>
        <v>#REF!</v>
      </c>
      <c r="HT27" t="e">
        <f>AND('Yamazumi Data'!#REF!,"AAAAAH/72+M=")</f>
        <v>#REF!</v>
      </c>
      <c r="HU27" t="e">
        <f>AND('Yamazumi Data'!#REF!,"AAAAAH/72+Q=")</f>
        <v>#REF!</v>
      </c>
      <c r="HV27" t="e">
        <f>AND('Yamazumi Data'!#REF!,"AAAAAH/72+U=")</f>
        <v>#REF!</v>
      </c>
      <c r="HW27" t="e">
        <f>AND('Yamazumi Data'!#REF!,"AAAAAH/72+Y=")</f>
        <v>#REF!</v>
      </c>
      <c r="HX27" t="e">
        <f>AND('Yamazumi Data'!#REF!,"AAAAAH/72+c=")</f>
        <v>#REF!</v>
      </c>
      <c r="HY27" t="e">
        <f>AND('Yamazumi Data'!#REF!,"AAAAAH/72+g=")</f>
        <v>#REF!</v>
      </c>
      <c r="HZ27" t="e">
        <f>AND('Yamazumi Data'!#REF!,"AAAAAH/72+k=")</f>
        <v>#REF!</v>
      </c>
      <c r="IA27" t="e">
        <f>AND('Yamazumi Data'!#REF!,"AAAAAH/72+o=")</f>
        <v>#REF!</v>
      </c>
      <c r="IB27" t="e">
        <f>AND('Yamazumi Data'!#REF!,"AAAAAH/72+s=")</f>
        <v>#REF!</v>
      </c>
      <c r="IC27" t="e">
        <f>AND('Yamazumi Data'!#REF!,"AAAAAH/72+w=")</f>
        <v>#REF!</v>
      </c>
      <c r="ID27" t="e">
        <f>AND('Yamazumi Data'!#REF!,"AAAAAH/72+0=")</f>
        <v>#REF!</v>
      </c>
      <c r="IE27" t="e">
        <f>AND('Yamazumi Data'!#REF!,"AAAAAH/72+4=")</f>
        <v>#REF!</v>
      </c>
      <c r="IF27" t="e">
        <f>IF('Yamazumi Data'!#REF!,"AAAAAH/72+8=",0)</f>
        <v>#REF!</v>
      </c>
      <c r="IG27" t="e">
        <f>AND('Yamazumi Data'!#REF!,"AAAAAH/72/A=")</f>
        <v>#REF!</v>
      </c>
      <c r="IH27" t="e">
        <f>AND('Yamazumi Data'!#REF!,"AAAAAH/72/E=")</f>
        <v>#REF!</v>
      </c>
      <c r="II27" t="e">
        <f>AND('Yamazumi Data'!#REF!,"AAAAAH/72/I=")</f>
        <v>#REF!</v>
      </c>
      <c r="IJ27" t="e">
        <f>AND('Yamazumi Data'!#REF!,"AAAAAH/72/M=")</f>
        <v>#REF!</v>
      </c>
      <c r="IK27" t="e">
        <f>AND('Yamazumi Data'!#REF!,"AAAAAH/72/Q=")</f>
        <v>#REF!</v>
      </c>
      <c r="IL27" t="e">
        <f>AND('Yamazumi Data'!#REF!,"AAAAAH/72/U=")</f>
        <v>#REF!</v>
      </c>
      <c r="IM27" t="e">
        <f>AND('Yamazumi Data'!#REF!,"AAAAAH/72/Y=")</f>
        <v>#REF!</v>
      </c>
      <c r="IN27" t="e">
        <f>AND('Yamazumi Data'!#REF!,"AAAAAH/72/c=")</f>
        <v>#REF!</v>
      </c>
      <c r="IO27" t="e">
        <f>AND('Yamazumi Data'!#REF!,"AAAAAH/72/g=")</f>
        <v>#REF!</v>
      </c>
      <c r="IP27" t="e">
        <f>AND('Yamazumi Data'!#REF!,"AAAAAH/72/k=")</f>
        <v>#REF!</v>
      </c>
      <c r="IQ27" t="e">
        <f>AND('Yamazumi Data'!#REF!,"AAAAAH/72/o=")</f>
        <v>#REF!</v>
      </c>
      <c r="IR27" t="e">
        <f>AND('Yamazumi Data'!#REF!,"AAAAAH/72/s=")</f>
        <v>#REF!</v>
      </c>
      <c r="IS27" t="e">
        <f>AND('Yamazumi Data'!#REF!,"AAAAAH/72/w=")</f>
        <v>#REF!</v>
      </c>
      <c r="IT27" t="e">
        <f>AND('Yamazumi Data'!#REF!,"AAAAAH/72/0=")</f>
        <v>#REF!</v>
      </c>
      <c r="IU27" t="e">
        <f>AND('Yamazumi Data'!#REF!,"AAAAAH/72/4=")</f>
        <v>#REF!</v>
      </c>
      <c r="IV27" t="e">
        <f>AND('Yamazumi Data'!#REF!,"AAAAAH/72/8=")</f>
        <v>#REF!</v>
      </c>
    </row>
    <row r="28" spans="1:256" ht="14.45" x14ac:dyDescent="0.3">
      <c r="A28" t="e">
        <f>AND('Yamazumi Data'!#REF!,"AAAAAG9+VQA=")</f>
        <v>#REF!</v>
      </c>
      <c r="B28" t="e">
        <f>AND('Yamazumi Data'!#REF!,"AAAAAG9+VQE=")</f>
        <v>#REF!</v>
      </c>
      <c r="C28" t="e">
        <f>AND('Yamazumi Data'!#REF!,"AAAAAG9+VQI=")</f>
        <v>#REF!</v>
      </c>
      <c r="D28" t="e">
        <f>AND('Yamazumi Data'!#REF!,"AAAAAG9+VQM=")</f>
        <v>#REF!</v>
      </c>
      <c r="E28" t="e">
        <f>AND('Yamazumi Data'!#REF!,"AAAAAG9+VQQ=")</f>
        <v>#REF!</v>
      </c>
      <c r="F28" t="e">
        <f>AND('Yamazumi Data'!#REF!,"AAAAAG9+VQU=")</f>
        <v>#REF!</v>
      </c>
      <c r="G28" t="e">
        <f>AND('Yamazumi Data'!#REF!,"AAAAAG9+VQY=")</f>
        <v>#REF!</v>
      </c>
      <c r="H28" t="e">
        <f>AND('Yamazumi Data'!#REF!,"AAAAAG9+VQc=")</f>
        <v>#REF!</v>
      </c>
      <c r="I28" t="e">
        <f>AND('Yamazumi Data'!#REF!,"AAAAAG9+VQg=")</f>
        <v>#REF!</v>
      </c>
      <c r="J28" t="e">
        <f>AND('Yamazumi Data'!#REF!,"AAAAAG9+VQk=")</f>
        <v>#REF!</v>
      </c>
      <c r="K28" t="e">
        <f>AND('Yamazumi Data'!#REF!,"AAAAAG9+VQo=")</f>
        <v>#REF!</v>
      </c>
      <c r="L28" t="e">
        <f>AND('Yamazumi Data'!#REF!,"AAAAAG9+VQs=")</f>
        <v>#REF!</v>
      </c>
      <c r="M28" t="e">
        <f>AND('Yamazumi Data'!#REF!,"AAAAAG9+VQw=")</f>
        <v>#REF!</v>
      </c>
      <c r="N28" t="e">
        <f>AND('Yamazumi Data'!#REF!,"AAAAAG9+VQ0=")</f>
        <v>#REF!</v>
      </c>
      <c r="O28" t="e">
        <f>AND('Yamazumi Data'!#REF!,"AAAAAG9+VQ4=")</f>
        <v>#REF!</v>
      </c>
      <c r="P28" t="e">
        <f>AND('Yamazumi Data'!#REF!,"AAAAAG9+VQ8=")</f>
        <v>#REF!</v>
      </c>
      <c r="Q28" t="e">
        <f>AND('Yamazumi Data'!#REF!,"AAAAAG9+VRA=")</f>
        <v>#REF!</v>
      </c>
      <c r="R28" t="e">
        <f>AND('Yamazumi Data'!#REF!,"AAAAAG9+VRE=")</f>
        <v>#REF!</v>
      </c>
      <c r="S28" t="e">
        <f>AND('Yamazumi Data'!#REF!,"AAAAAG9+VRI=")</f>
        <v>#REF!</v>
      </c>
      <c r="T28" t="e">
        <f>AND('Yamazumi Data'!#REF!,"AAAAAG9+VRM=")</f>
        <v>#REF!</v>
      </c>
      <c r="U28" t="e">
        <f>AND('Yamazumi Data'!#REF!,"AAAAAG9+VRQ=")</f>
        <v>#REF!</v>
      </c>
      <c r="V28" t="e">
        <f>AND('Yamazumi Data'!#REF!,"AAAAAG9+VRU=")</f>
        <v>#REF!</v>
      </c>
      <c r="W28" t="e">
        <f>AND('Yamazumi Data'!#REF!,"AAAAAG9+VRY=")</f>
        <v>#REF!</v>
      </c>
      <c r="X28" t="e">
        <f>AND('Yamazumi Data'!#REF!,"AAAAAG9+VRc=")</f>
        <v>#REF!</v>
      </c>
      <c r="Y28" t="e">
        <f>IF('Yamazumi Data'!#REF!,"AAAAAG9+VRg=",0)</f>
        <v>#REF!</v>
      </c>
      <c r="Z28" t="e">
        <f>AND('Yamazumi Data'!#REF!,"AAAAAG9+VRk=")</f>
        <v>#REF!</v>
      </c>
      <c r="AA28" t="e">
        <f>AND('Yamazumi Data'!#REF!,"AAAAAG9+VRo=")</f>
        <v>#REF!</v>
      </c>
      <c r="AB28" t="e">
        <f>AND('Yamazumi Data'!#REF!,"AAAAAG9+VRs=")</f>
        <v>#REF!</v>
      </c>
      <c r="AC28" t="e">
        <f>AND('Yamazumi Data'!#REF!,"AAAAAG9+VRw=")</f>
        <v>#REF!</v>
      </c>
      <c r="AD28" t="e">
        <f>AND('Yamazumi Data'!#REF!,"AAAAAG9+VR0=")</f>
        <v>#REF!</v>
      </c>
      <c r="AE28" t="e">
        <f>AND('Yamazumi Data'!#REF!,"AAAAAG9+VR4=")</f>
        <v>#REF!</v>
      </c>
      <c r="AF28" t="e">
        <f>AND('Yamazumi Data'!#REF!,"AAAAAG9+VR8=")</f>
        <v>#REF!</v>
      </c>
      <c r="AG28" t="e">
        <f>AND('Yamazumi Data'!#REF!,"AAAAAG9+VSA=")</f>
        <v>#REF!</v>
      </c>
      <c r="AH28" t="e">
        <f>AND('Yamazumi Data'!#REF!,"AAAAAG9+VSE=")</f>
        <v>#REF!</v>
      </c>
      <c r="AI28" t="e">
        <f>AND('Yamazumi Data'!#REF!,"AAAAAG9+VSI=")</f>
        <v>#REF!</v>
      </c>
      <c r="AJ28" t="e">
        <f>AND('Yamazumi Data'!#REF!,"AAAAAG9+VSM=")</f>
        <v>#REF!</v>
      </c>
      <c r="AK28" t="e">
        <f>AND('Yamazumi Data'!#REF!,"AAAAAG9+VSQ=")</f>
        <v>#REF!</v>
      </c>
      <c r="AL28" t="e">
        <f>AND('Yamazumi Data'!#REF!,"AAAAAG9+VSU=")</f>
        <v>#REF!</v>
      </c>
      <c r="AM28" t="e">
        <f>AND('Yamazumi Data'!#REF!,"AAAAAG9+VSY=")</f>
        <v>#REF!</v>
      </c>
      <c r="AN28" t="e">
        <f>AND('Yamazumi Data'!#REF!,"AAAAAG9+VSc=")</f>
        <v>#REF!</v>
      </c>
      <c r="AO28" t="e">
        <f>AND('Yamazumi Data'!#REF!,"AAAAAG9+VSg=")</f>
        <v>#REF!</v>
      </c>
      <c r="AP28" t="e">
        <f>AND('Yamazumi Data'!#REF!,"AAAAAG9+VSk=")</f>
        <v>#REF!</v>
      </c>
      <c r="AQ28" t="e">
        <f>AND('Yamazumi Data'!#REF!,"AAAAAG9+VSo=")</f>
        <v>#REF!</v>
      </c>
      <c r="AR28" t="e">
        <f>AND('Yamazumi Data'!#REF!,"AAAAAG9+VSs=")</f>
        <v>#REF!</v>
      </c>
      <c r="AS28" t="e">
        <f>AND('Yamazumi Data'!#REF!,"AAAAAG9+VSw=")</f>
        <v>#REF!</v>
      </c>
      <c r="AT28" t="e">
        <f>AND('Yamazumi Data'!#REF!,"AAAAAG9+VS0=")</f>
        <v>#REF!</v>
      </c>
      <c r="AU28" t="e">
        <f>AND('Yamazumi Data'!#REF!,"AAAAAG9+VS4=")</f>
        <v>#REF!</v>
      </c>
      <c r="AV28" t="e">
        <f>AND('Yamazumi Data'!#REF!,"AAAAAG9+VS8=")</f>
        <v>#REF!</v>
      </c>
      <c r="AW28" t="e">
        <f>AND('Yamazumi Data'!#REF!,"AAAAAG9+VTA=")</f>
        <v>#REF!</v>
      </c>
      <c r="AX28" t="e">
        <f>AND('Yamazumi Data'!#REF!,"AAAAAG9+VTE=")</f>
        <v>#REF!</v>
      </c>
      <c r="AY28" t="e">
        <f>AND('Yamazumi Data'!#REF!,"AAAAAG9+VTI=")</f>
        <v>#REF!</v>
      </c>
      <c r="AZ28" t="e">
        <f>AND('Yamazumi Data'!#REF!,"AAAAAG9+VTM=")</f>
        <v>#REF!</v>
      </c>
      <c r="BA28" t="e">
        <f>AND('Yamazumi Data'!#REF!,"AAAAAG9+VTQ=")</f>
        <v>#REF!</v>
      </c>
      <c r="BB28" t="e">
        <f>AND('Yamazumi Data'!#REF!,"AAAAAG9+VTU=")</f>
        <v>#REF!</v>
      </c>
      <c r="BC28" t="e">
        <f>AND('Yamazumi Data'!#REF!,"AAAAAG9+VTY=")</f>
        <v>#REF!</v>
      </c>
      <c r="BD28" t="e">
        <f>AND('Yamazumi Data'!#REF!,"AAAAAG9+VTc=")</f>
        <v>#REF!</v>
      </c>
      <c r="BE28" t="e">
        <f>AND('Yamazumi Data'!#REF!,"AAAAAG9+VTg=")</f>
        <v>#REF!</v>
      </c>
      <c r="BF28" t="e">
        <f>AND('Yamazumi Data'!#REF!,"AAAAAG9+VTk=")</f>
        <v>#REF!</v>
      </c>
      <c r="BG28" t="e">
        <f>AND('Yamazumi Data'!#REF!,"AAAAAG9+VTo=")</f>
        <v>#REF!</v>
      </c>
      <c r="BH28" t="e">
        <f>AND('Yamazumi Data'!#REF!,"AAAAAG9+VTs=")</f>
        <v>#REF!</v>
      </c>
      <c r="BI28" t="e">
        <f>AND('Yamazumi Data'!#REF!,"AAAAAG9+VTw=")</f>
        <v>#REF!</v>
      </c>
      <c r="BJ28" t="e">
        <f>AND('Yamazumi Data'!#REF!,"AAAAAG9+VT0=")</f>
        <v>#REF!</v>
      </c>
      <c r="BK28" t="e">
        <f>AND('Yamazumi Data'!#REF!,"AAAAAG9+VT4=")</f>
        <v>#REF!</v>
      </c>
      <c r="BL28" t="e">
        <f>AND('Yamazumi Data'!#REF!,"AAAAAG9+VT8=")</f>
        <v>#REF!</v>
      </c>
      <c r="BM28" t="e">
        <f>AND('Yamazumi Data'!#REF!,"AAAAAG9+VUA=")</f>
        <v>#REF!</v>
      </c>
      <c r="BN28" t="e">
        <f>IF('Yamazumi Data'!#REF!,"AAAAAG9+VUE=",0)</f>
        <v>#REF!</v>
      </c>
      <c r="BO28" t="e">
        <f>AND('Yamazumi Data'!#REF!,"AAAAAG9+VUI=")</f>
        <v>#REF!</v>
      </c>
      <c r="BP28" t="e">
        <f>AND('Yamazumi Data'!#REF!,"AAAAAG9+VUM=")</f>
        <v>#REF!</v>
      </c>
      <c r="BQ28" t="e">
        <f>AND('Yamazumi Data'!#REF!,"AAAAAG9+VUQ=")</f>
        <v>#REF!</v>
      </c>
      <c r="BR28" t="e">
        <f>AND('Yamazumi Data'!#REF!,"AAAAAG9+VUU=")</f>
        <v>#REF!</v>
      </c>
      <c r="BS28" t="e">
        <f>AND('Yamazumi Data'!#REF!,"AAAAAG9+VUY=")</f>
        <v>#REF!</v>
      </c>
      <c r="BT28" t="e">
        <f>AND('Yamazumi Data'!#REF!,"AAAAAG9+VUc=")</f>
        <v>#REF!</v>
      </c>
      <c r="BU28" t="e">
        <f>AND('Yamazumi Data'!#REF!,"AAAAAG9+VUg=")</f>
        <v>#REF!</v>
      </c>
      <c r="BV28" t="e">
        <f>AND('Yamazumi Data'!#REF!,"AAAAAG9+VUk=")</f>
        <v>#REF!</v>
      </c>
      <c r="BW28" t="e">
        <f>AND('Yamazumi Data'!#REF!,"AAAAAG9+VUo=")</f>
        <v>#REF!</v>
      </c>
      <c r="BX28" t="e">
        <f>AND('Yamazumi Data'!#REF!,"AAAAAG9+VUs=")</f>
        <v>#REF!</v>
      </c>
      <c r="BY28" t="e">
        <f>AND('Yamazumi Data'!#REF!,"AAAAAG9+VUw=")</f>
        <v>#REF!</v>
      </c>
      <c r="BZ28" t="e">
        <f>AND('Yamazumi Data'!#REF!,"AAAAAG9+VU0=")</f>
        <v>#REF!</v>
      </c>
      <c r="CA28" t="e">
        <f>AND('Yamazumi Data'!#REF!,"AAAAAG9+VU4=")</f>
        <v>#REF!</v>
      </c>
      <c r="CB28" t="e">
        <f>AND('Yamazumi Data'!#REF!,"AAAAAG9+VU8=")</f>
        <v>#REF!</v>
      </c>
      <c r="CC28" t="e">
        <f>AND('Yamazumi Data'!#REF!,"AAAAAG9+VVA=")</f>
        <v>#REF!</v>
      </c>
      <c r="CD28" t="e">
        <f>AND('Yamazumi Data'!#REF!,"AAAAAG9+VVE=")</f>
        <v>#REF!</v>
      </c>
      <c r="CE28" t="e">
        <f>AND('Yamazumi Data'!#REF!,"AAAAAG9+VVI=")</f>
        <v>#REF!</v>
      </c>
      <c r="CF28" t="e">
        <f>AND('Yamazumi Data'!#REF!,"AAAAAG9+VVM=")</f>
        <v>#REF!</v>
      </c>
      <c r="CG28" t="e">
        <f>AND('Yamazumi Data'!#REF!,"AAAAAG9+VVQ=")</f>
        <v>#REF!</v>
      </c>
      <c r="CH28" t="e">
        <f>AND('Yamazumi Data'!#REF!,"AAAAAG9+VVU=")</f>
        <v>#REF!</v>
      </c>
      <c r="CI28" t="e">
        <f>AND('Yamazumi Data'!#REF!,"AAAAAG9+VVY=")</f>
        <v>#REF!</v>
      </c>
      <c r="CJ28" t="e">
        <f>AND('Yamazumi Data'!#REF!,"AAAAAG9+VVc=")</f>
        <v>#REF!</v>
      </c>
      <c r="CK28" t="e">
        <f>AND('Yamazumi Data'!#REF!,"AAAAAG9+VVg=")</f>
        <v>#REF!</v>
      </c>
      <c r="CL28" t="e">
        <f>AND('Yamazumi Data'!#REF!,"AAAAAG9+VVk=")</f>
        <v>#REF!</v>
      </c>
      <c r="CM28" t="e">
        <f>AND('Yamazumi Data'!#REF!,"AAAAAG9+VVo=")</f>
        <v>#REF!</v>
      </c>
      <c r="CN28" t="e">
        <f>AND('Yamazumi Data'!#REF!,"AAAAAG9+VVs=")</f>
        <v>#REF!</v>
      </c>
      <c r="CO28" t="e">
        <f>AND('Yamazumi Data'!#REF!,"AAAAAG9+VVw=")</f>
        <v>#REF!</v>
      </c>
      <c r="CP28" t="e">
        <f>AND('Yamazumi Data'!#REF!,"AAAAAG9+VV0=")</f>
        <v>#REF!</v>
      </c>
      <c r="CQ28" t="e">
        <f>AND('Yamazumi Data'!#REF!,"AAAAAG9+VV4=")</f>
        <v>#REF!</v>
      </c>
      <c r="CR28" t="e">
        <f>AND('Yamazumi Data'!#REF!,"AAAAAG9+VV8=")</f>
        <v>#REF!</v>
      </c>
      <c r="CS28" t="e">
        <f>AND('Yamazumi Data'!#REF!,"AAAAAG9+VWA=")</f>
        <v>#REF!</v>
      </c>
      <c r="CT28" t="e">
        <f>AND('Yamazumi Data'!#REF!,"AAAAAG9+VWE=")</f>
        <v>#REF!</v>
      </c>
      <c r="CU28" t="e">
        <f>AND('Yamazumi Data'!#REF!,"AAAAAG9+VWI=")</f>
        <v>#REF!</v>
      </c>
      <c r="CV28" t="e">
        <f>AND('Yamazumi Data'!#REF!,"AAAAAG9+VWM=")</f>
        <v>#REF!</v>
      </c>
      <c r="CW28" t="e">
        <f>AND('Yamazumi Data'!#REF!,"AAAAAG9+VWQ=")</f>
        <v>#REF!</v>
      </c>
      <c r="CX28" t="e">
        <f>AND('Yamazumi Data'!#REF!,"AAAAAG9+VWU=")</f>
        <v>#REF!</v>
      </c>
      <c r="CY28" t="e">
        <f>AND('Yamazumi Data'!#REF!,"AAAAAG9+VWY=")</f>
        <v>#REF!</v>
      </c>
      <c r="CZ28" t="e">
        <f>AND('Yamazumi Data'!#REF!,"AAAAAG9+VWc=")</f>
        <v>#REF!</v>
      </c>
      <c r="DA28" t="e">
        <f>AND('Yamazumi Data'!#REF!,"AAAAAG9+VWg=")</f>
        <v>#REF!</v>
      </c>
      <c r="DB28" t="e">
        <f>AND('Yamazumi Data'!#REF!,"AAAAAG9+VWk=")</f>
        <v>#REF!</v>
      </c>
      <c r="DC28" t="e">
        <f>IF('Yamazumi Data'!#REF!,"AAAAAG9+VWo=",0)</f>
        <v>#REF!</v>
      </c>
      <c r="DD28" t="e">
        <f>AND('Yamazumi Data'!#REF!,"AAAAAG9+VWs=")</f>
        <v>#REF!</v>
      </c>
      <c r="DE28" t="e">
        <f>AND('Yamazumi Data'!#REF!,"AAAAAG9+VWw=")</f>
        <v>#REF!</v>
      </c>
      <c r="DF28" t="e">
        <f>AND('Yamazumi Data'!#REF!,"AAAAAG9+VW0=")</f>
        <v>#REF!</v>
      </c>
      <c r="DG28" t="e">
        <f>AND('Yamazumi Data'!#REF!,"AAAAAG9+VW4=")</f>
        <v>#REF!</v>
      </c>
      <c r="DH28" t="e">
        <f>AND('Yamazumi Data'!#REF!,"AAAAAG9+VW8=")</f>
        <v>#REF!</v>
      </c>
      <c r="DI28" t="e">
        <f>AND('Yamazumi Data'!#REF!,"AAAAAG9+VXA=")</f>
        <v>#REF!</v>
      </c>
      <c r="DJ28" t="e">
        <f>AND('Yamazumi Data'!#REF!,"AAAAAG9+VXE=")</f>
        <v>#REF!</v>
      </c>
      <c r="DK28" t="e">
        <f>AND('Yamazumi Data'!#REF!,"AAAAAG9+VXI=")</f>
        <v>#REF!</v>
      </c>
      <c r="DL28" t="e">
        <f>AND('Yamazumi Data'!#REF!,"AAAAAG9+VXM=")</f>
        <v>#REF!</v>
      </c>
      <c r="DM28" t="e">
        <f>AND('Yamazumi Data'!#REF!,"AAAAAG9+VXQ=")</f>
        <v>#REF!</v>
      </c>
      <c r="DN28" t="e">
        <f>AND('Yamazumi Data'!#REF!,"AAAAAG9+VXU=")</f>
        <v>#REF!</v>
      </c>
      <c r="DO28" t="e">
        <f>AND('Yamazumi Data'!#REF!,"AAAAAG9+VXY=")</f>
        <v>#REF!</v>
      </c>
      <c r="DP28" t="e">
        <f>AND('Yamazumi Data'!#REF!,"AAAAAG9+VXc=")</f>
        <v>#REF!</v>
      </c>
      <c r="DQ28" t="e">
        <f>AND('Yamazumi Data'!#REF!,"AAAAAG9+VXg=")</f>
        <v>#REF!</v>
      </c>
      <c r="DR28" t="e">
        <f>AND('Yamazumi Data'!#REF!,"AAAAAG9+VXk=")</f>
        <v>#REF!</v>
      </c>
      <c r="DS28" t="e">
        <f>AND('Yamazumi Data'!#REF!,"AAAAAG9+VXo=")</f>
        <v>#REF!</v>
      </c>
      <c r="DT28" t="e">
        <f>AND('Yamazumi Data'!#REF!,"AAAAAG9+VXs=")</f>
        <v>#REF!</v>
      </c>
      <c r="DU28" t="e">
        <f>AND('Yamazumi Data'!#REF!,"AAAAAG9+VXw=")</f>
        <v>#REF!</v>
      </c>
      <c r="DV28" t="e">
        <f>AND('Yamazumi Data'!#REF!,"AAAAAG9+VX0=")</f>
        <v>#REF!</v>
      </c>
      <c r="DW28" t="e">
        <f>AND('Yamazumi Data'!#REF!,"AAAAAG9+VX4=")</f>
        <v>#REF!</v>
      </c>
      <c r="DX28" t="e">
        <f>AND('Yamazumi Data'!#REF!,"AAAAAG9+VX8=")</f>
        <v>#REF!</v>
      </c>
      <c r="DY28" t="e">
        <f>AND('Yamazumi Data'!#REF!,"AAAAAG9+VYA=")</f>
        <v>#REF!</v>
      </c>
      <c r="DZ28" t="e">
        <f>AND('Yamazumi Data'!#REF!,"AAAAAG9+VYE=")</f>
        <v>#REF!</v>
      </c>
      <c r="EA28" t="e">
        <f>AND('Yamazumi Data'!#REF!,"AAAAAG9+VYI=")</f>
        <v>#REF!</v>
      </c>
      <c r="EB28" t="e">
        <f>AND('Yamazumi Data'!#REF!,"AAAAAG9+VYM=")</f>
        <v>#REF!</v>
      </c>
      <c r="EC28" t="e">
        <f>AND('Yamazumi Data'!#REF!,"AAAAAG9+VYQ=")</f>
        <v>#REF!</v>
      </c>
      <c r="ED28" t="e">
        <f>AND('Yamazumi Data'!#REF!,"AAAAAG9+VYU=")</f>
        <v>#REF!</v>
      </c>
      <c r="EE28" t="e">
        <f>AND('Yamazumi Data'!#REF!,"AAAAAG9+VYY=")</f>
        <v>#REF!</v>
      </c>
      <c r="EF28" t="e">
        <f>AND('Yamazumi Data'!#REF!,"AAAAAG9+VYc=")</f>
        <v>#REF!</v>
      </c>
      <c r="EG28" t="e">
        <f>AND('Yamazumi Data'!#REF!,"AAAAAG9+VYg=")</f>
        <v>#REF!</v>
      </c>
      <c r="EH28" t="e">
        <f>AND('Yamazumi Data'!#REF!,"AAAAAG9+VYk=")</f>
        <v>#REF!</v>
      </c>
      <c r="EI28" t="e">
        <f>AND('Yamazumi Data'!#REF!,"AAAAAG9+VYo=")</f>
        <v>#REF!</v>
      </c>
      <c r="EJ28" t="e">
        <f>AND('Yamazumi Data'!#REF!,"AAAAAG9+VYs=")</f>
        <v>#REF!</v>
      </c>
      <c r="EK28" t="e">
        <f>AND('Yamazumi Data'!#REF!,"AAAAAG9+VYw=")</f>
        <v>#REF!</v>
      </c>
      <c r="EL28" t="e">
        <f>AND('Yamazumi Data'!#REF!,"AAAAAG9+VY0=")</f>
        <v>#REF!</v>
      </c>
      <c r="EM28" t="e">
        <f>AND('Yamazumi Data'!#REF!,"AAAAAG9+VY4=")</f>
        <v>#REF!</v>
      </c>
      <c r="EN28" t="e">
        <f>AND('Yamazumi Data'!#REF!,"AAAAAG9+VY8=")</f>
        <v>#REF!</v>
      </c>
      <c r="EO28" t="e">
        <f>AND('Yamazumi Data'!#REF!,"AAAAAG9+VZA=")</f>
        <v>#REF!</v>
      </c>
      <c r="EP28" t="e">
        <f>AND('Yamazumi Data'!#REF!,"AAAAAG9+VZE=")</f>
        <v>#REF!</v>
      </c>
      <c r="EQ28" t="e">
        <f>AND('Yamazumi Data'!#REF!,"AAAAAG9+VZI=")</f>
        <v>#REF!</v>
      </c>
      <c r="ER28" t="e">
        <f>IF('Yamazumi Data'!#REF!,"AAAAAG9+VZM=",0)</f>
        <v>#REF!</v>
      </c>
      <c r="ES28" t="e">
        <f>AND('Yamazumi Data'!#REF!,"AAAAAG9+VZQ=")</f>
        <v>#REF!</v>
      </c>
      <c r="ET28" t="e">
        <f>AND('Yamazumi Data'!#REF!,"AAAAAG9+VZU=")</f>
        <v>#REF!</v>
      </c>
      <c r="EU28" t="e">
        <f>AND('Yamazumi Data'!#REF!,"AAAAAG9+VZY=")</f>
        <v>#REF!</v>
      </c>
      <c r="EV28" t="e">
        <f>AND('Yamazumi Data'!#REF!,"AAAAAG9+VZc=")</f>
        <v>#REF!</v>
      </c>
      <c r="EW28" t="e">
        <f>AND('Yamazumi Data'!#REF!,"AAAAAG9+VZg=")</f>
        <v>#REF!</v>
      </c>
      <c r="EX28" t="e">
        <f>AND('Yamazumi Data'!#REF!,"AAAAAG9+VZk=")</f>
        <v>#REF!</v>
      </c>
      <c r="EY28" t="e">
        <f>AND('Yamazumi Data'!#REF!,"AAAAAG9+VZo=")</f>
        <v>#REF!</v>
      </c>
      <c r="EZ28" t="e">
        <f>AND('Yamazumi Data'!#REF!,"AAAAAG9+VZs=")</f>
        <v>#REF!</v>
      </c>
      <c r="FA28" t="e">
        <f>AND('Yamazumi Data'!#REF!,"AAAAAG9+VZw=")</f>
        <v>#REF!</v>
      </c>
      <c r="FB28" t="e">
        <f>AND('Yamazumi Data'!#REF!,"AAAAAG9+VZ0=")</f>
        <v>#REF!</v>
      </c>
      <c r="FC28" t="e">
        <f>AND('Yamazumi Data'!#REF!,"AAAAAG9+VZ4=")</f>
        <v>#REF!</v>
      </c>
      <c r="FD28" t="e">
        <f>AND('Yamazumi Data'!#REF!,"AAAAAG9+VZ8=")</f>
        <v>#REF!</v>
      </c>
      <c r="FE28" t="e">
        <f>AND('Yamazumi Data'!#REF!,"AAAAAG9+VaA=")</f>
        <v>#REF!</v>
      </c>
      <c r="FF28" t="e">
        <f>AND('Yamazumi Data'!#REF!,"AAAAAG9+VaE=")</f>
        <v>#REF!</v>
      </c>
      <c r="FG28" t="e">
        <f>AND('Yamazumi Data'!#REF!,"AAAAAG9+VaI=")</f>
        <v>#REF!</v>
      </c>
      <c r="FH28" t="e">
        <f>AND('Yamazumi Data'!#REF!,"AAAAAG9+VaM=")</f>
        <v>#REF!</v>
      </c>
      <c r="FI28" t="e">
        <f>AND('Yamazumi Data'!#REF!,"AAAAAG9+VaQ=")</f>
        <v>#REF!</v>
      </c>
      <c r="FJ28" t="e">
        <f>AND('Yamazumi Data'!#REF!,"AAAAAG9+VaU=")</f>
        <v>#REF!</v>
      </c>
      <c r="FK28" t="e">
        <f>AND('Yamazumi Data'!#REF!,"AAAAAG9+VaY=")</f>
        <v>#REF!</v>
      </c>
      <c r="FL28" t="e">
        <f>AND('Yamazumi Data'!#REF!,"AAAAAG9+Vac=")</f>
        <v>#REF!</v>
      </c>
      <c r="FM28" t="e">
        <f>AND('Yamazumi Data'!#REF!,"AAAAAG9+Vag=")</f>
        <v>#REF!</v>
      </c>
      <c r="FN28" t="e">
        <f>AND('Yamazumi Data'!#REF!,"AAAAAG9+Vak=")</f>
        <v>#REF!</v>
      </c>
      <c r="FO28" t="e">
        <f>AND('Yamazumi Data'!#REF!,"AAAAAG9+Vao=")</f>
        <v>#REF!</v>
      </c>
      <c r="FP28" t="e">
        <f>AND('Yamazumi Data'!#REF!,"AAAAAG9+Vas=")</f>
        <v>#REF!</v>
      </c>
      <c r="FQ28" t="e">
        <f>AND('Yamazumi Data'!#REF!,"AAAAAG9+Vaw=")</f>
        <v>#REF!</v>
      </c>
      <c r="FR28" t="e">
        <f>AND('Yamazumi Data'!#REF!,"AAAAAG9+Va0=")</f>
        <v>#REF!</v>
      </c>
      <c r="FS28" t="e">
        <f>AND('Yamazumi Data'!#REF!,"AAAAAG9+Va4=")</f>
        <v>#REF!</v>
      </c>
      <c r="FT28" t="e">
        <f>AND('Yamazumi Data'!#REF!,"AAAAAG9+Va8=")</f>
        <v>#REF!</v>
      </c>
      <c r="FU28" t="e">
        <f>AND('Yamazumi Data'!#REF!,"AAAAAG9+VbA=")</f>
        <v>#REF!</v>
      </c>
      <c r="FV28" t="e">
        <f>AND('Yamazumi Data'!#REF!,"AAAAAG9+VbE=")</f>
        <v>#REF!</v>
      </c>
      <c r="FW28" t="e">
        <f>AND('Yamazumi Data'!#REF!,"AAAAAG9+VbI=")</f>
        <v>#REF!</v>
      </c>
      <c r="FX28" t="e">
        <f>AND('Yamazumi Data'!#REF!,"AAAAAG9+VbM=")</f>
        <v>#REF!</v>
      </c>
      <c r="FY28" t="e">
        <f>AND('Yamazumi Data'!#REF!,"AAAAAG9+VbQ=")</f>
        <v>#REF!</v>
      </c>
      <c r="FZ28" t="e">
        <f>AND('Yamazumi Data'!#REF!,"AAAAAG9+VbU=")</f>
        <v>#REF!</v>
      </c>
      <c r="GA28" t="e">
        <f>AND('Yamazumi Data'!#REF!,"AAAAAG9+VbY=")</f>
        <v>#REF!</v>
      </c>
      <c r="GB28" t="e">
        <f>AND('Yamazumi Data'!#REF!,"AAAAAG9+Vbc=")</f>
        <v>#REF!</v>
      </c>
      <c r="GC28" t="e">
        <f>AND('Yamazumi Data'!#REF!,"AAAAAG9+Vbg=")</f>
        <v>#REF!</v>
      </c>
      <c r="GD28" t="e">
        <f>AND('Yamazumi Data'!#REF!,"AAAAAG9+Vbk=")</f>
        <v>#REF!</v>
      </c>
      <c r="GE28" t="e">
        <f>AND('Yamazumi Data'!#REF!,"AAAAAG9+Vbo=")</f>
        <v>#REF!</v>
      </c>
      <c r="GF28" t="e">
        <f>AND('Yamazumi Data'!#REF!,"AAAAAG9+Vbs=")</f>
        <v>#REF!</v>
      </c>
      <c r="GG28" t="e">
        <f>IF('Yamazumi Data'!#REF!,"AAAAAG9+Vbw=",0)</f>
        <v>#REF!</v>
      </c>
      <c r="GH28" t="e">
        <f>AND('Yamazumi Data'!#REF!,"AAAAAG9+Vb0=")</f>
        <v>#REF!</v>
      </c>
      <c r="GI28" t="e">
        <f>AND('Yamazumi Data'!#REF!,"AAAAAG9+Vb4=")</f>
        <v>#REF!</v>
      </c>
      <c r="GJ28" t="e">
        <f>AND('Yamazumi Data'!#REF!,"AAAAAG9+Vb8=")</f>
        <v>#REF!</v>
      </c>
      <c r="GK28" t="e">
        <f>AND('Yamazumi Data'!#REF!,"AAAAAG9+VcA=")</f>
        <v>#REF!</v>
      </c>
      <c r="GL28" t="e">
        <f>AND('Yamazumi Data'!#REF!,"AAAAAG9+VcE=")</f>
        <v>#REF!</v>
      </c>
      <c r="GM28" t="e">
        <f>AND('Yamazumi Data'!#REF!,"AAAAAG9+VcI=")</f>
        <v>#REF!</v>
      </c>
      <c r="GN28" t="e">
        <f>AND('Yamazumi Data'!#REF!,"AAAAAG9+VcM=")</f>
        <v>#REF!</v>
      </c>
      <c r="GO28" t="e">
        <f>AND('Yamazumi Data'!#REF!,"AAAAAG9+VcQ=")</f>
        <v>#REF!</v>
      </c>
      <c r="GP28" t="e">
        <f>AND('Yamazumi Data'!#REF!,"AAAAAG9+VcU=")</f>
        <v>#REF!</v>
      </c>
      <c r="GQ28" t="e">
        <f>AND('Yamazumi Data'!#REF!,"AAAAAG9+VcY=")</f>
        <v>#REF!</v>
      </c>
      <c r="GR28" t="e">
        <f>AND('Yamazumi Data'!#REF!,"AAAAAG9+Vcc=")</f>
        <v>#REF!</v>
      </c>
      <c r="GS28" t="e">
        <f>AND('Yamazumi Data'!#REF!,"AAAAAG9+Vcg=")</f>
        <v>#REF!</v>
      </c>
      <c r="GT28" t="e">
        <f>AND('Yamazumi Data'!#REF!,"AAAAAG9+Vck=")</f>
        <v>#REF!</v>
      </c>
      <c r="GU28" t="e">
        <f>AND('Yamazumi Data'!#REF!,"AAAAAG9+Vco=")</f>
        <v>#REF!</v>
      </c>
      <c r="GV28" t="e">
        <f>AND('Yamazumi Data'!#REF!,"AAAAAG9+Vcs=")</f>
        <v>#REF!</v>
      </c>
      <c r="GW28" t="e">
        <f>AND('Yamazumi Data'!#REF!,"AAAAAG9+Vcw=")</f>
        <v>#REF!</v>
      </c>
      <c r="GX28" t="e">
        <f>AND('Yamazumi Data'!#REF!,"AAAAAG9+Vc0=")</f>
        <v>#REF!</v>
      </c>
      <c r="GY28" t="e">
        <f>AND('Yamazumi Data'!#REF!,"AAAAAG9+Vc4=")</f>
        <v>#REF!</v>
      </c>
      <c r="GZ28" t="e">
        <f>AND('Yamazumi Data'!#REF!,"AAAAAG9+Vc8=")</f>
        <v>#REF!</v>
      </c>
      <c r="HA28" t="e">
        <f>AND('Yamazumi Data'!#REF!,"AAAAAG9+VdA=")</f>
        <v>#REF!</v>
      </c>
      <c r="HB28" t="e">
        <f>AND('Yamazumi Data'!#REF!,"AAAAAG9+VdE=")</f>
        <v>#REF!</v>
      </c>
      <c r="HC28" t="e">
        <f>AND('Yamazumi Data'!#REF!,"AAAAAG9+VdI=")</f>
        <v>#REF!</v>
      </c>
      <c r="HD28" t="e">
        <f>AND('Yamazumi Data'!#REF!,"AAAAAG9+VdM=")</f>
        <v>#REF!</v>
      </c>
      <c r="HE28" t="e">
        <f>AND('Yamazumi Data'!#REF!,"AAAAAG9+VdQ=")</f>
        <v>#REF!</v>
      </c>
      <c r="HF28" t="e">
        <f>AND('Yamazumi Data'!#REF!,"AAAAAG9+VdU=")</f>
        <v>#REF!</v>
      </c>
      <c r="HG28" t="e">
        <f>AND('Yamazumi Data'!#REF!,"AAAAAG9+VdY=")</f>
        <v>#REF!</v>
      </c>
      <c r="HH28" t="e">
        <f>AND('Yamazumi Data'!#REF!,"AAAAAG9+Vdc=")</f>
        <v>#REF!</v>
      </c>
      <c r="HI28" t="e">
        <f>AND('Yamazumi Data'!#REF!,"AAAAAG9+Vdg=")</f>
        <v>#REF!</v>
      </c>
      <c r="HJ28" t="e">
        <f>AND('Yamazumi Data'!#REF!,"AAAAAG9+Vdk=")</f>
        <v>#REF!</v>
      </c>
      <c r="HK28" t="e">
        <f>AND('Yamazumi Data'!#REF!,"AAAAAG9+Vdo=")</f>
        <v>#REF!</v>
      </c>
      <c r="HL28" t="e">
        <f>AND('Yamazumi Data'!#REF!,"AAAAAG9+Vds=")</f>
        <v>#REF!</v>
      </c>
      <c r="HM28" t="e">
        <f>AND('Yamazumi Data'!#REF!,"AAAAAG9+Vdw=")</f>
        <v>#REF!</v>
      </c>
      <c r="HN28" t="e">
        <f>AND('Yamazumi Data'!#REF!,"AAAAAG9+Vd0=")</f>
        <v>#REF!</v>
      </c>
      <c r="HO28" t="e">
        <f>AND('Yamazumi Data'!#REF!,"AAAAAG9+Vd4=")</f>
        <v>#REF!</v>
      </c>
      <c r="HP28" t="e">
        <f>AND('Yamazumi Data'!#REF!,"AAAAAG9+Vd8=")</f>
        <v>#REF!</v>
      </c>
      <c r="HQ28" t="e">
        <f>AND('Yamazumi Data'!#REF!,"AAAAAG9+VeA=")</f>
        <v>#REF!</v>
      </c>
      <c r="HR28" t="e">
        <f>AND('Yamazumi Data'!#REF!,"AAAAAG9+VeE=")</f>
        <v>#REF!</v>
      </c>
      <c r="HS28" t="e">
        <f>AND('Yamazumi Data'!#REF!,"AAAAAG9+VeI=")</f>
        <v>#REF!</v>
      </c>
      <c r="HT28" t="e">
        <f>AND('Yamazumi Data'!#REF!,"AAAAAG9+VeM=")</f>
        <v>#REF!</v>
      </c>
      <c r="HU28" t="e">
        <f>AND('Yamazumi Data'!#REF!,"AAAAAG9+VeQ=")</f>
        <v>#REF!</v>
      </c>
      <c r="HV28" t="e">
        <f>IF('Yamazumi Data'!#REF!,"AAAAAG9+VeU=",0)</f>
        <v>#REF!</v>
      </c>
      <c r="HW28" t="e">
        <f>AND('Yamazumi Data'!#REF!,"AAAAAG9+VeY=")</f>
        <v>#REF!</v>
      </c>
      <c r="HX28" t="e">
        <f>AND('Yamazumi Data'!#REF!,"AAAAAG9+Vec=")</f>
        <v>#REF!</v>
      </c>
      <c r="HY28" t="e">
        <f>AND('Yamazumi Data'!#REF!,"AAAAAG9+Veg=")</f>
        <v>#REF!</v>
      </c>
      <c r="HZ28" t="e">
        <f>AND('Yamazumi Data'!#REF!,"AAAAAG9+Vek=")</f>
        <v>#REF!</v>
      </c>
      <c r="IA28" t="e">
        <f>AND('Yamazumi Data'!#REF!,"AAAAAG9+Veo=")</f>
        <v>#REF!</v>
      </c>
      <c r="IB28" t="e">
        <f>AND('Yamazumi Data'!#REF!,"AAAAAG9+Ves=")</f>
        <v>#REF!</v>
      </c>
      <c r="IC28" t="e">
        <f>AND('Yamazumi Data'!#REF!,"AAAAAG9+Vew=")</f>
        <v>#REF!</v>
      </c>
      <c r="ID28" t="e">
        <f>AND('Yamazumi Data'!#REF!,"AAAAAG9+Ve0=")</f>
        <v>#REF!</v>
      </c>
      <c r="IE28" t="e">
        <f>AND('Yamazumi Data'!#REF!,"AAAAAG9+Ve4=")</f>
        <v>#REF!</v>
      </c>
      <c r="IF28" t="e">
        <f>AND('Yamazumi Data'!#REF!,"AAAAAG9+Ve8=")</f>
        <v>#REF!</v>
      </c>
      <c r="IG28" t="e">
        <f>AND('Yamazumi Data'!#REF!,"AAAAAG9+VfA=")</f>
        <v>#REF!</v>
      </c>
      <c r="IH28" t="e">
        <f>AND('Yamazumi Data'!#REF!,"AAAAAG9+VfE=")</f>
        <v>#REF!</v>
      </c>
      <c r="II28" t="e">
        <f>AND('Yamazumi Data'!#REF!,"AAAAAG9+VfI=")</f>
        <v>#REF!</v>
      </c>
      <c r="IJ28" t="e">
        <f>AND('Yamazumi Data'!#REF!,"AAAAAG9+VfM=")</f>
        <v>#REF!</v>
      </c>
      <c r="IK28" t="e">
        <f>AND('Yamazumi Data'!#REF!,"AAAAAG9+VfQ=")</f>
        <v>#REF!</v>
      </c>
      <c r="IL28" t="e">
        <f>AND('Yamazumi Data'!#REF!,"AAAAAG9+VfU=")</f>
        <v>#REF!</v>
      </c>
      <c r="IM28" t="e">
        <f>AND('Yamazumi Data'!#REF!,"AAAAAG9+VfY=")</f>
        <v>#REF!</v>
      </c>
      <c r="IN28" t="e">
        <f>AND('Yamazumi Data'!#REF!,"AAAAAG9+Vfc=")</f>
        <v>#REF!</v>
      </c>
      <c r="IO28" t="e">
        <f>AND('Yamazumi Data'!#REF!,"AAAAAG9+Vfg=")</f>
        <v>#REF!</v>
      </c>
      <c r="IP28" t="e">
        <f>AND('Yamazumi Data'!#REF!,"AAAAAG9+Vfk=")</f>
        <v>#REF!</v>
      </c>
      <c r="IQ28" t="e">
        <f>AND('Yamazumi Data'!#REF!,"AAAAAG9+Vfo=")</f>
        <v>#REF!</v>
      </c>
      <c r="IR28" t="e">
        <f>AND('Yamazumi Data'!#REF!,"AAAAAG9+Vfs=")</f>
        <v>#REF!</v>
      </c>
      <c r="IS28" t="e">
        <f>AND('Yamazumi Data'!#REF!,"AAAAAG9+Vfw=")</f>
        <v>#REF!</v>
      </c>
      <c r="IT28" t="e">
        <f>AND('Yamazumi Data'!#REF!,"AAAAAG9+Vf0=")</f>
        <v>#REF!</v>
      </c>
      <c r="IU28" t="e">
        <f>AND('Yamazumi Data'!#REF!,"AAAAAG9+Vf4=")</f>
        <v>#REF!</v>
      </c>
      <c r="IV28" t="e">
        <f>AND('Yamazumi Data'!#REF!,"AAAAAG9+Vf8=")</f>
        <v>#REF!</v>
      </c>
    </row>
    <row r="29" spans="1:256" ht="14.45" x14ac:dyDescent="0.3">
      <c r="A29" t="e">
        <f>AND('Yamazumi Data'!#REF!,"AAAAAH7//wA=")</f>
        <v>#REF!</v>
      </c>
      <c r="B29" t="e">
        <f>AND('Yamazumi Data'!#REF!,"AAAAAH7//wE=")</f>
        <v>#REF!</v>
      </c>
      <c r="C29" t="e">
        <f>AND('Yamazumi Data'!#REF!,"AAAAAH7//wI=")</f>
        <v>#REF!</v>
      </c>
      <c r="D29" t="e">
        <f>AND('Yamazumi Data'!#REF!,"AAAAAH7//wM=")</f>
        <v>#REF!</v>
      </c>
      <c r="E29" t="e">
        <f>AND('Yamazumi Data'!#REF!,"AAAAAH7//wQ=")</f>
        <v>#REF!</v>
      </c>
      <c r="F29" t="e">
        <f>AND('Yamazumi Data'!#REF!,"AAAAAH7//wU=")</f>
        <v>#REF!</v>
      </c>
      <c r="G29" t="e">
        <f>AND('Yamazumi Data'!#REF!,"AAAAAH7//wY=")</f>
        <v>#REF!</v>
      </c>
      <c r="H29" t="e">
        <f>AND('Yamazumi Data'!#REF!,"AAAAAH7//wc=")</f>
        <v>#REF!</v>
      </c>
      <c r="I29" t="e">
        <f>AND('Yamazumi Data'!#REF!,"AAAAAH7//wg=")</f>
        <v>#REF!</v>
      </c>
      <c r="J29" t="e">
        <f>AND('Yamazumi Data'!#REF!,"AAAAAH7//wk=")</f>
        <v>#REF!</v>
      </c>
      <c r="K29" t="e">
        <f>AND('Yamazumi Data'!#REF!,"AAAAAH7//wo=")</f>
        <v>#REF!</v>
      </c>
      <c r="L29" t="e">
        <f>AND('Yamazumi Data'!#REF!,"AAAAAH7//ws=")</f>
        <v>#REF!</v>
      </c>
      <c r="M29" t="e">
        <f>AND('Yamazumi Data'!#REF!,"AAAAAH7//ww=")</f>
        <v>#REF!</v>
      </c>
      <c r="N29" t="e">
        <f>AND('Yamazumi Data'!#REF!,"AAAAAH7//w0=")</f>
        <v>#REF!</v>
      </c>
      <c r="O29" t="e">
        <f>IF('Yamazumi Data'!#REF!,"AAAAAH7//w4=",0)</f>
        <v>#REF!</v>
      </c>
      <c r="P29" t="e">
        <f>AND('Yamazumi Data'!#REF!,"AAAAAH7//w8=")</f>
        <v>#REF!</v>
      </c>
      <c r="Q29" t="e">
        <f>AND('Yamazumi Data'!#REF!,"AAAAAH7//xA=")</f>
        <v>#REF!</v>
      </c>
      <c r="R29" t="e">
        <f>AND('Yamazumi Data'!#REF!,"AAAAAH7//xE=")</f>
        <v>#REF!</v>
      </c>
      <c r="S29" t="e">
        <f>AND('Yamazumi Data'!#REF!,"AAAAAH7//xI=")</f>
        <v>#REF!</v>
      </c>
      <c r="T29" t="e">
        <f>AND('Yamazumi Data'!#REF!,"AAAAAH7//xM=")</f>
        <v>#REF!</v>
      </c>
      <c r="U29" t="e">
        <f>AND('Yamazumi Data'!#REF!,"AAAAAH7//xQ=")</f>
        <v>#REF!</v>
      </c>
      <c r="V29" t="e">
        <f>AND('Yamazumi Data'!#REF!,"AAAAAH7//xU=")</f>
        <v>#REF!</v>
      </c>
      <c r="W29" t="e">
        <f>AND('Yamazumi Data'!#REF!,"AAAAAH7//xY=")</f>
        <v>#REF!</v>
      </c>
      <c r="X29" t="e">
        <f>AND('Yamazumi Data'!#REF!,"AAAAAH7//xc=")</f>
        <v>#REF!</v>
      </c>
      <c r="Y29" t="e">
        <f>AND('Yamazumi Data'!#REF!,"AAAAAH7//xg=")</f>
        <v>#REF!</v>
      </c>
      <c r="Z29" t="e">
        <f>AND('Yamazumi Data'!#REF!,"AAAAAH7//xk=")</f>
        <v>#REF!</v>
      </c>
      <c r="AA29" t="e">
        <f>AND('Yamazumi Data'!#REF!,"AAAAAH7//xo=")</f>
        <v>#REF!</v>
      </c>
      <c r="AB29" t="e">
        <f>AND('Yamazumi Data'!#REF!,"AAAAAH7//xs=")</f>
        <v>#REF!</v>
      </c>
      <c r="AC29" t="e">
        <f>AND('Yamazumi Data'!#REF!,"AAAAAH7//xw=")</f>
        <v>#REF!</v>
      </c>
      <c r="AD29" t="e">
        <f>AND('Yamazumi Data'!#REF!,"AAAAAH7//x0=")</f>
        <v>#REF!</v>
      </c>
      <c r="AE29" t="e">
        <f>AND('Yamazumi Data'!#REF!,"AAAAAH7//x4=")</f>
        <v>#REF!</v>
      </c>
      <c r="AF29" t="e">
        <f>AND('Yamazumi Data'!#REF!,"AAAAAH7//x8=")</f>
        <v>#REF!</v>
      </c>
      <c r="AG29" t="e">
        <f>AND('Yamazumi Data'!#REF!,"AAAAAH7//yA=")</f>
        <v>#REF!</v>
      </c>
      <c r="AH29" t="e">
        <f>AND('Yamazumi Data'!#REF!,"AAAAAH7//yE=")</f>
        <v>#REF!</v>
      </c>
      <c r="AI29" t="e">
        <f>AND('Yamazumi Data'!#REF!,"AAAAAH7//yI=")</f>
        <v>#REF!</v>
      </c>
      <c r="AJ29" t="e">
        <f>AND('Yamazumi Data'!#REF!,"AAAAAH7//yM=")</f>
        <v>#REF!</v>
      </c>
      <c r="AK29" t="e">
        <f>AND('Yamazumi Data'!#REF!,"AAAAAH7//yQ=")</f>
        <v>#REF!</v>
      </c>
      <c r="AL29" t="e">
        <f>AND('Yamazumi Data'!#REF!,"AAAAAH7//yU=")</f>
        <v>#REF!</v>
      </c>
      <c r="AM29" t="e">
        <f>AND('Yamazumi Data'!#REF!,"AAAAAH7//yY=")</f>
        <v>#REF!</v>
      </c>
      <c r="AN29" t="e">
        <f>AND('Yamazumi Data'!#REF!,"AAAAAH7//yc=")</f>
        <v>#REF!</v>
      </c>
      <c r="AO29" t="e">
        <f>AND('Yamazumi Data'!#REF!,"AAAAAH7//yg=")</f>
        <v>#REF!</v>
      </c>
      <c r="AP29" t="e">
        <f>AND('Yamazumi Data'!#REF!,"AAAAAH7//yk=")</f>
        <v>#REF!</v>
      </c>
      <c r="AQ29" t="e">
        <f>AND('Yamazumi Data'!#REF!,"AAAAAH7//yo=")</f>
        <v>#REF!</v>
      </c>
      <c r="AR29" t="e">
        <f>AND('Yamazumi Data'!#REF!,"AAAAAH7//ys=")</f>
        <v>#REF!</v>
      </c>
      <c r="AS29" t="e">
        <f>AND('Yamazumi Data'!#REF!,"AAAAAH7//yw=")</f>
        <v>#REF!</v>
      </c>
      <c r="AT29" t="e">
        <f>AND('Yamazumi Data'!#REF!,"AAAAAH7//y0=")</f>
        <v>#REF!</v>
      </c>
      <c r="AU29" t="e">
        <f>AND('Yamazumi Data'!#REF!,"AAAAAH7//y4=")</f>
        <v>#REF!</v>
      </c>
      <c r="AV29" t="e">
        <f>AND('Yamazumi Data'!#REF!,"AAAAAH7//y8=")</f>
        <v>#REF!</v>
      </c>
      <c r="AW29" t="e">
        <f>AND('Yamazumi Data'!#REF!,"AAAAAH7//zA=")</f>
        <v>#REF!</v>
      </c>
      <c r="AX29" t="e">
        <f>AND('Yamazumi Data'!#REF!,"AAAAAH7//zE=")</f>
        <v>#REF!</v>
      </c>
      <c r="AY29" t="e">
        <f>AND('Yamazumi Data'!#REF!,"AAAAAH7//zI=")</f>
        <v>#REF!</v>
      </c>
      <c r="AZ29" t="e">
        <f>AND('Yamazumi Data'!#REF!,"AAAAAH7//zM=")</f>
        <v>#REF!</v>
      </c>
      <c r="BA29" t="e">
        <f>AND('Yamazumi Data'!#REF!,"AAAAAH7//zQ=")</f>
        <v>#REF!</v>
      </c>
      <c r="BB29" t="e">
        <f>AND('Yamazumi Data'!#REF!,"AAAAAH7//zU=")</f>
        <v>#REF!</v>
      </c>
      <c r="BC29" t="e">
        <f>AND('Yamazumi Data'!#REF!,"AAAAAH7//zY=")</f>
        <v>#REF!</v>
      </c>
      <c r="BD29" t="e">
        <f>IF('Yamazumi Data'!#REF!,"AAAAAH7//zc=",0)</f>
        <v>#REF!</v>
      </c>
      <c r="BE29" t="e">
        <f>AND('Yamazumi Data'!#REF!,"AAAAAH7//zg=")</f>
        <v>#REF!</v>
      </c>
      <c r="BF29" t="e">
        <f>AND('Yamazumi Data'!#REF!,"AAAAAH7//zk=")</f>
        <v>#REF!</v>
      </c>
      <c r="BG29" t="e">
        <f>AND('Yamazumi Data'!#REF!,"AAAAAH7//zo=")</f>
        <v>#REF!</v>
      </c>
      <c r="BH29" t="e">
        <f>AND('Yamazumi Data'!#REF!,"AAAAAH7//zs=")</f>
        <v>#REF!</v>
      </c>
      <c r="BI29" t="e">
        <f>AND('Yamazumi Data'!#REF!,"AAAAAH7//zw=")</f>
        <v>#REF!</v>
      </c>
      <c r="BJ29" t="e">
        <f>AND('Yamazumi Data'!#REF!,"AAAAAH7//z0=")</f>
        <v>#REF!</v>
      </c>
      <c r="BK29" t="e">
        <f>AND('Yamazumi Data'!#REF!,"AAAAAH7//z4=")</f>
        <v>#REF!</v>
      </c>
      <c r="BL29" t="e">
        <f>AND('Yamazumi Data'!#REF!,"AAAAAH7//z8=")</f>
        <v>#REF!</v>
      </c>
      <c r="BM29" t="e">
        <f>AND('Yamazumi Data'!#REF!,"AAAAAH7//0A=")</f>
        <v>#REF!</v>
      </c>
      <c r="BN29" t="e">
        <f>AND('Yamazumi Data'!#REF!,"AAAAAH7//0E=")</f>
        <v>#REF!</v>
      </c>
      <c r="BO29" t="e">
        <f>AND('Yamazumi Data'!#REF!,"AAAAAH7//0I=")</f>
        <v>#REF!</v>
      </c>
      <c r="BP29" t="e">
        <f>AND('Yamazumi Data'!#REF!,"AAAAAH7//0M=")</f>
        <v>#REF!</v>
      </c>
      <c r="BQ29" t="e">
        <f>AND('Yamazumi Data'!#REF!,"AAAAAH7//0Q=")</f>
        <v>#REF!</v>
      </c>
      <c r="BR29" t="e">
        <f>AND('Yamazumi Data'!#REF!,"AAAAAH7//0U=")</f>
        <v>#REF!</v>
      </c>
      <c r="BS29" t="e">
        <f>AND('Yamazumi Data'!#REF!,"AAAAAH7//0Y=")</f>
        <v>#REF!</v>
      </c>
      <c r="BT29" t="e">
        <f>AND('Yamazumi Data'!#REF!,"AAAAAH7//0c=")</f>
        <v>#REF!</v>
      </c>
      <c r="BU29" t="e">
        <f>AND('Yamazumi Data'!#REF!,"AAAAAH7//0g=")</f>
        <v>#REF!</v>
      </c>
      <c r="BV29" t="e">
        <f>AND('Yamazumi Data'!#REF!,"AAAAAH7//0k=")</f>
        <v>#REF!</v>
      </c>
      <c r="BW29" t="e">
        <f>AND('Yamazumi Data'!#REF!,"AAAAAH7//0o=")</f>
        <v>#REF!</v>
      </c>
      <c r="BX29" t="e">
        <f>AND('Yamazumi Data'!#REF!,"AAAAAH7//0s=")</f>
        <v>#REF!</v>
      </c>
      <c r="BY29" t="e">
        <f>AND('Yamazumi Data'!#REF!,"AAAAAH7//0w=")</f>
        <v>#REF!</v>
      </c>
      <c r="BZ29" t="e">
        <f>AND('Yamazumi Data'!#REF!,"AAAAAH7//00=")</f>
        <v>#REF!</v>
      </c>
      <c r="CA29" t="e">
        <f>AND('Yamazumi Data'!#REF!,"AAAAAH7//04=")</f>
        <v>#REF!</v>
      </c>
      <c r="CB29" t="e">
        <f>AND('Yamazumi Data'!#REF!,"AAAAAH7//08=")</f>
        <v>#REF!</v>
      </c>
      <c r="CC29" t="e">
        <f>AND('Yamazumi Data'!#REF!,"AAAAAH7//1A=")</f>
        <v>#REF!</v>
      </c>
      <c r="CD29" t="e">
        <f>AND('Yamazumi Data'!#REF!,"AAAAAH7//1E=")</f>
        <v>#REF!</v>
      </c>
      <c r="CE29" t="e">
        <f>AND('Yamazumi Data'!#REF!,"AAAAAH7//1I=")</f>
        <v>#REF!</v>
      </c>
      <c r="CF29" t="e">
        <f>AND('Yamazumi Data'!#REF!,"AAAAAH7//1M=")</f>
        <v>#REF!</v>
      </c>
      <c r="CG29" t="e">
        <f>AND('Yamazumi Data'!#REF!,"AAAAAH7//1Q=")</f>
        <v>#REF!</v>
      </c>
      <c r="CH29" t="e">
        <f>AND('Yamazumi Data'!#REF!,"AAAAAH7//1U=")</f>
        <v>#REF!</v>
      </c>
      <c r="CI29" t="e">
        <f>AND('Yamazumi Data'!#REF!,"AAAAAH7//1Y=")</f>
        <v>#REF!</v>
      </c>
      <c r="CJ29" t="e">
        <f>AND('Yamazumi Data'!#REF!,"AAAAAH7//1c=")</f>
        <v>#REF!</v>
      </c>
      <c r="CK29" t="e">
        <f>AND('Yamazumi Data'!#REF!,"AAAAAH7//1g=")</f>
        <v>#REF!</v>
      </c>
      <c r="CL29" t="e">
        <f>AND('Yamazumi Data'!#REF!,"AAAAAH7//1k=")</f>
        <v>#REF!</v>
      </c>
      <c r="CM29" t="e">
        <f>AND('Yamazumi Data'!#REF!,"AAAAAH7//1o=")</f>
        <v>#REF!</v>
      </c>
      <c r="CN29" t="e">
        <f>AND('Yamazumi Data'!#REF!,"AAAAAH7//1s=")</f>
        <v>#REF!</v>
      </c>
      <c r="CO29" t="e">
        <f>AND('Yamazumi Data'!#REF!,"AAAAAH7//1w=")</f>
        <v>#REF!</v>
      </c>
      <c r="CP29" t="e">
        <f>AND('Yamazumi Data'!#REF!,"AAAAAH7//10=")</f>
        <v>#REF!</v>
      </c>
      <c r="CQ29" t="e">
        <f>AND('Yamazumi Data'!#REF!,"AAAAAH7//14=")</f>
        <v>#REF!</v>
      </c>
      <c r="CR29" t="e">
        <f>AND('Yamazumi Data'!#REF!,"AAAAAH7//18=")</f>
        <v>#REF!</v>
      </c>
      <c r="CS29" t="e">
        <f>IF('Yamazumi Data'!#REF!,"AAAAAH7//2A=",0)</f>
        <v>#REF!</v>
      </c>
      <c r="CT29" t="e">
        <f>AND('Yamazumi Data'!#REF!,"AAAAAH7//2E=")</f>
        <v>#REF!</v>
      </c>
      <c r="CU29" t="e">
        <f>AND('Yamazumi Data'!#REF!,"AAAAAH7//2I=")</f>
        <v>#REF!</v>
      </c>
      <c r="CV29" t="e">
        <f>AND('Yamazumi Data'!#REF!,"AAAAAH7//2M=")</f>
        <v>#REF!</v>
      </c>
      <c r="CW29" t="e">
        <f>AND('Yamazumi Data'!#REF!,"AAAAAH7//2Q=")</f>
        <v>#REF!</v>
      </c>
      <c r="CX29" t="e">
        <f>AND('Yamazumi Data'!#REF!,"AAAAAH7//2U=")</f>
        <v>#REF!</v>
      </c>
      <c r="CY29" t="e">
        <f>AND('Yamazumi Data'!#REF!,"AAAAAH7//2Y=")</f>
        <v>#REF!</v>
      </c>
      <c r="CZ29" t="e">
        <f>AND('Yamazumi Data'!#REF!,"AAAAAH7//2c=")</f>
        <v>#REF!</v>
      </c>
      <c r="DA29" t="e">
        <f>AND('Yamazumi Data'!#REF!,"AAAAAH7//2g=")</f>
        <v>#REF!</v>
      </c>
      <c r="DB29" t="e">
        <f>AND('Yamazumi Data'!#REF!,"AAAAAH7//2k=")</f>
        <v>#REF!</v>
      </c>
      <c r="DC29" t="e">
        <f>AND('Yamazumi Data'!#REF!,"AAAAAH7//2o=")</f>
        <v>#REF!</v>
      </c>
      <c r="DD29" t="e">
        <f>AND('Yamazumi Data'!#REF!,"AAAAAH7//2s=")</f>
        <v>#REF!</v>
      </c>
      <c r="DE29" t="e">
        <f>AND('Yamazumi Data'!#REF!,"AAAAAH7//2w=")</f>
        <v>#REF!</v>
      </c>
      <c r="DF29" t="e">
        <f>AND('Yamazumi Data'!#REF!,"AAAAAH7//20=")</f>
        <v>#REF!</v>
      </c>
      <c r="DG29" t="e">
        <f>AND('Yamazumi Data'!#REF!,"AAAAAH7//24=")</f>
        <v>#REF!</v>
      </c>
      <c r="DH29" t="e">
        <f>AND('Yamazumi Data'!#REF!,"AAAAAH7//28=")</f>
        <v>#REF!</v>
      </c>
      <c r="DI29" t="e">
        <f>AND('Yamazumi Data'!#REF!,"AAAAAH7//3A=")</f>
        <v>#REF!</v>
      </c>
      <c r="DJ29" t="e">
        <f>AND('Yamazumi Data'!#REF!,"AAAAAH7//3E=")</f>
        <v>#REF!</v>
      </c>
      <c r="DK29" t="e">
        <f>AND('Yamazumi Data'!#REF!,"AAAAAH7//3I=")</f>
        <v>#REF!</v>
      </c>
      <c r="DL29" t="e">
        <f>AND('Yamazumi Data'!#REF!,"AAAAAH7//3M=")</f>
        <v>#REF!</v>
      </c>
      <c r="DM29" t="e">
        <f>AND('Yamazumi Data'!#REF!,"AAAAAH7//3Q=")</f>
        <v>#REF!</v>
      </c>
      <c r="DN29" t="e">
        <f>AND('Yamazumi Data'!#REF!,"AAAAAH7//3U=")</f>
        <v>#REF!</v>
      </c>
      <c r="DO29" t="e">
        <f>AND('Yamazumi Data'!#REF!,"AAAAAH7//3Y=")</f>
        <v>#REF!</v>
      </c>
      <c r="DP29" t="e">
        <f>AND('Yamazumi Data'!#REF!,"AAAAAH7//3c=")</f>
        <v>#REF!</v>
      </c>
      <c r="DQ29" t="e">
        <f>AND('Yamazumi Data'!#REF!,"AAAAAH7//3g=")</f>
        <v>#REF!</v>
      </c>
      <c r="DR29" t="e">
        <f>AND('Yamazumi Data'!#REF!,"AAAAAH7//3k=")</f>
        <v>#REF!</v>
      </c>
      <c r="DS29" t="e">
        <f>AND('Yamazumi Data'!#REF!,"AAAAAH7//3o=")</f>
        <v>#REF!</v>
      </c>
      <c r="DT29" t="e">
        <f>AND('Yamazumi Data'!#REF!,"AAAAAH7//3s=")</f>
        <v>#REF!</v>
      </c>
      <c r="DU29" t="e">
        <f>AND('Yamazumi Data'!#REF!,"AAAAAH7//3w=")</f>
        <v>#REF!</v>
      </c>
      <c r="DV29" t="e">
        <f>AND('Yamazumi Data'!#REF!,"AAAAAH7//30=")</f>
        <v>#REF!</v>
      </c>
      <c r="DW29" t="e">
        <f>AND('Yamazumi Data'!#REF!,"AAAAAH7//34=")</f>
        <v>#REF!</v>
      </c>
      <c r="DX29" t="e">
        <f>AND('Yamazumi Data'!#REF!,"AAAAAH7//38=")</f>
        <v>#REF!</v>
      </c>
      <c r="DY29" t="e">
        <f>AND('Yamazumi Data'!#REF!,"AAAAAH7//4A=")</f>
        <v>#REF!</v>
      </c>
      <c r="DZ29" t="e">
        <f>AND('Yamazumi Data'!#REF!,"AAAAAH7//4E=")</f>
        <v>#REF!</v>
      </c>
      <c r="EA29" t="e">
        <f>AND('Yamazumi Data'!#REF!,"AAAAAH7//4I=")</f>
        <v>#REF!</v>
      </c>
      <c r="EB29" t="e">
        <f>AND('Yamazumi Data'!#REF!,"AAAAAH7//4M=")</f>
        <v>#REF!</v>
      </c>
      <c r="EC29" t="e">
        <f>AND('Yamazumi Data'!#REF!,"AAAAAH7//4Q=")</f>
        <v>#REF!</v>
      </c>
      <c r="ED29" t="e">
        <f>AND('Yamazumi Data'!#REF!,"AAAAAH7//4U=")</f>
        <v>#REF!</v>
      </c>
      <c r="EE29" t="e">
        <f>AND('Yamazumi Data'!#REF!,"AAAAAH7//4Y=")</f>
        <v>#REF!</v>
      </c>
      <c r="EF29" t="e">
        <f>AND('Yamazumi Data'!#REF!,"AAAAAH7//4c=")</f>
        <v>#REF!</v>
      </c>
      <c r="EG29" t="e">
        <f>AND('Yamazumi Data'!#REF!,"AAAAAH7//4g=")</f>
        <v>#REF!</v>
      </c>
      <c r="EH29" t="e">
        <f>IF('Yamazumi Data'!#REF!,"AAAAAH7//4k=",0)</f>
        <v>#REF!</v>
      </c>
      <c r="EI29" t="e">
        <f>AND('Yamazumi Data'!#REF!,"AAAAAH7//4o=")</f>
        <v>#REF!</v>
      </c>
      <c r="EJ29" t="e">
        <f>AND('Yamazumi Data'!#REF!,"AAAAAH7//4s=")</f>
        <v>#REF!</v>
      </c>
      <c r="EK29" t="e">
        <f>AND('Yamazumi Data'!#REF!,"AAAAAH7//4w=")</f>
        <v>#REF!</v>
      </c>
      <c r="EL29" t="e">
        <f>AND('Yamazumi Data'!#REF!,"AAAAAH7//40=")</f>
        <v>#REF!</v>
      </c>
      <c r="EM29" t="e">
        <f>AND('Yamazumi Data'!#REF!,"AAAAAH7//44=")</f>
        <v>#REF!</v>
      </c>
      <c r="EN29" t="e">
        <f>AND('Yamazumi Data'!#REF!,"AAAAAH7//48=")</f>
        <v>#REF!</v>
      </c>
      <c r="EO29" t="e">
        <f>AND('Yamazumi Data'!#REF!,"AAAAAH7//5A=")</f>
        <v>#REF!</v>
      </c>
      <c r="EP29" t="e">
        <f>AND('Yamazumi Data'!#REF!,"AAAAAH7//5E=")</f>
        <v>#REF!</v>
      </c>
      <c r="EQ29" t="e">
        <f>AND('Yamazumi Data'!#REF!,"AAAAAH7//5I=")</f>
        <v>#REF!</v>
      </c>
      <c r="ER29" t="e">
        <f>AND('Yamazumi Data'!#REF!,"AAAAAH7//5M=")</f>
        <v>#REF!</v>
      </c>
      <c r="ES29" t="e">
        <f>AND('Yamazumi Data'!#REF!,"AAAAAH7//5Q=")</f>
        <v>#REF!</v>
      </c>
      <c r="ET29" t="e">
        <f>AND('Yamazumi Data'!#REF!,"AAAAAH7//5U=")</f>
        <v>#REF!</v>
      </c>
      <c r="EU29" t="e">
        <f>AND('Yamazumi Data'!#REF!,"AAAAAH7//5Y=")</f>
        <v>#REF!</v>
      </c>
      <c r="EV29" t="e">
        <f>AND('Yamazumi Data'!#REF!,"AAAAAH7//5c=")</f>
        <v>#REF!</v>
      </c>
      <c r="EW29" t="e">
        <f>AND('Yamazumi Data'!#REF!,"AAAAAH7//5g=")</f>
        <v>#REF!</v>
      </c>
      <c r="EX29" t="e">
        <f>AND('Yamazumi Data'!#REF!,"AAAAAH7//5k=")</f>
        <v>#REF!</v>
      </c>
      <c r="EY29" t="e">
        <f>AND('Yamazumi Data'!#REF!,"AAAAAH7//5o=")</f>
        <v>#REF!</v>
      </c>
      <c r="EZ29" t="e">
        <f>AND('Yamazumi Data'!#REF!,"AAAAAH7//5s=")</f>
        <v>#REF!</v>
      </c>
      <c r="FA29" t="e">
        <f>AND('Yamazumi Data'!#REF!,"AAAAAH7//5w=")</f>
        <v>#REF!</v>
      </c>
      <c r="FB29" t="e">
        <f>AND('Yamazumi Data'!#REF!,"AAAAAH7//50=")</f>
        <v>#REF!</v>
      </c>
      <c r="FC29" t="e">
        <f>AND('Yamazumi Data'!#REF!,"AAAAAH7//54=")</f>
        <v>#REF!</v>
      </c>
      <c r="FD29" t="e">
        <f>AND('Yamazumi Data'!#REF!,"AAAAAH7//58=")</f>
        <v>#REF!</v>
      </c>
      <c r="FE29" t="e">
        <f>AND('Yamazumi Data'!#REF!,"AAAAAH7//6A=")</f>
        <v>#REF!</v>
      </c>
      <c r="FF29" t="e">
        <f>AND('Yamazumi Data'!#REF!,"AAAAAH7//6E=")</f>
        <v>#REF!</v>
      </c>
      <c r="FG29" t="e">
        <f>AND('Yamazumi Data'!#REF!,"AAAAAH7//6I=")</f>
        <v>#REF!</v>
      </c>
      <c r="FH29" t="e">
        <f>AND('Yamazumi Data'!#REF!,"AAAAAH7//6M=")</f>
        <v>#REF!</v>
      </c>
      <c r="FI29" t="e">
        <f>AND('Yamazumi Data'!#REF!,"AAAAAH7//6Q=")</f>
        <v>#REF!</v>
      </c>
      <c r="FJ29" t="e">
        <f>AND('Yamazumi Data'!#REF!,"AAAAAH7//6U=")</f>
        <v>#REF!</v>
      </c>
      <c r="FK29" t="e">
        <f>AND('Yamazumi Data'!#REF!,"AAAAAH7//6Y=")</f>
        <v>#REF!</v>
      </c>
      <c r="FL29" t="e">
        <f>AND('Yamazumi Data'!#REF!,"AAAAAH7//6c=")</f>
        <v>#REF!</v>
      </c>
      <c r="FM29" t="e">
        <f>AND('Yamazumi Data'!#REF!,"AAAAAH7//6g=")</f>
        <v>#REF!</v>
      </c>
      <c r="FN29" t="e">
        <f>AND('Yamazumi Data'!#REF!,"AAAAAH7//6k=")</f>
        <v>#REF!</v>
      </c>
      <c r="FO29" t="e">
        <f>AND('Yamazumi Data'!#REF!,"AAAAAH7//6o=")</f>
        <v>#REF!</v>
      </c>
      <c r="FP29" t="e">
        <f>AND('Yamazumi Data'!#REF!,"AAAAAH7//6s=")</f>
        <v>#REF!</v>
      </c>
      <c r="FQ29" t="e">
        <f>AND('Yamazumi Data'!#REF!,"AAAAAH7//6w=")</f>
        <v>#REF!</v>
      </c>
      <c r="FR29" t="e">
        <f>AND('Yamazumi Data'!#REF!,"AAAAAH7//60=")</f>
        <v>#REF!</v>
      </c>
      <c r="FS29" t="e">
        <f>AND('Yamazumi Data'!#REF!,"AAAAAH7//64=")</f>
        <v>#REF!</v>
      </c>
      <c r="FT29" t="e">
        <f>AND('Yamazumi Data'!#REF!,"AAAAAH7//68=")</f>
        <v>#REF!</v>
      </c>
      <c r="FU29" t="e">
        <f>AND('Yamazumi Data'!#REF!,"AAAAAH7//7A=")</f>
        <v>#REF!</v>
      </c>
      <c r="FV29" t="e">
        <f>AND('Yamazumi Data'!#REF!,"AAAAAH7//7E=")</f>
        <v>#REF!</v>
      </c>
      <c r="FW29" t="e">
        <f>IF('Yamazumi Data'!#REF!,"AAAAAH7//7I=",0)</f>
        <v>#REF!</v>
      </c>
      <c r="FX29" t="e">
        <f>AND('Yamazumi Data'!#REF!,"AAAAAH7//7M=")</f>
        <v>#REF!</v>
      </c>
      <c r="FY29" t="e">
        <f>AND('Yamazumi Data'!#REF!,"AAAAAH7//7Q=")</f>
        <v>#REF!</v>
      </c>
      <c r="FZ29" t="e">
        <f>AND('Yamazumi Data'!#REF!,"AAAAAH7//7U=")</f>
        <v>#REF!</v>
      </c>
      <c r="GA29" t="e">
        <f>AND('Yamazumi Data'!#REF!,"AAAAAH7//7Y=")</f>
        <v>#REF!</v>
      </c>
      <c r="GB29" t="e">
        <f>AND('Yamazumi Data'!#REF!,"AAAAAH7//7c=")</f>
        <v>#REF!</v>
      </c>
      <c r="GC29" t="e">
        <f>AND('Yamazumi Data'!#REF!,"AAAAAH7//7g=")</f>
        <v>#REF!</v>
      </c>
      <c r="GD29" t="e">
        <f>AND('Yamazumi Data'!#REF!,"AAAAAH7//7k=")</f>
        <v>#REF!</v>
      </c>
      <c r="GE29" t="e">
        <f>AND('Yamazumi Data'!#REF!,"AAAAAH7//7o=")</f>
        <v>#REF!</v>
      </c>
      <c r="GF29" t="e">
        <f>AND('Yamazumi Data'!#REF!,"AAAAAH7//7s=")</f>
        <v>#REF!</v>
      </c>
      <c r="GG29" t="e">
        <f>AND('Yamazumi Data'!#REF!,"AAAAAH7//7w=")</f>
        <v>#REF!</v>
      </c>
      <c r="GH29" t="e">
        <f>AND('Yamazumi Data'!#REF!,"AAAAAH7//70=")</f>
        <v>#REF!</v>
      </c>
      <c r="GI29" t="e">
        <f>AND('Yamazumi Data'!#REF!,"AAAAAH7//74=")</f>
        <v>#REF!</v>
      </c>
      <c r="GJ29" t="e">
        <f>AND('Yamazumi Data'!#REF!,"AAAAAH7//78=")</f>
        <v>#REF!</v>
      </c>
      <c r="GK29" t="e">
        <f>AND('Yamazumi Data'!#REF!,"AAAAAH7//8A=")</f>
        <v>#REF!</v>
      </c>
      <c r="GL29" t="e">
        <f>AND('Yamazumi Data'!#REF!,"AAAAAH7//8E=")</f>
        <v>#REF!</v>
      </c>
      <c r="GM29" t="e">
        <f>AND('Yamazumi Data'!#REF!,"AAAAAH7//8I=")</f>
        <v>#REF!</v>
      </c>
      <c r="GN29" t="e">
        <f>AND('Yamazumi Data'!#REF!,"AAAAAH7//8M=")</f>
        <v>#REF!</v>
      </c>
      <c r="GO29" t="e">
        <f>AND('Yamazumi Data'!#REF!,"AAAAAH7//8Q=")</f>
        <v>#REF!</v>
      </c>
      <c r="GP29" t="e">
        <f>AND('Yamazumi Data'!#REF!,"AAAAAH7//8U=")</f>
        <v>#REF!</v>
      </c>
      <c r="GQ29" t="e">
        <f>AND('Yamazumi Data'!#REF!,"AAAAAH7//8Y=")</f>
        <v>#REF!</v>
      </c>
      <c r="GR29" t="e">
        <f>AND('Yamazumi Data'!#REF!,"AAAAAH7//8c=")</f>
        <v>#REF!</v>
      </c>
      <c r="GS29" t="e">
        <f>AND('Yamazumi Data'!#REF!,"AAAAAH7//8g=")</f>
        <v>#REF!</v>
      </c>
      <c r="GT29" t="e">
        <f>AND('Yamazumi Data'!#REF!,"AAAAAH7//8k=")</f>
        <v>#REF!</v>
      </c>
      <c r="GU29" t="e">
        <f>AND('Yamazumi Data'!#REF!,"AAAAAH7//8o=")</f>
        <v>#REF!</v>
      </c>
      <c r="GV29" t="e">
        <f>AND('Yamazumi Data'!#REF!,"AAAAAH7//8s=")</f>
        <v>#REF!</v>
      </c>
      <c r="GW29" t="e">
        <f>AND('Yamazumi Data'!#REF!,"AAAAAH7//8w=")</f>
        <v>#REF!</v>
      </c>
      <c r="GX29" t="e">
        <f>AND('Yamazumi Data'!#REF!,"AAAAAH7//80=")</f>
        <v>#REF!</v>
      </c>
      <c r="GY29" t="e">
        <f>AND('Yamazumi Data'!#REF!,"AAAAAH7//84=")</f>
        <v>#REF!</v>
      </c>
      <c r="GZ29" t="e">
        <f>AND('Yamazumi Data'!#REF!,"AAAAAH7//88=")</f>
        <v>#REF!</v>
      </c>
      <c r="HA29" t="e">
        <f>AND('Yamazumi Data'!#REF!,"AAAAAH7//9A=")</f>
        <v>#REF!</v>
      </c>
      <c r="HB29" t="e">
        <f>AND('Yamazumi Data'!#REF!,"AAAAAH7//9E=")</f>
        <v>#REF!</v>
      </c>
      <c r="HC29" t="e">
        <f>AND('Yamazumi Data'!#REF!,"AAAAAH7//9I=")</f>
        <v>#REF!</v>
      </c>
      <c r="HD29" t="e">
        <f>AND('Yamazumi Data'!#REF!,"AAAAAH7//9M=")</f>
        <v>#REF!</v>
      </c>
      <c r="HE29" t="e">
        <f>AND('Yamazumi Data'!#REF!,"AAAAAH7//9Q=")</f>
        <v>#REF!</v>
      </c>
      <c r="HF29" t="e">
        <f>AND('Yamazumi Data'!#REF!,"AAAAAH7//9U=")</f>
        <v>#REF!</v>
      </c>
      <c r="HG29" t="e">
        <f>AND('Yamazumi Data'!#REF!,"AAAAAH7//9Y=")</f>
        <v>#REF!</v>
      </c>
      <c r="HH29" t="e">
        <f>AND('Yamazumi Data'!#REF!,"AAAAAH7//9c=")</f>
        <v>#REF!</v>
      </c>
      <c r="HI29" t="e">
        <f>AND('Yamazumi Data'!#REF!,"AAAAAH7//9g=")</f>
        <v>#REF!</v>
      </c>
      <c r="HJ29" t="e">
        <f>AND('Yamazumi Data'!#REF!,"AAAAAH7//9k=")</f>
        <v>#REF!</v>
      </c>
      <c r="HK29" t="e">
        <f>AND('Yamazumi Data'!#REF!,"AAAAAH7//9o=")</f>
        <v>#REF!</v>
      </c>
      <c r="HL29" t="e">
        <f>IF('Yamazumi Data'!#REF!,"AAAAAH7//9s=",0)</f>
        <v>#REF!</v>
      </c>
      <c r="HM29" t="e">
        <f>AND('Yamazumi Data'!#REF!,"AAAAAH7//9w=")</f>
        <v>#REF!</v>
      </c>
      <c r="HN29" t="e">
        <f>AND('Yamazumi Data'!#REF!,"AAAAAH7//90=")</f>
        <v>#REF!</v>
      </c>
      <c r="HO29" t="e">
        <f>AND('Yamazumi Data'!#REF!,"AAAAAH7//94=")</f>
        <v>#REF!</v>
      </c>
      <c r="HP29" t="e">
        <f>AND('Yamazumi Data'!#REF!,"AAAAAH7//98=")</f>
        <v>#REF!</v>
      </c>
      <c r="HQ29" t="e">
        <f>AND('Yamazumi Data'!#REF!,"AAAAAH7//+A=")</f>
        <v>#REF!</v>
      </c>
      <c r="HR29" t="e">
        <f>AND('Yamazumi Data'!#REF!,"AAAAAH7//+E=")</f>
        <v>#REF!</v>
      </c>
      <c r="HS29" t="e">
        <f>AND('Yamazumi Data'!#REF!,"AAAAAH7//+I=")</f>
        <v>#REF!</v>
      </c>
      <c r="HT29" t="e">
        <f>AND('Yamazumi Data'!#REF!,"AAAAAH7//+M=")</f>
        <v>#REF!</v>
      </c>
      <c r="HU29" t="e">
        <f>AND('Yamazumi Data'!#REF!,"AAAAAH7//+Q=")</f>
        <v>#REF!</v>
      </c>
      <c r="HV29" t="e">
        <f>AND('Yamazumi Data'!#REF!,"AAAAAH7//+U=")</f>
        <v>#REF!</v>
      </c>
      <c r="HW29" t="e">
        <f>AND('Yamazumi Data'!#REF!,"AAAAAH7//+Y=")</f>
        <v>#REF!</v>
      </c>
      <c r="HX29" t="e">
        <f>AND('Yamazumi Data'!#REF!,"AAAAAH7//+c=")</f>
        <v>#REF!</v>
      </c>
      <c r="HY29" t="e">
        <f>AND('Yamazumi Data'!#REF!,"AAAAAH7//+g=")</f>
        <v>#REF!</v>
      </c>
      <c r="HZ29" t="e">
        <f>AND('Yamazumi Data'!#REF!,"AAAAAH7//+k=")</f>
        <v>#REF!</v>
      </c>
      <c r="IA29" t="e">
        <f>AND('Yamazumi Data'!#REF!,"AAAAAH7//+o=")</f>
        <v>#REF!</v>
      </c>
      <c r="IB29" t="e">
        <f>AND('Yamazumi Data'!#REF!,"AAAAAH7//+s=")</f>
        <v>#REF!</v>
      </c>
      <c r="IC29" t="e">
        <f>AND('Yamazumi Data'!#REF!,"AAAAAH7//+w=")</f>
        <v>#REF!</v>
      </c>
      <c r="ID29" t="e">
        <f>AND('Yamazumi Data'!#REF!,"AAAAAH7//+0=")</f>
        <v>#REF!</v>
      </c>
      <c r="IE29" t="e">
        <f>AND('Yamazumi Data'!#REF!,"AAAAAH7//+4=")</f>
        <v>#REF!</v>
      </c>
      <c r="IF29" t="e">
        <f>AND('Yamazumi Data'!#REF!,"AAAAAH7//+8=")</f>
        <v>#REF!</v>
      </c>
      <c r="IG29" t="e">
        <f>AND('Yamazumi Data'!#REF!,"AAAAAH7///A=")</f>
        <v>#REF!</v>
      </c>
      <c r="IH29" t="e">
        <f>AND('Yamazumi Data'!#REF!,"AAAAAH7///E=")</f>
        <v>#REF!</v>
      </c>
      <c r="II29" t="e">
        <f>AND('Yamazumi Data'!#REF!,"AAAAAH7///I=")</f>
        <v>#REF!</v>
      </c>
      <c r="IJ29" t="e">
        <f>AND('Yamazumi Data'!#REF!,"AAAAAH7///M=")</f>
        <v>#REF!</v>
      </c>
      <c r="IK29" t="e">
        <f>AND('Yamazumi Data'!#REF!,"AAAAAH7///Q=")</f>
        <v>#REF!</v>
      </c>
      <c r="IL29" t="e">
        <f>AND('Yamazumi Data'!#REF!,"AAAAAH7///U=")</f>
        <v>#REF!</v>
      </c>
      <c r="IM29" t="e">
        <f>AND('Yamazumi Data'!#REF!,"AAAAAH7///Y=")</f>
        <v>#REF!</v>
      </c>
      <c r="IN29" t="e">
        <f>AND('Yamazumi Data'!#REF!,"AAAAAH7///c=")</f>
        <v>#REF!</v>
      </c>
      <c r="IO29" t="e">
        <f>AND('Yamazumi Data'!#REF!,"AAAAAH7///g=")</f>
        <v>#REF!</v>
      </c>
      <c r="IP29" t="e">
        <f>AND('Yamazumi Data'!#REF!,"AAAAAH7///k=")</f>
        <v>#REF!</v>
      </c>
      <c r="IQ29" t="e">
        <f>AND('Yamazumi Data'!#REF!,"AAAAAH7///o=")</f>
        <v>#REF!</v>
      </c>
      <c r="IR29" t="e">
        <f>AND('Yamazumi Data'!#REF!,"AAAAAH7///s=")</f>
        <v>#REF!</v>
      </c>
      <c r="IS29" t="e">
        <f>AND('Yamazumi Data'!#REF!,"AAAAAH7///w=")</f>
        <v>#REF!</v>
      </c>
      <c r="IT29" t="e">
        <f>AND('Yamazumi Data'!#REF!,"AAAAAH7///0=")</f>
        <v>#REF!</v>
      </c>
      <c r="IU29" t="e">
        <f>AND('Yamazumi Data'!#REF!,"AAAAAH7///4=")</f>
        <v>#REF!</v>
      </c>
      <c r="IV29" t="e">
        <f>AND('Yamazumi Data'!#REF!,"AAAAAH7///8=")</f>
        <v>#REF!</v>
      </c>
    </row>
    <row r="30" spans="1:256" ht="14.45" x14ac:dyDescent="0.3">
      <c r="A30" t="e">
        <f>AND('Yamazumi Data'!#REF!,"AAAAAH2/uwA=")</f>
        <v>#REF!</v>
      </c>
      <c r="B30" t="e">
        <f>AND('Yamazumi Data'!#REF!,"AAAAAH2/uwE=")</f>
        <v>#REF!</v>
      </c>
      <c r="C30" t="e">
        <f>AND('Yamazumi Data'!#REF!,"AAAAAH2/uwI=")</f>
        <v>#REF!</v>
      </c>
      <c r="D30" t="e">
        <f>AND('Yamazumi Data'!#REF!,"AAAAAH2/uwM=")</f>
        <v>#REF!</v>
      </c>
      <c r="E30" t="e">
        <f>IF('Yamazumi Data'!#REF!,"AAAAAH2/uwQ=",0)</f>
        <v>#REF!</v>
      </c>
      <c r="F30" t="e">
        <f>AND('Yamazumi Data'!#REF!,"AAAAAH2/uwU=")</f>
        <v>#REF!</v>
      </c>
      <c r="G30" t="e">
        <f>AND('Yamazumi Data'!#REF!,"AAAAAH2/uwY=")</f>
        <v>#REF!</v>
      </c>
      <c r="H30" t="e">
        <f>AND('Yamazumi Data'!#REF!,"AAAAAH2/uwc=")</f>
        <v>#REF!</v>
      </c>
      <c r="I30" t="e">
        <f>AND('Yamazumi Data'!#REF!,"AAAAAH2/uwg=")</f>
        <v>#REF!</v>
      </c>
      <c r="J30" t="e">
        <f>AND('Yamazumi Data'!#REF!,"AAAAAH2/uwk=")</f>
        <v>#REF!</v>
      </c>
      <c r="K30" t="e">
        <f>AND('Yamazumi Data'!#REF!,"AAAAAH2/uwo=")</f>
        <v>#REF!</v>
      </c>
      <c r="L30" t="e">
        <f>AND('Yamazumi Data'!#REF!,"AAAAAH2/uws=")</f>
        <v>#REF!</v>
      </c>
      <c r="M30" t="e">
        <f>AND('Yamazumi Data'!#REF!,"AAAAAH2/uww=")</f>
        <v>#REF!</v>
      </c>
      <c r="N30" t="e">
        <f>AND('Yamazumi Data'!#REF!,"AAAAAH2/uw0=")</f>
        <v>#REF!</v>
      </c>
      <c r="O30" t="e">
        <f>AND('Yamazumi Data'!#REF!,"AAAAAH2/uw4=")</f>
        <v>#REF!</v>
      </c>
      <c r="P30" t="e">
        <f>AND('Yamazumi Data'!#REF!,"AAAAAH2/uw8=")</f>
        <v>#REF!</v>
      </c>
      <c r="Q30" t="e">
        <f>AND('Yamazumi Data'!#REF!,"AAAAAH2/uxA=")</f>
        <v>#REF!</v>
      </c>
      <c r="R30" t="e">
        <f>AND('Yamazumi Data'!#REF!,"AAAAAH2/uxE=")</f>
        <v>#REF!</v>
      </c>
      <c r="S30" t="e">
        <f>AND('Yamazumi Data'!#REF!,"AAAAAH2/uxI=")</f>
        <v>#REF!</v>
      </c>
      <c r="T30" t="e">
        <f>AND('Yamazumi Data'!#REF!,"AAAAAH2/uxM=")</f>
        <v>#REF!</v>
      </c>
      <c r="U30" t="e">
        <f>AND('Yamazumi Data'!#REF!,"AAAAAH2/uxQ=")</f>
        <v>#REF!</v>
      </c>
      <c r="V30" t="e">
        <f>AND('Yamazumi Data'!#REF!,"AAAAAH2/uxU=")</f>
        <v>#REF!</v>
      </c>
      <c r="W30" t="e">
        <f>AND('Yamazumi Data'!#REF!,"AAAAAH2/uxY=")</f>
        <v>#REF!</v>
      </c>
      <c r="X30" t="e">
        <f>AND('Yamazumi Data'!#REF!,"AAAAAH2/uxc=")</f>
        <v>#REF!</v>
      </c>
      <c r="Y30" t="e">
        <f>AND('Yamazumi Data'!#REF!,"AAAAAH2/uxg=")</f>
        <v>#REF!</v>
      </c>
      <c r="Z30" t="e">
        <f>AND('Yamazumi Data'!#REF!,"AAAAAH2/uxk=")</f>
        <v>#REF!</v>
      </c>
      <c r="AA30" t="e">
        <f>AND('Yamazumi Data'!#REF!,"AAAAAH2/uxo=")</f>
        <v>#REF!</v>
      </c>
      <c r="AB30" t="e">
        <f>AND('Yamazumi Data'!#REF!,"AAAAAH2/uxs=")</f>
        <v>#REF!</v>
      </c>
      <c r="AC30" t="e">
        <f>AND('Yamazumi Data'!#REF!,"AAAAAH2/uxw=")</f>
        <v>#REF!</v>
      </c>
      <c r="AD30" t="e">
        <f>AND('Yamazumi Data'!#REF!,"AAAAAH2/ux0=")</f>
        <v>#REF!</v>
      </c>
      <c r="AE30" t="e">
        <f>AND('Yamazumi Data'!#REF!,"AAAAAH2/ux4=")</f>
        <v>#REF!</v>
      </c>
      <c r="AF30" t="e">
        <f>AND('Yamazumi Data'!#REF!,"AAAAAH2/ux8=")</f>
        <v>#REF!</v>
      </c>
      <c r="AG30" t="e">
        <f>AND('Yamazumi Data'!#REF!,"AAAAAH2/uyA=")</f>
        <v>#REF!</v>
      </c>
      <c r="AH30" t="e">
        <f>AND('Yamazumi Data'!#REF!,"AAAAAH2/uyE=")</f>
        <v>#REF!</v>
      </c>
      <c r="AI30" t="e">
        <f>AND('Yamazumi Data'!#REF!,"AAAAAH2/uyI=")</f>
        <v>#REF!</v>
      </c>
      <c r="AJ30" t="e">
        <f>AND('Yamazumi Data'!#REF!,"AAAAAH2/uyM=")</f>
        <v>#REF!</v>
      </c>
      <c r="AK30" t="e">
        <f>AND('Yamazumi Data'!#REF!,"AAAAAH2/uyQ=")</f>
        <v>#REF!</v>
      </c>
      <c r="AL30" t="e">
        <f>AND('Yamazumi Data'!#REF!,"AAAAAH2/uyU=")</f>
        <v>#REF!</v>
      </c>
      <c r="AM30" t="e">
        <f>AND('Yamazumi Data'!#REF!,"AAAAAH2/uyY=")</f>
        <v>#REF!</v>
      </c>
      <c r="AN30" t="e">
        <f>AND('Yamazumi Data'!#REF!,"AAAAAH2/uyc=")</f>
        <v>#REF!</v>
      </c>
      <c r="AO30" t="e">
        <f>AND('Yamazumi Data'!#REF!,"AAAAAH2/uyg=")</f>
        <v>#REF!</v>
      </c>
      <c r="AP30" t="e">
        <f>AND('Yamazumi Data'!#REF!,"AAAAAH2/uyk=")</f>
        <v>#REF!</v>
      </c>
      <c r="AQ30" t="e">
        <f>AND('Yamazumi Data'!#REF!,"AAAAAH2/uyo=")</f>
        <v>#REF!</v>
      </c>
      <c r="AR30" t="e">
        <f>AND('Yamazumi Data'!#REF!,"AAAAAH2/uys=")</f>
        <v>#REF!</v>
      </c>
      <c r="AS30" t="e">
        <f>AND('Yamazumi Data'!#REF!,"AAAAAH2/uyw=")</f>
        <v>#REF!</v>
      </c>
      <c r="AT30" t="e">
        <f>IF('Yamazumi Data'!#REF!,"AAAAAH2/uy0=",0)</f>
        <v>#REF!</v>
      </c>
      <c r="AU30" t="e">
        <f>AND('Yamazumi Data'!#REF!,"AAAAAH2/uy4=")</f>
        <v>#REF!</v>
      </c>
      <c r="AV30" t="e">
        <f>AND('Yamazumi Data'!#REF!,"AAAAAH2/uy8=")</f>
        <v>#REF!</v>
      </c>
      <c r="AW30" t="e">
        <f>AND('Yamazumi Data'!#REF!,"AAAAAH2/uzA=")</f>
        <v>#REF!</v>
      </c>
      <c r="AX30" t="e">
        <f>AND('Yamazumi Data'!#REF!,"AAAAAH2/uzE=")</f>
        <v>#REF!</v>
      </c>
      <c r="AY30" t="e">
        <f>AND('Yamazumi Data'!#REF!,"AAAAAH2/uzI=")</f>
        <v>#REF!</v>
      </c>
      <c r="AZ30" t="e">
        <f>AND('Yamazumi Data'!#REF!,"AAAAAH2/uzM=")</f>
        <v>#REF!</v>
      </c>
      <c r="BA30" t="e">
        <f>AND('Yamazumi Data'!#REF!,"AAAAAH2/uzQ=")</f>
        <v>#REF!</v>
      </c>
      <c r="BB30" t="e">
        <f>AND('Yamazumi Data'!#REF!,"AAAAAH2/uzU=")</f>
        <v>#REF!</v>
      </c>
      <c r="BC30" t="e">
        <f>AND('Yamazumi Data'!#REF!,"AAAAAH2/uzY=")</f>
        <v>#REF!</v>
      </c>
      <c r="BD30" t="e">
        <f>AND('Yamazumi Data'!#REF!,"AAAAAH2/uzc=")</f>
        <v>#REF!</v>
      </c>
      <c r="BE30" t="e">
        <f>AND('Yamazumi Data'!#REF!,"AAAAAH2/uzg=")</f>
        <v>#REF!</v>
      </c>
      <c r="BF30" t="e">
        <f>AND('Yamazumi Data'!#REF!,"AAAAAH2/uzk=")</f>
        <v>#REF!</v>
      </c>
      <c r="BG30" t="e">
        <f>AND('Yamazumi Data'!#REF!,"AAAAAH2/uzo=")</f>
        <v>#REF!</v>
      </c>
      <c r="BH30" t="e">
        <f>AND('Yamazumi Data'!#REF!,"AAAAAH2/uzs=")</f>
        <v>#REF!</v>
      </c>
      <c r="BI30" t="e">
        <f>AND('Yamazumi Data'!#REF!,"AAAAAH2/uzw=")</f>
        <v>#REF!</v>
      </c>
      <c r="BJ30" t="e">
        <f>AND('Yamazumi Data'!#REF!,"AAAAAH2/uz0=")</f>
        <v>#REF!</v>
      </c>
      <c r="BK30" t="e">
        <f>AND('Yamazumi Data'!#REF!,"AAAAAH2/uz4=")</f>
        <v>#REF!</v>
      </c>
      <c r="BL30" t="e">
        <f>AND('Yamazumi Data'!#REF!,"AAAAAH2/uz8=")</f>
        <v>#REF!</v>
      </c>
      <c r="BM30" t="e">
        <f>AND('Yamazumi Data'!#REF!,"AAAAAH2/u0A=")</f>
        <v>#REF!</v>
      </c>
      <c r="BN30" t="e">
        <f>AND('Yamazumi Data'!#REF!,"AAAAAH2/u0E=")</f>
        <v>#REF!</v>
      </c>
      <c r="BO30" t="e">
        <f>AND('Yamazumi Data'!#REF!,"AAAAAH2/u0I=")</f>
        <v>#REF!</v>
      </c>
      <c r="BP30" t="e">
        <f>AND('Yamazumi Data'!#REF!,"AAAAAH2/u0M=")</f>
        <v>#REF!</v>
      </c>
      <c r="BQ30" t="e">
        <f>AND('Yamazumi Data'!#REF!,"AAAAAH2/u0Q=")</f>
        <v>#REF!</v>
      </c>
      <c r="BR30" t="e">
        <f>AND('Yamazumi Data'!#REF!,"AAAAAH2/u0U=")</f>
        <v>#REF!</v>
      </c>
      <c r="BS30" t="e">
        <f>AND('Yamazumi Data'!#REF!,"AAAAAH2/u0Y=")</f>
        <v>#REF!</v>
      </c>
      <c r="BT30" t="e">
        <f>AND('Yamazumi Data'!#REF!,"AAAAAH2/u0c=")</f>
        <v>#REF!</v>
      </c>
      <c r="BU30" t="e">
        <f>AND('Yamazumi Data'!#REF!,"AAAAAH2/u0g=")</f>
        <v>#REF!</v>
      </c>
      <c r="BV30" t="e">
        <f>AND('Yamazumi Data'!#REF!,"AAAAAH2/u0k=")</f>
        <v>#REF!</v>
      </c>
      <c r="BW30" t="e">
        <f>AND('Yamazumi Data'!#REF!,"AAAAAH2/u0o=")</f>
        <v>#REF!</v>
      </c>
      <c r="BX30" t="e">
        <f>AND('Yamazumi Data'!#REF!,"AAAAAH2/u0s=")</f>
        <v>#REF!</v>
      </c>
      <c r="BY30" t="e">
        <f>AND('Yamazumi Data'!#REF!,"AAAAAH2/u0w=")</f>
        <v>#REF!</v>
      </c>
      <c r="BZ30" t="e">
        <f>AND('Yamazumi Data'!#REF!,"AAAAAH2/u00=")</f>
        <v>#REF!</v>
      </c>
      <c r="CA30" t="e">
        <f>AND('Yamazumi Data'!#REF!,"AAAAAH2/u04=")</f>
        <v>#REF!</v>
      </c>
      <c r="CB30" t="e">
        <f>AND('Yamazumi Data'!#REF!,"AAAAAH2/u08=")</f>
        <v>#REF!</v>
      </c>
      <c r="CC30" t="e">
        <f>AND('Yamazumi Data'!#REF!,"AAAAAH2/u1A=")</f>
        <v>#REF!</v>
      </c>
      <c r="CD30" t="e">
        <f>AND('Yamazumi Data'!#REF!,"AAAAAH2/u1E=")</f>
        <v>#REF!</v>
      </c>
      <c r="CE30" t="e">
        <f>AND('Yamazumi Data'!#REF!,"AAAAAH2/u1I=")</f>
        <v>#REF!</v>
      </c>
      <c r="CF30" t="e">
        <f>AND('Yamazumi Data'!#REF!,"AAAAAH2/u1M=")</f>
        <v>#REF!</v>
      </c>
      <c r="CG30" t="e">
        <f>AND('Yamazumi Data'!#REF!,"AAAAAH2/u1Q=")</f>
        <v>#REF!</v>
      </c>
      <c r="CH30" t="e">
        <f>AND('Yamazumi Data'!#REF!,"AAAAAH2/u1U=")</f>
        <v>#REF!</v>
      </c>
      <c r="CI30" t="e">
        <f>IF('Yamazumi Data'!#REF!,"AAAAAH2/u1Y=",0)</f>
        <v>#REF!</v>
      </c>
      <c r="CJ30" t="e">
        <f>AND('Yamazumi Data'!#REF!,"AAAAAH2/u1c=")</f>
        <v>#REF!</v>
      </c>
      <c r="CK30" t="e">
        <f>AND('Yamazumi Data'!#REF!,"AAAAAH2/u1g=")</f>
        <v>#REF!</v>
      </c>
      <c r="CL30" t="e">
        <f>AND('Yamazumi Data'!#REF!,"AAAAAH2/u1k=")</f>
        <v>#REF!</v>
      </c>
      <c r="CM30" t="e">
        <f>AND('Yamazumi Data'!#REF!,"AAAAAH2/u1o=")</f>
        <v>#REF!</v>
      </c>
      <c r="CN30" t="e">
        <f>AND('Yamazumi Data'!#REF!,"AAAAAH2/u1s=")</f>
        <v>#REF!</v>
      </c>
      <c r="CO30" t="e">
        <f>AND('Yamazumi Data'!#REF!,"AAAAAH2/u1w=")</f>
        <v>#REF!</v>
      </c>
      <c r="CP30" t="e">
        <f>AND('Yamazumi Data'!#REF!,"AAAAAH2/u10=")</f>
        <v>#REF!</v>
      </c>
      <c r="CQ30" t="e">
        <f>AND('Yamazumi Data'!#REF!,"AAAAAH2/u14=")</f>
        <v>#REF!</v>
      </c>
      <c r="CR30" t="e">
        <f>AND('Yamazumi Data'!#REF!,"AAAAAH2/u18=")</f>
        <v>#REF!</v>
      </c>
      <c r="CS30" t="e">
        <f>AND('Yamazumi Data'!#REF!,"AAAAAH2/u2A=")</f>
        <v>#REF!</v>
      </c>
      <c r="CT30" t="e">
        <f>AND('Yamazumi Data'!#REF!,"AAAAAH2/u2E=")</f>
        <v>#REF!</v>
      </c>
      <c r="CU30" t="e">
        <f>AND('Yamazumi Data'!#REF!,"AAAAAH2/u2I=")</f>
        <v>#REF!</v>
      </c>
      <c r="CV30" t="e">
        <f>AND('Yamazumi Data'!#REF!,"AAAAAH2/u2M=")</f>
        <v>#REF!</v>
      </c>
      <c r="CW30" t="e">
        <f>AND('Yamazumi Data'!#REF!,"AAAAAH2/u2Q=")</f>
        <v>#REF!</v>
      </c>
      <c r="CX30" t="e">
        <f>AND('Yamazumi Data'!#REF!,"AAAAAH2/u2U=")</f>
        <v>#REF!</v>
      </c>
      <c r="CY30" t="e">
        <f>AND('Yamazumi Data'!#REF!,"AAAAAH2/u2Y=")</f>
        <v>#REF!</v>
      </c>
      <c r="CZ30" t="e">
        <f>AND('Yamazumi Data'!#REF!,"AAAAAH2/u2c=")</f>
        <v>#REF!</v>
      </c>
      <c r="DA30" t="e">
        <f>AND('Yamazumi Data'!#REF!,"AAAAAH2/u2g=")</f>
        <v>#REF!</v>
      </c>
      <c r="DB30" t="e">
        <f>AND('Yamazumi Data'!#REF!,"AAAAAH2/u2k=")</f>
        <v>#REF!</v>
      </c>
      <c r="DC30" t="e">
        <f>AND('Yamazumi Data'!#REF!,"AAAAAH2/u2o=")</f>
        <v>#REF!</v>
      </c>
      <c r="DD30" t="e">
        <f>AND('Yamazumi Data'!#REF!,"AAAAAH2/u2s=")</f>
        <v>#REF!</v>
      </c>
      <c r="DE30" t="e">
        <f>AND('Yamazumi Data'!#REF!,"AAAAAH2/u2w=")</f>
        <v>#REF!</v>
      </c>
      <c r="DF30" t="e">
        <f>AND('Yamazumi Data'!#REF!,"AAAAAH2/u20=")</f>
        <v>#REF!</v>
      </c>
      <c r="DG30" t="e">
        <f>AND('Yamazumi Data'!#REF!,"AAAAAH2/u24=")</f>
        <v>#REF!</v>
      </c>
      <c r="DH30" t="e">
        <f>AND('Yamazumi Data'!#REF!,"AAAAAH2/u28=")</f>
        <v>#REF!</v>
      </c>
      <c r="DI30" t="e">
        <f>AND('Yamazumi Data'!#REF!,"AAAAAH2/u3A=")</f>
        <v>#REF!</v>
      </c>
      <c r="DJ30" t="e">
        <f>AND('Yamazumi Data'!#REF!,"AAAAAH2/u3E=")</f>
        <v>#REF!</v>
      </c>
      <c r="DK30" t="e">
        <f>AND('Yamazumi Data'!#REF!,"AAAAAH2/u3I=")</f>
        <v>#REF!</v>
      </c>
      <c r="DL30" t="e">
        <f>AND('Yamazumi Data'!#REF!,"AAAAAH2/u3M=")</f>
        <v>#REF!</v>
      </c>
      <c r="DM30" t="e">
        <f>AND('Yamazumi Data'!#REF!,"AAAAAH2/u3Q=")</f>
        <v>#REF!</v>
      </c>
      <c r="DN30" t="e">
        <f>AND('Yamazumi Data'!#REF!,"AAAAAH2/u3U=")</f>
        <v>#REF!</v>
      </c>
      <c r="DO30" t="e">
        <f>AND('Yamazumi Data'!#REF!,"AAAAAH2/u3Y=")</f>
        <v>#REF!</v>
      </c>
      <c r="DP30" t="e">
        <f>AND('Yamazumi Data'!#REF!,"AAAAAH2/u3c=")</f>
        <v>#REF!</v>
      </c>
      <c r="DQ30" t="e">
        <f>AND('Yamazumi Data'!#REF!,"AAAAAH2/u3g=")</f>
        <v>#REF!</v>
      </c>
      <c r="DR30" t="e">
        <f>AND('Yamazumi Data'!#REF!,"AAAAAH2/u3k=")</f>
        <v>#REF!</v>
      </c>
      <c r="DS30" t="e">
        <f>AND('Yamazumi Data'!#REF!,"AAAAAH2/u3o=")</f>
        <v>#REF!</v>
      </c>
      <c r="DT30" t="e">
        <f>AND('Yamazumi Data'!#REF!,"AAAAAH2/u3s=")</f>
        <v>#REF!</v>
      </c>
      <c r="DU30" t="e">
        <f>AND('Yamazumi Data'!#REF!,"AAAAAH2/u3w=")</f>
        <v>#REF!</v>
      </c>
      <c r="DV30" t="e">
        <f>AND('Yamazumi Data'!#REF!,"AAAAAH2/u30=")</f>
        <v>#REF!</v>
      </c>
      <c r="DW30" t="e">
        <f>AND('Yamazumi Data'!#REF!,"AAAAAH2/u34=")</f>
        <v>#REF!</v>
      </c>
      <c r="DX30" t="e">
        <f>IF('Yamazumi Data'!#REF!,"AAAAAH2/u38=",0)</f>
        <v>#REF!</v>
      </c>
      <c r="DY30" t="e">
        <f>AND('Yamazumi Data'!#REF!,"AAAAAH2/u4A=")</f>
        <v>#REF!</v>
      </c>
      <c r="DZ30" t="e">
        <f>AND('Yamazumi Data'!#REF!,"AAAAAH2/u4E=")</f>
        <v>#REF!</v>
      </c>
      <c r="EA30" t="e">
        <f>AND('Yamazumi Data'!#REF!,"AAAAAH2/u4I=")</f>
        <v>#REF!</v>
      </c>
      <c r="EB30" t="e">
        <f>AND('Yamazumi Data'!#REF!,"AAAAAH2/u4M=")</f>
        <v>#REF!</v>
      </c>
      <c r="EC30" t="e">
        <f>AND('Yamazumi Data'!#REF!,"AAAAAH2/u4Q=")</f>
        <v>#REF!</v>
      </c>
      <c r="ED30" t="e">
        <f>AND('Yamazumi Data'!#REF!,"AAAAAH2/u4U=")</f>
        <v>#REF!</v>
      </c>
      <c r="EE30" t="e">
        <f>AND('Yamazumi Data'!#REF!,"AAAAAH2/u4Y=")</f>
        <v>#REF!</v>
      </c>
      <c r="EF30" t="e">
        <f>AND('Yamazumi Data'!#REF!,"AAAAAH2/u4c=")</f>
        <v>#REF!</v>
      </c>
      <c r="EG30" t="e">
        <f>AND('Yamazumi Data'!#REF!,"AAAAAH2/u4g=")</f>
        <v>#REF!</v>
      </c>
      <c r="EH30" t="e">
        <f>AND('Yamazumi Data'!#REF!,"AAAAAH2/u4k=")</f>
        <v>#REF!</v>
      </c>
      <c r="EI30" t="e">
        <f>AND('Yamazumi Data'!#REF!,"AAAAAH2/u4o=")</f>
        <v>#REF!</v>
      </c>
      <c r="EJ30" t="e">
        <f>AND('Yamazumi Data'!#REF!,"AAAAAH2/u4s=")</f>
        <v>#REF!</v>
      </c>
      <c r="EK30" t="e">
        <f>AND('Yamazumi Data'!#REF!,"AAAAAH2/u4w=")</f>
        <v>#REF!</v>
      </c>
      <c r="EL30" t="e">
        <f>AND('Yamazumi Data'!#REF!,"AAAAAH2/u40=")</f>
        <v>#REF!</v>
      </c>
      <c r="EM30" t="e">
        <f>AND('Yamazumi Data'!#REF!,"AAAAAH2/u44=")</f>
        <v>#REF!</v>
      </c>
      <c r="EN30" t="e">
        <f>AND('Yamazumi Data'!#REF!,"AAAAAH2/u48=")</f>
        <v>#REF!</v>
      </c>
      <c r="EO30" t="e">
        <f>AND('Yamazumi Data'!#REF!,"AAAAAH2/u5A=")</f>
        <v>#REF!</v>
      </c>
      <c r="EP30" t="e">
        <f>AND('Yamazumi Data'!#REF!,"AAAAAH2/u5E=")</f>
        <v>#REF!</v>
      </c>
      <c r="EQ30" t="e">
        <f>AND('Yamazumi Data'!#REF!,"AAAAAH2/u5I=")</f>
        <v>#REF!</v>
      </c>
      <c r="ER30" t="e">
        <f>AND('Yamazumi Data'!#REF!,"AAAAAH2/u5M=")</f>
        <v>#REF!</v>
      </c>
      <c r="ES30" t="e">
        <f>AND('Yamazumi Data'!#REF!,"AAAAAH2/u5Q=")</f>
        <v>#REF!</v>
      </c>
      <c r="ET30" t="e">
        <f>AND('Yamazumi Data'!#REF!,"AAAAAH2/u5U=")</f>
        <v>#REF!</v>
      </c>
      <c r="EU30" t="e">
        <f>AND('Yamazumi Data'!#REF!,"AAAAAH2/u5Y=")</f>
        <v>#REF!</v>
      </c>
      <c r="EV30" t="e">
        <f>AND('Yamazumi Data'!#REF!,"AAAAAH2/u5c=")</f>
        <v>#REF!</v>
      </c>
      <c r="EW30" t="e">
        <f>AND('Yamazumi Data'!#REF!,"AAAAAH2/u5g=")</f>
        <v>#REF!</v>
      </c>
      <c r="EX30" t="e">
        <f>AND('Yamazumi Data'!#REF!,"AAAAAH2/u5k=")</f>
        <v>#REF!</v>
      </c>
      <c r="EY30" t="e">
        <f>AND('Yamazumi Data'!#REF!,"AAAAAH2/u5o=")</f>
        <v>#REF!</v>
      </c>
      <c r="EZ30" t="e">
        <f>AND('Yamazumi Data'!#REF!,"AAAAAH2/u5s=")</f>
        <v>#REF!</v>
      </c>
      <c r="FA30" t="e">
        <f>AND('Yamazumi Data'!#REF!,"AAAAAH2/u5w=")</f>
        <v>#REF!</v>
      </c>
      <c r="FB30" t="e">
        <f>AND('Yamazumi Data'!#REF!,"AAAAAH2/u50=")</f>
        <v>#REF!</v>
      </c>
      <c r="FC30" t="e">
        <f>AND('Yamazumi Data'!#REF!,"AAAAAH2/u54=")</f>
        <v>#REF!</v>
      </c>
      <c r="FD30" t="e">
        <f>AND('Yamazumi Data'!#REF!,"AAAAAH2/u58=")</f>
        <v>#REF!</v>
      </c>
      <c r="FE30" t="e">
        <f>AND('Yamazumi Data'!#REF!,"AAAAAH2/u6A=")</f>
        <v>#REF!</v>
      </c>
      <c r="FF30" t="e">
        <f>AND('Yamazumi Data'!#REF!,"AAAAAH2/u6E=")</f>
        <v>#REF!</v>
      </c>
      <c r="FG30" t="e">
        <f>AND('Yamazumi Data'!#REF!,"AAAAAH2/u6I=")</f>
        <v>#REF!</v>
      </c>
      <c r="FH30" t="e">
        <f>AND('Yamazumi Data'!#REF!,"AAAAAH2/u6M=")</f>
        <v>#REF!</v>
      </c>
      <c r="FI30" t="e">
        <f>AND('Yamazumi Data'!#REF!,"AAAAAH2/u6Q=")</f>
        <v>#REF!</v>
      </c>
      <c r="FJ30" t="e">
        <f>AND('Yamazumi Data'!#REF!,"AAAAAH2/u6U=")</f>
        <v>#REF!</v>
      </c>
      <c r="FK30" t="e">
        <f>AND('Yamazumi Data'!#REF!,"AAAAAH2/u6Y=")</f>
        <v>#REF!</v>
      </c>
      <c r="FL30" t="e">
        <f>AND('Yamazumi Data'!#REF!,"AAAAAH2/u6c=")</f>
        <v>#REF!</v>
      </c>
      <c r="FM30" t="e">
        <f>IF('Yamazumi Data'!#REF!,"AAAAAH2/u6g=",0)</f>
        <v>#REF!</v>
      </c>
      <c r="FN30" t="e">
        <f>AND('Yamazumi Data'!#REF!,"AAAAAH2/u6k=")</f>
        <v>#REF!</v>
      </c>
      <c r="FO30" t="e">
        <f>AND('Yamazumi Data'!#REF!,"AAAAAH2/u6o=")</f>
        <v>#REF!</v>
      </c>
      <c r="FP30" t="e">
        <f>AND('Yamazumi Data'!#REF!,"AAAAAH2/u6s=")</f>
        <v>#REF!</v>
      </c>
      <c r="FQ30" t="e">
        <f>AND('Yamazumi Data'!#REF!,"AAAAAH2/u6w=")</f>
        <v>#REF!</v>
      </c>
      <c r="FR30" t="e">
        <f>AND('Yamazumi Data'!#REF!,"AAAAAH2/u60=")</f>
        <v>#REF!</v>
      </c>
      <c r="FS30" t="e">
        <f>AND('Yamazumi Data'!#REF!,"AAAAAH2/u64=")</f>
        <v>#REF!</v>
      </c>
      <c r="FT30" t="e">
        <f>AND('Yamazumi Data'!#REF!,"AAAAAH2/u68=")</f>
        <v>#REF!</v>
      </c>
      <c r="FU30" t="e">
        <f>AND('Yamazumi Data'!#REF!,"AAAAAH2/u7A=")</f>
        <v>#REF!</v>
      </c>
      <c r="FV30" t="e">
        <f>AND('Yamazumi Data'!#REF!,"AAAAAH2/u7E=")</f>
        <v>#REF!</v>
      </c>
      <c r="FW30" t="e">
        <f>AND('Yamazumi Data'!#REF!,"AAAAAH2/u7I=")</f>
        <v>#REF!</v>
      </c>
      <c r="FX30" t="e">
        <f>AND('Yamazumi Data'!#REF!,"AAAAAH2/u7M=")</f>
        <v>#REF!</v>
      </c>
      <c r="FY30" t="e">
        <f>AND('Yamazumi Data'!#REF!,"AAAAAH2/u7Q=")</f>
        <v>#REF!</v>
      </c>
      <c r="FZ30" t="e">
        <f>AND('Yamazumi Data'!#REF!,"AAAAAH2/u7U=")</f>
        <v>#REF!</v>
      </c>
      <c r="GA30" t="e">
        <f>AND('Yamazumi Data'!#REF!,"AAAAAH2/u7Y=")</f>
        <v>#REF!</v>
      </c>
      <c r="GB30" t="e">
        <f>AND('Yamazumi Data'!#REF!,"AAAAAH2/u7c=")</f>
        <v>#REF!</v>
      </c>
      <c r="GC30" t="e">
        <f>AND('Yamazumi Data'!#REF!,"AAAAAH2/u7g=")</f>
        <v>#REF!</v>
      </c>
      <c r="GD30" t="e">
        <f>AND('Yamazumi Data'!#REF!,"AAAAAH2/u7k=")</f>
        <v>#REF!</v>
      </c>
      <c r="GE30" t="e">
        <f>AND('Yamazumi Data'!#REF!,"AAAAAH2/u7o=")</f>
        <v>#REF!</v>
      </c>
      <c r="GF30" t="e">
        <f>AND('Yamazumi Data'!#REF!,"AAAAAH2/u7s=")</f>
        <v>#REF!</v>
      </c>
      <c r="GG30" t="e">
        <f>AND('Yamazumi Data'!#REF!,"AAAAAH2/u7w=")</f>
        <v>#REF!</v>
      </c>
      <c r="GH30" t="e">
        <f>AND('Yamazumi Data'!#REF!,"AAAAAH2/u70=")</f>
        <v>#REF!</v>
      </c>
      <c r="GI30" t="e">
        <f>AND('Yamazumi Data'!#REF!,"AAAAAH2/u74=")</f>
        <v>#REF!</v>
      </c>
      <c r="GJ30" t="e">
        <f>AND('Yamazumi Data'!#REF!,"AAAAAH2/u78=")</f>
        <v>#REF!</v>
      </c>
      <c r="GK30" t="e">
        <f>AND('Yamazumi Data'!#REF!,"AAAAAH2/u8A=")</f>
        <v>#REF!</v>
      </c>
      <c r="GL30" t="e">
        <f>AND('Yamazumi Data'!#REF!,"AAAAAH2/u8E=")</f>
        <v>#REF!</v>
      </c>
      <c r="GM30" t="e">
        <f>AND('Yamazumi Data'!#REF!,"AAAAAH2/u8I=")</f>
        <v>#REF!</v>
      </c>
      <c r="GN30" t="e">
        <f>AND('Yamazumi Data'!#REF!,"AAAAAH2/u8M=")</f>
        <v>#REF!</v>
      </c>
      <c r="GO30" t="e">
        <f>AND('Yamazumi Data'!#REF!,"AAAAAH2/u8Q=")</f>
        <v>#REF!</v>
      </c>
      <c r="GP30" t="e">
        <f>AND('Yamazumi Data'!#REF!,"AAAAAH2/u8U=")</f>
        <v>#REF!</v>
      </c>
      <c r="GQ30" t="e">
        <f>AND('Yamazumi Data'!#REF!,"AAAAAH2/u8Y=")</f>
        <v>#REF!</v>
      </c>
      <c r="GR30" t="e">
        <f>AND('Yamazumi Data'!#REF!,"AAAAAH2/u8c=")</f>
        <v>#REF!</v>
      </c>
      <c r="GS30" t="e">
        <f>AND('Yamazumi Data'!#REF!,"AAAAAH2/u8g=")</f>
        <v>#REF!</v>
      </c>
      <c r="GT30" t="e">
        <f>AND('Yamazumi Data'!#REF!,"AAAAAH2/u8k=")</f>
        <v>#REF!</v>
      </c>
      <c r="GU30" t="e">
        <f>AND('Yamazumi Data'!#REF!,"AAAAAH2/u8o=")</f>
        <v>#REF!</v>
      </c>
      <c r="GV30" t="e">
        <f>AND('Yamazumi Data'!#REF!,"AAAAAH2/u8s=")</f>
        <v>#REF!</v>
      </c>
      <c r="GW30" t="e">
        <f>AND('Yamazumi Data'!#REF!,"AAAAAH2/u8w=")</f>
        <v>#REF!</v>
      </c>
      <c r="GX30" t="e">
        <f>AND('Yamazumi Data'!#REF!,"AAAAAH2/u80=")</f>
        <v>#REF!</v>
      </c>
      <c r="GY30" t="e">
        <f>AND('Yamazumi Data'!#REF!,"AAAAAH2/u84=")</f>
        <v>#REF!</v>
      </c>
      <c r="GZ30" t="e">
        <f>AND('Yamazumi Data'!#REF!,"AAAAAH2/u88=")</f>
        <v>#REF!</v>
      </c>
      <c r="HA30" t="e">
        <f>AND('Yamazumi Data'!#REF!,"AAAAAH2/u9A=")</f>
        <v>#REF!</v>
      </c>
      <c r="HB30" t="e">
        <f>IF('Yamazumi Data'!#REF!,"AAAAAH2/u9E=",0)</f>
        <v>#REF!</v>
      </c>
      <c r="HC30" t="e">
        <f>AND('Yamazumi Data'!#REF!,"AAAAAH2/u9I=")</f>
        <v>#REF!</v>
      </c>
      <c r="HD30" t="e">
        <f>AND('Yamazumi Data'!#REF!,"AAAAAH2/u9M=")</f>
        <v>#REF!</v>
      </c>
      <c r="HE30" t="e">
        <f>AND('Yamazumi Data'!#REF!,"AAAAAH2/u9Q=")</f>
        <v>#REF!</v>
      </c>
      <c r="HF30" t="e">
        <f>AND('Yamazumi Data'!#REF!,"AAAAAH2/u9U=")</f>
        <v>#REF!</v>
      </c>
      <c r="HG30" t="e">
        <f>AND('Yamazumi Data'!#REF!,"AAAAAH2/u9Y=")</f>
        <v>#REF!</v>
      </c>
      <c r="HH30" t="e">
        <f>AND('Yamazumi Data'!#REF!,"AAAAAH2/u9c=")</f>
        <v>#REF!</v>
      </c>
      <c r="HI30" t="e">
        <f>AND('Yamazumi Data'!#REF!,"AAAAAH2/u9g=")</f>
        <v>#REF!</v>
      </c>
      <c r="HJ30" t="e">
        <f>AND('Yamazumi Data'!#REF!,"AAAAAH2/u9k=")</f>
        <v>#REF!</v>
      </c>
      <c r="HK30" t="e">
        <f>AND('Yamazumi Data'!#REF!,"AAAAAH2/u9o=")</f>
        <v>#REF!</v>
      </c>
      <c r="HL30" t="e">
        <f>AND('Yamazumi Data'!#REF!,"AAAAAH2/u9s=")</f>
        <v>#REF!</v>
      </c>
      <c r="HM30" t="e">
        <f>AND('Yamazumi Data'!#REF!,"AAAAAH2/u9w=")</f>
        <v>#REF!</v>
      </c>
      <c r="HN30" t="e">
        <f>AND('Yamazumi Data'!#REF!,"AAAAAH2/u90=")</f>
        <v>#REF!</v>
      </c>
      <c r="HO30" t="e">
        <f>AND('Yamazumi Data'!#REF!,"AAAAAH2/u94=")</f>
        <v>#REF!</v>
      </c>
      <c r="HP30" t="e">
        <f>AND('Yamazumi Data'!#REF!,"AAAAAH2/u98=")</f>
        <v>#REF!</v>
      </c>
      <c r="HQ30" t="e">
        <f>AND('Yamazumi Data'!#REF!,"AAAAAH2/u+A=")</f>
        <v>#REF!</v>
      </c>
      <c r="HR30" t="e">
        <f>AND('Yamazumi Data'!#REF!,"AAAAAH2/u+E=")</f>
        <v>#REF!</v>
      </c>
      <c r="HS30" t="e">
        <f>AND('Yamazumi Data'!#REF!,"AAAAAH2/u+I=")</f>
        <v>#REF!</v>
      </c>
      <c r="HT30" t="e">
        <f>AND('Yamazumi Data'!#REF!,"AAAAAH2/u+M=")</f>
        <v>#REF!</v>
      </c>
      <c r="HU30" t="e">
        <f>AND('Yamazumi Data'!#REF!,"AAAAAH2/u+Q=")</f>
        <v>#REF!</v>
      </c>
      <c r="HV30" t="e">
        <f>AND('Yamazumi Data'!#REF!,"AAAAAH2/u+U=")</f>
        <v>#REF!</v>
      </c>
      <c r="HW30" t="e">
        <f>AND('Yamazumi Data'!#REF!,"AAAAAH2/u+Y=")</f>
        <v>#REF!</v>
      </c>
      <c r="HX30" t="e">
        <f>AND('Yamazumi Data'!#REF!,"AAAAAH2/u+c=")</f>
        <v>#REF!</v>
      </c>
      <c r="HY30" t="e">
        <f>AND('Yamazumi Data'!#REF!,"AAAAAH2/u+g=")</f>
        <v>#REF!</v>
      </c>
      <c r="HZ30" t="e">
        <f>AND('Yamazumi Data'!#REF!,"AAAAAH2/u+k=")</f>
        <v>#REF!</v>
      </c>
      <c r="IA30" t="e">
        <f>AND('Yamazumi Data'!#REF!,"AAAAAH2/u+o=")</f>
        <v>#REF!</v>
      </c>
      <c r="IB30" t="e">
        <f>AND('Yamazumi Data'!#REF!,"AAAAAH2/u+s=")</f>
        <v>#REF!</v>
      </c>
      <c r="IC30" t="e">
        <f>AND('Yamazumi Data'!#REF!,"AAAAAH2/u+w=")</f>
        <v>#REF!</v>
      </c>
      <c r="ID30" t="e">
        <f>AND('Yamazumi Data'!#REF!,"AAAAAH2/u+0=")</f>
        <v>#REF!</v>
      </c>
      <c r="IE30" t="e">
        <f>AND('Yamazumi Data'!#REF!,"AAAAAH2/u+4=")</f>
        <v>#REF!</v>
      </c>
      <c r="IF30" t="e">
        <f>AND('Yamazumi Data'!#REF!,"AAAAAH2/u+8=")</f>
        <v>#REF!</v>
      </c>
      <c r="IG30" t="e">
        <f>AND('Yamazumi Data'!#REF!,"AAAAAH2/u/A=")</f>
        <v>#REF!</v>
      </c>
      <c r="IH30" t="e">
        <f>AND('Yamazumi Data'!#REF!,"AAAAAH2/u/E=")</f>
        <v>#REF!</v>
      </c>
      <c r="II30" t="e">
        <f>AND('Yamazumi Data'!#REF!,"AAAAAH2/u/I=")</f>
        <v>#REF!</v>
      </c>
      <c r="IJ30" t="e">
        <f>AND('Yamazumi Data'!#REF!,"AAAAAH2/u/M=")</f>
        <v>#REF!</v>
      </c>
      <c r="IK30" t="e">
        <f>AND('Yamazumi Data'!#REF!,"AAAAAH2/u/Q=")</f>
        <v>#REF!</v>
      </c>
      <c r="IL30" t="e">
        <f>AND('Yamazumi Data'!#REF!,"AAAAAH2/u/U=")</f>
        <v>#REF!</v>
      </c>
      <c r="IM30" t="e">
        <f>AND('Yamazumi Data'!#REF!,"AAAAAH2/u/Y=")</f>
        <v>#REF!</v>
      </c>
      <c r="IN30" t="e">
        <f>AND('Yamazumi Data'!#REF!,"AAAAAH2/u/c=")</f>
        <v>#REF!</v>
      </c>
      <c r="IO30" t="e">
        <f>AND('Yamazumi Data'!#REF!,"AAAAAH2/u/g=")</f>
        <v>#REF!</v>
      </c>
      <c r="IP30" t="e">
        <f>AND('Yamazumi Data'!#REF!,"AAAAAH2/u/k=")</f>
        <v>#REF!</v>
      </c>
      <c r="IQ30" t="e">
        <f>IF('Yamazumi Data'!#REF!,"AAAAAH2/u/o=",0)</f>
        <v>#REF!</v>
      </c>
      <c r="IR30" t="e">
        <f>AND('Yamazumi Data'!#REF!,"AAAAAH2/u/s=")</f>
        <v>#REF!</v>
      </c>
      <c r="IS30" t="e">
        <f>AND('Yamazumi Data'!#REF!,"AAAAAH2/u/w=")</f>
        <v>#REF!</v>
      </c>
      <c r="IT30" t="e">
        <f>AND('Yamazumi Data'!#REF!,"AAAAAH2/u/0=")</f>
        <v>#REF!</v>
      </c>
      <c r="IU30" t="e">
        <f>AND('Yamazumi Data'!#REF!,"AAAAAH2/u/4=")</f>
        <v>#REF!</v>
      </c>
      <c r="IV30" t="e">
        <f>AND('Yamazumi Data'!#REF!,"AAAAAH2/u/8=")</f>
        <v>#REF!</v>
      </c>
    </row>
    <row r="31" spans="1:256" ht="14.45" x14ac:dyDescent="0.3">
      <c r="A31" t="e">
        <f>AND('Yamazumi Data'!#REF!,"AAAAAC//pwA=")</f>
        <v>#REF!</v>
      </c>
      <c r="B31" t="e">
        <f>AND('Yamazumi Data'!#REF!,"AAAAAC//pwE=")</f>
        <v>#REF!</v>
      </c>
      <c r="C31" t="e">
        <f>AND('Yamazumi Data'!#REF!,"AAAAAC//pwI=")</f>
        <v>#REF!</v>
      </c>
      <c r="D31" t="e">
        <f>AND('Yamazumi Data'!#REF!,"AAAAAC//pwM=")</f>
        <v>#REF!</v>
      </c>
      <c r="E31" t="e">
        <f>AND('Yamazumi Data'!#REF!,"AAAAAC//pwQ=")</f>
        <v>#REF!</v>
      </c>
      <c r="F31" t="e">
        <f>AND('Yamazumi Data'!#REF!,"AAAAAC//pwU=")</f>
        <v>#REF!</v>
      </c>
      <c r="G31" t="e">
        <f>AND('Yamazumi Data'!#REF!,"AAAAAC//pwY=")</f>
        <v>#REF!</v>
      </c>
      <c r="H31" t="e">
        <f>AND('Yamazumi Data'!#REF!,"AAAAAC//pwc=")</f>
        <v>#REF!</v>
      </c>
      <c r="I31" t="e">
        <f>AND('Yamazumi Data'!#REF!,"AAAAAC//pwg=")</f>
        <v>#REF!</v>
      </c>
      <c r="J31" t="e">
        <f>AND('Yamazumi Data'!#REF!,"AAAAAC//pwk=")</f>
        <v>#REF!</v>
      </c>
      <c r="K31" t="e">
        <f>AND('Yamazumi Data'!#REF!,"AAAAAC//pwo=")</f>
        <v>#REF!</v>
      </c>
      <c r="L31" t="e">
        <f>AND('Yamazumi Data'!#REF!,"AAAAAC//pws=")</f>
        <v>#REF!</v>
      </c>
      <c r="M31" t="e">
        <f>AND('Yamazumi Data'!#REF!,"AAAAAC//pww=")</f>
        <v>#REF!</v>
      </c>
      <c r="N31" t="e">
        <f>AND('Yamazumi Data'!#REF!,"AAAAAC//pw0=")</f>
        <v>#REF!</v>
      </c>
      <c r="O31" t="e">
        <f>AND('Yamazumi Data'!#REF!,"AAAAAC//pw4=")</f>
        <v>#REF!</v>
      </c>
      <c r="P31" t="e">
        <f>AND('Yamazumi Data'!#REF!,"AAAAAC//pw8=")</f>
        <v>#REF!</v>
      </c>
      <c r="Q31" t="e">
        <f>AND('Yamazumi Data'!#REF!,"AAAAAC//pxA=")</f>
        <v>#REF!</v>
      </c>
      <c r="R31" t="e">
        <f>AND('Yamazumi Data'!#REF!,"AAAAAC//pxE=")</f>
        <v>#REF!</v>
      </c>
      <c r="S31" t="e">
        <f>AND('Yamazumi Data'!#REF!,"AAAAAC//pxI=")</f>
        <v>#REF!</v>
      </c>
      <c r="T31" t="e">
        <f>AND('Yamazumi Data'!#REF!,"AAAAAC//pxM=")</f>
        <v>#REF!</v>
      </c>
      <c r="U31" t="e">
        <f>AND('Yamazumi Data'!#REF!,"AAAAAC//pxQ=")</f>
        <v>#REF!</v>
      </c>
      <c r="V31" t="e">
        <f>AND('Yamazumi Data'!#REF!,"AAAAAC//pxU=")</f>
        <v>#REF!</v>
      </c>
      <c r="W31" t="e">
        <f>AND('Yamazumi Data'!#REF!,"AAAAAC//pxY=")</f>
        <v>#REF!</v>
      </c>
      <c r="X31" t="e">
        <f>AND('Yamazumi Data'!#REF!,"AAAAAC//pxc=")</f>
        <v>#REF!</v>
      </c>
      <c r="Y31" t="e">
        <f>AND('Yamazumi Data'!#REF!,"AAAAAC//pxg=")</f>
        <v>#REF!</v>
      </c>
      <c r="Z31" t="e">
        <f>AND('Yamazumi Data'!#REF!,"AAAAAC//pxk=")</f>
        <v>#REF!</v>
      </c>
      <c r="AA31" t="e">
        <f>AND('Yamazumi Data'!#REF!,"AAAAAC//pxo=")</f>
        <v>#REF!</v>
      </c>
      <c r="AB31" t="e">
        <f>AND('Yamazumi Data'!#REF!,"AAAAAC//pxs=")</f>
        <v>#REF!</v>
      </c>
      <c r="AC31" t="e">
        <f>AND('Yamazumi Data'!#REF!,"AAAAAC//pxw=")</f>
        <v>#REF!</v>
      </c>
      <c r="AD31" t="e">
        <f>AND('Yamazumi Data'!#REF!,"AAAAAC//px0=")</f>
        <v>#REF!</v>
      </c>
      <c r="AE31" t="e">
        <f>AND('Yamazumi Data'!#REF!,"AAAAAC//px4=")</f>
        <v>#REF!</v>
      </c>
      <c r="AF31" t="e">
        <f>AND('Yamazumi Data'!#REF!,"AAAAAC//px8=")</f>
        <v>#REF!</v>
      </c>
      <c r="AG31" t="e">
        <f>AND('Yamazumi Data'!#REF!,"AAAAAC//pyA=")</f>
        <v>#REF!</v>
      </c>
      <c r="AH31" t="e">
        <f>AND('Yamazumi Data'!#REF!,"AAAAAC//pyE=")</f>
        <v>#REF!</v>
      </c>
      <c r="AI31" t="e">
        <f>AND('Yamazumi Data'!#REF!,"AAAAAC//pyI=")</f>
        <v>#REF!</v>
      </c>
      <c r="AJ31" t="e">
        <f>IF('Yamazumi Data'!#REF!,"AAAAAC//pyM=",0)</f>
        <v>#REF!</v>
      </c>
      <c r="AK31" t="e">
        <f>AND('Yamazumi Data'!#REF!,"AAAAAC//pyQ=")</f>
        <v>#REF!</v>
      </c>
      <c r="AL31" t="e">
        <f>AND('Yamazumi Data'!#REF!,"AAAAAC//pyU=")</f>
        <v>#REF!</v>
      </c>
      <c r="AM31" t="e">
        <f>AND('Yamazumi Data'!#REF!,"AAAAAC//pyY=")</f>
        <v>#REF!</v>
      </c>
      <c r="AN31" t="e">
        <f>AND('Yamazumi Data'!#REF!,"AAAAAC//pyc=")</f>
        <v>#REF!</v>
      </c>
      <c r="AO31" t="e">
        <f>AND('Yamazumi Data'!#REF!,"AAAAAC//pyg=")</f>
        <v>#REF!</v>
      </c>
      <c r="AP31" t="e">
        <f>AND('Yamazumi Data'!#REF!,"AAAAAC//pyk=")</f>
        <v>#REF!</v>
      </c>
      <c r="AQ31" t="e">
        <f>AND('Yamazumi Data'!#REF!,"AAAAAC//pyo=")</f>
        <v>#REF!</v>
      </c>
      <c r="AR31" t="e">
        <f>AND('Yamazumi Data'!#REF!,"AAAAAC//pys=")</f>
        <v>#REF!</v>
      </c>
      <c r="AS31" t="e">
        <f>AND('Yamazumi Data'!#REF!,"AAAAAC//pyw=")</f>
        <v>#REF!</v>
      </c>
      <c r="AT31" t="e">
        <f>AND('Yamazumi Data'!#REF!,"AAAAAC//py0=")</f>
        <v>#REF!</v>
      </c>
      <c r="AU31" t="e">
        <f>AND('Yamazumi Data'!#REF!,"AAAAAC//py4=")</f>
        <v>#REF!</v>
      </c>
      <c r="AV31" t="e">
        <f>AND('Yamazumi Data'!#REF!,"AAAAAC//py8=")</f>
        <v>#REF!</v>
      </c>
      <c r="AW31" t="e">
        <f>AND('Yamazumi Data'!#REF!,"AAAAAC//pzA=")</f>
        <v>#REF!</v>
      </c>
      <c r="AX31" t="e">
        <f>AND('Yamazumi Data'!#REF!,"AAAAAC//pzE=")</f>
        <v>#REF!</v>
      </c>
      <c r="AY31" t="e">
        <f>AND('Yamazumi Data'!#REF!,"AAAAAC//pzI=")</f>
        <v>#REF!</v>
      </c>
      <c r="AZ31" t="e">
        <f>AND('Yamazumi Data'!#REF!,"AAAAAC//pzM=")</f>
        <v>#REF!</v>
      </c>
      <c r="BA31" t="e">
        <f>AND('Yamazumi Data'!#REF!,"AAAAAC//pzQ=")</f>
        <v>#REF!</v>
      </c>
      <c r="BB31" t="e">
        <f>AND('Yamazumi Data'!#REF!,"AAAAAC//pzU=")</f>
        <v>#REF!</v>
      </c>
      <c r="BC31" t="e">
        <f>AND('Yamazumi Data'!#REF!,"AAAAAC//pzY=")</f>
        <v>#REF!</v>
      </c>
      <c r="BD31" t="e">
        <f>AND('Yamazumi Data'!#REF!,"AAAAAC//pzc=")</f>
        <v>#REF!</v>
      </c>
      <c r="BE31" t="e">
        <f>AND('Yamazumi Data'!#REF!,"AAAAAC//pzg=")</f>
        <v>#REF!</v>
      </c>
      <c r="BF31" t="e">
        <f>AND('Yamazumi Data'!#REF!,"AAAAAC//pzk=")</f>
        <v>#REF!</v>
      </c>
      <c r="BG31" t="e">
        <f>AND('Yamazumi Data'!#REF!,"AAAAAC//pzo=")</f>
        <v>#REF!</v>
      </c>
      <c r="BH31" t="e">
        <f>AND('Yamazumi Data'!#REF!,"AAAAAC//pzs=")</f>
        <v>#REF!</v>
      </c>
      <c r="BI31" t="e">
        <f>AND('Yamazumi Data'!#REF!,"AAAAAC//pzw=")</f>
        <v>#REF!</v>
      </c>
      <c r="BJ31" t="e">
        <f>AND('Yamazumi Data'!#REF!,"AAAAAC//pz0=")</f>
        <v>#REF!</v>
      </c>
      <c r="BK31" t="e">
        <f>AND('Yamazumi Data'!#REF!,"AAAAAC//pz4=")</f>
        <v>#REF!</v>
      </c>
      <c r="BL31" t="e">
        <f>AND('Yamazumi Data'!#REF!,"AAAAAC//pz8=")</f>
        <v>#REF!</v>
      </c>
      <c r="BM31" t="e">
        <f>AND('Yamazumi Data'!#REF!,"AAAAAC//p0A=")</f>
        <v>#REF!</v>
      </c>
      <c r="BN31" t="e">
        <f>AND('Yamazumi Data'!#REF!,"AAAAAC//p0E=")</f>
        <v>#REF!</v>
      </c>
      <c r="BO31" t="e">
        <f>AND('Yamazumi Data'!#REF!,"AAAAAC//p0I=")</f>
        <v>#REF!</v>
      </c>
      <c r="BP31" t="e">
        <f>AND('Yamazumi Data'!#REF!,"AAAAAC//p0M=")</f>
        <v>#REF!</v>
      </c>
      <c r="BQ31" t="e">
        <f>AND('Yamazumi Data'!#REF!,"AAAAAC//p0Q=")</f>
        <v>#REF!</v>
      </c>
      <c r="BR31" t="e">
        <f>AND('Yamazumi Data'!#REF!,"AAAAAC//p0U=")</f>
        <v>#REF!</v>
      </c>
      <c r="BS31" t="e">
        <f>AND('Yamazumi Data'!#REF!,"AAAAAC//p0Y=")</f>
        <v>#REF!</v>
      </c>
      <c r="BT31" t="e">
        <f>AND('Yamazumi Data'!#REF!,"AAAAAC//p0c=")</f>
        <v>#REF!</v>
      </c>
      <c r="BU31" t="e">
        <f>AND('Yamazumi Data'!#REF!,"AAAAAC//p0g=")</f>
        <v>#REF!</v>
      </c>
      <c r="BV31" t="e">
        <f>AND('Yamazumi Data'!#REF!,"AAAAAC//p0k=")</f>
        <v>#REF!</v>
      </c>
      <c r="BW31" t="e">
        <f>AND('Yamazumi Data'!#REF!,"AAAAAC//p0o=")</f>
        <v>#REF!</v>
      </c>
      <c r="BX31" t="e">
        <f>AND('Yamazumi Data'!#REF!,"AAAAAC//p0s=")</f>
        <v>#REF!</v>
      </c>
      <c r="BY31" t="e">
        <f>IF('Yamazumi Data'!#REF!,"AAAAAC//p0w=",0)</f>
        <v>#REF!</v>
      </c>
      <c r="BZ31" t="e">
        <f>AND('Yamazumi Data'!#REF!,"AAAAAC//p00=")</f>
        <v>#REF!</v>
      </c>
      <c r="CA31" t="e">
        <f>AND('Yamazumi Data'!#REF!,"AAAAAC//p04=")</f>
        <v>#REF!</v>
      </c>
      <c r="CB31" t="e">
        <f>AND('Yamazumi Data'!#REF!,"AAAAAC//p08=")</f>
        <v>#REF!</v>
      </c>
      <c r="CC31" t="e">
        <f>AND('Yamazumi Data'!#REF!,"AAAAAC//p1A=")</f>
        <v>#REF!</v>
      </c>
      <c r="CD31" t="e">
        <f>AND('Yamazumi Data'!#REF!,"AAAAAC//p1E=")</f>
        <v>#REF!</v>
      </c>
      <c r="CE31" t="e">
        <f>AND('Yamazumi Data'!#REF!,"AAAAAC//p1I=")</f>
        <v>#REF!</v>
      </c>
      <c r="CF31" t="e">
        <f>AND('Yamazumi Data'!#REF!,"AAAAAC//p1M=")</f>
        <v>#REF!</v>
      </c>
      <c r="CG31" t="e">
        <f>AND('Yamazumi Data'!#REF!,"AAAAAC//p1Q=")</f>
        <v>#REF!</v>
      </c>
      <c r="CH31" t="e">
        <f>AND('Yamazumi Data'!#REF!,"AAAAAC//p1U=")</f>
        <v>#REF!</v>
      </c>
      <c r="CI31" t="e">
        <f>AND('Yamazumi Data'!#REF!,"AAAAAC//p1Y=")</f>
        <v>#REF!</v>
      </c>
      <c r="CJ31" t="e">
        <f>AND('Yamazumi Data'!#REF!,"AAAAAC//p1c=")</f>
        <v>#REF!</v>
      </c>
      <c r="CK31" t="e">
        <f>AND('Yamazumi Data'!#REF!,"AAAAAC//p1g=")</f>
        <v>#REF!</v>
      </c>
      <c r="CL31" t="e">
        <f>AND('Yamazumi Data'!#REF!,"AAAAAC//p1k=")</f>
        <v>#REF!</v>
      </c>
      <c r="CM31" t="e">
        <f>AND('Yamazumi Data'!#REF!,"AAAAAC//p1o=")</f>
        <v>#REF!</v>
      </c>
      <c r="CN31" t="e">
        <f>AND('Yamazumi Data'!#REF!,"AAAAAC//p1s=")</f>
        <v>#REF!</v>
      </c>
      <c r="CO31" t="e">
        <f>AND('Yamazumi Data'!#REF!,"AAAAAC//p1w=")</f>
        <v>#REF!</v>
      </c>
      <c r="CP31" t="e">
        <f>AND('Yamazumi Data'!#REF!,"AAAAAC//p10=")</f>
        <v>#REF!</v>
      </c>
      <c r="CQ31" t="e">
        <f>AND('Yamazumi Data'!#REF!,"AAAAAC//p14=")</f>
        <v>#REF!</v>
      </c>
      <c r="CR31" t="e">
        <f>AND('Yamazumi Data'!#REF!,"AAAAAC//p18=")</f>
        <v>#REF!</v>
      </c>
      <c r="CS31" t="e">
        <f>AND('Yamazumi Data'!#REF!,"AAAAAC//p2A=")</f>
        <v>#REF!</v>
      </c>
      <c r="CT31" t="e">
        <f>AND('Yamazumi Data'!#REF!,"AAAAAC//p2E=")</f>
        <v>#REF!</v>
      </c>
      <c r="CU31" t="e">
        <f>AND('Yamazumi Data'!#REF!,"AAAAAC//p2I=")</f>
        <v>#REF!</v>
      </c>
      <c r="CV31" t="e">
        <f>AND('Yamazumi Data'!#REF!,"AAAAAC//p2M=")</f>
        <v>#REF!</v>
      </c>
      <c r="CW31" t="e">
        <f>AND('Yamazumi Data'!#REF!,"AAAAAC//p2Q=")</f>
        <v>#REF!</v>
      </c>
      <c r="CX31" t="e">
        <f>AND('Yamazumi Data'!#REF!,"AAAAAC//p2U=")</f>
        <v>#REF!</v>
      </c>
      <c r="CY31" t="e">
        <f>AND('Yamazumi Data'!#REF!,"AAAAAC//p2Y=")</f>
        <v>#REF!</v>
      </c>
      <c r="CZ31" t="e">
        <f>AND('Yamazumi Data'!#REF!,"AAAAAC//p2c=")</f>
        <v>#REF!</v>
      </c>
      <c r="DA31" t="e">
        <f>AND('Yamazumi Data'!#REF!,"AAAAAC//p2g=")</f>
        <v>#REF!</v>
      </c>
      <c r="DB31" t="e">
        <f>AND('Yamazumi Data'!#REF!,"AAAAAC//p2k=")</f>
        <v>#REF!</v>
      </c>
      <c r="DC31" t="e">
        <f>AND('Yamazumi Data'!#REF!,"AAAAAC//p2o=")</f>
        <v>#REF!</v>
      </c>
      <c r="DD31" t="e">
        <f>AND('Yamazumi Data'!#REF!,"AAAAAC//p2s=")</f>
        <v>#REF!</v>
      </c>
      <c r="DE31" t="e">
        <f>AND('Yamazumi Data'!#REF!,"AAAAAC//p2w=")</f>
        <v>#REF!</v>
      </c>
      <c r="DF31" t="e">
        <f>AND('Yamazumi Data'!#REF!,"AAAAAC//p20=")</f>
        <v>#REF!</v>
      </c>
      <c r="DG31" t="e">
        <f>AND('Yamazumi Data'!#REF!,"AAAAAC//p24=")</f>
        <v>#REF!</v>
      </c>
      <c r="DH31" t="e">
        <f>AND('Yamazumi Data'!#REF!,"AAAAAC//p28=")</f>
        <v>#REF!</v>
      </c>
      <c r="DI31" t="e">
        <f>AND('Yamazumi Data'!#REF!,"AAAAAC//p3A=")</f>
        <v>#REF!</v>
      </c>
      <c r="DJ31" t="e">
        <f>AND('Yamazumi Data'!#REF!,"AAAAAC//p3E=")</f>
        <v>#REF!</v>
      </c>
      <c r="DK31" t="e">
        <f>AND('Yamazumi Data'!#REF!,"AAAAAC//p3I=")</f>
        <v>#REF!</v>
      </c>
      <c r="DL31" t="e">
        <f>AND('Yamazumi Data'!#REF!,"AAAAAC//p3M=")</f>
        <v>#REF!</v>
      </c>
      <c r="DM31" t="e">
        <f>AND('Yamazumi Data'!#REF!,"AAAAAC//p3Q=")</f>
        <v>#REF!</v>
      </c>
      <c r="DN31" t="e">
        <f>IF('Yamazumi Data'!#REF!,"AAAAAC//p3U=",0)</f>
        <v>#REF!</v>
      </c>
      <c r="DO31" t="e">
        <f>AND('Yamazumi Data'!#REF!,"AAAAAC//p3Y=")</f>
        <v>#REF!</v>
      </c>
      <c r="DP31" t="e">
        <f>AND('Yamazumi Data'!#REF!,"AAAAAC//p3c=")</f>
        <v>#REF!</v>
      </c>
      <c r="DQ31" t="e">
        <f>AND('Yamazumi Data'!#REF!,"AAAAAC//p3g=")</f>
        <v>#REF!</v>
      </c>
      <c r="DR31" t="e">
        <f>AND('Yamazumi Data'!#REF!,"AAAAAC//p3k=")</f>
        <v>#REF!</v>
      </c>
      <c r="DS31" t="e">
        <f>AND('Yamazumi Data'!#REF!,"AAAAAC//p3o=")</f>
        <v>#REF!</v>
      </c>
      <c r="DT31" t="e">
        <f>AND('Yamazumi Data'!#REF!,"AAAAAC//p3s=")</f>
        <v>#REF!</v>
      </c>
      <c r="DU31" t="e">
        <f>AND('Yamazumi Data'!#REF!,"AAAAAC//p3w=")</f>
        <v>#REF!</v>
      </c>
      <c r="DV31" t="e">
        <f>AND('Yamazumi Data'!#REF!,"AAAAAC//p30=")</f>
        <v>#REF!</v>
      </c>
      <c r="DW31" t="e">
        <f>AND('Yamazumi Data'!#REF!,"AAAAAC//p34=")</f>
        <v>#REF!</v>
      </c>
      <c r="DX31" t="e">
        <f>AND('Yamazumi Data'!#REF!,"AAAAAC//p38=")</f>
        <v>#REF!</v>
      </c>
      <c r="DY31" t="e">
        <f>AND('Yamazumi Data'!#REF!,"AAAAAC//p4A=")</f>
        <v>#REF!</v>
      </c>
      <c r="DZ31" t="e">
        <f>AND('Yamazumi Data'!#REF!,"AAAAAC//p4E=")</f>
        <v>#REF!</v>
      </c>
      <c r="EA31" t="e">
        <f>AND('Yamazumi Data'!#REF!,"AAAAAC//p4I=")</f>
        <v>#REF!</v>
      </c>
      <c r="EB31" t="e">
        <f>AND('Yamazumi Data'!#REF!,"AAAAAC//p4M=")</f>
        <v>#REF!</v>
      </c>
      <c r="EC31" t="e">
        <f>AND('Yamazumi Data'!#REF!,"AAAAAC//p4Q=")</f>
        <v>#REF!</v>
      </c>
      <c r="ED31" t="e">
        <f>AND('Yamazumi Data'!#REF!,"AAAAAC//p4U=")</f>
        <v>#REF!</v>
      </c>
      <c r="EE31" t="e">
        <f>AND('Yamazumi Data'!#REF!,"AAAAAC//p4Y=")</f>
        <v>#REF!</v>
      </c>
      <c r="EF31" t="e">
        <f>AND('Yamazumi Data'!#REF!,"AAAAAC//p4c=")</f>
        <v>#REF!</v>
      </c>
      <c r="EG31" t="e">
        <f>AND('Yamazumi Data'!#REF!,"AAAAAC//p4g=")</f>
        <v>#REF!</v>
      </c>
      <c r="EH31" t="e">
        <f>AND('Yamazumi Data'!#REF!,"AAAAAC//p4k=")</f>
        <v>#REF!</v>
      </c>
      <c r="EI31" t="e">
        <f>AND('Yamazumi Data'!#REF!,"AAAAAC//p4o=")</f>
        <v>#REF!</v>
      </c>
      <c r="EJ31" t="e">
        <f>AND('Yamazumi Data'!#REF!,"AAAAAC//p4s=")</f>
        <v>#REF!</v>
      </c>
      <c r="EK31" t="e">
        <f>AND('Yamazumi Data'!#REF!,"AAAAAC//p4w=")</f>
        <v>#REF!</v>
      </c>
      <c r="EL31" t="e">
        <f>AND('Yamazumi Data'!#REF!,"AAAAAC//p40=")</f>
        <v>#REF!</v>
      </c>
      <c r="EM31" t="e">
        <f>AND('Yamazumi Data'!#REF!,"AAAAAC//p44=")</f>
        <v>#REF!</v>
      </c>
      <c r="EN31" t="e">
        <f>AND('Yamazumi Data'!#REF!,"AAAAAC//p48=")</f>
        <v>#REF!</v>
      </c>
      <c r="EO31" t="e">
        <f>AND('Yamazumi Data'!#REF!,"AAAAAC//p5A=")</f>
        <v>#REF!</v>
      </c>
      <c r="EP31" t="e">
        <f>AND('Yamazumi Data'!#REF!,"AAAAAC//p5E=")</f>
        <v>#REF!</v>
      </c>
      <c r="EQ31" t="e">
        <f>AND('Yamazumi Data'!#REF!,"AAAAAC//p5I=")</f>
        <v>#REF!</v>
      </c>
      <c r="ER31" t="e">
        <f>AND('Yamazumi Data'!#REF!,"AAAAAC//p5M=")</f>
        <v>#REF!</v>
      </c>
      <c r="ES31" t="e">
        <f>AND('Yamazumi Data'!#REF!,"AAAAAC//p5Q=")</f>
        <v>#REF!</v>
      </c>
      <c r="ET31" t="e">
        <f>AND('Yamazumi Data'!#REF!,"AAAAAC//p5U=")</f>
        <v>#REF!</v>
      </c>
      <c r="EU31" t="e">
        <f>AND('Yamazumi Data'!#REF!,"AAAAAC//p5Y=")</f>
        <v>#REF!</v>
      </c>
      <c r="EV31" t="e">
        <f>AND('Yamazumi Data'!#REF!,"AAAAAC//p5c=")</f>
        <v>#REF!</v>
      </c>
      <c r="EW31" t="e">
        <f>AND('Yamazumi Data'!#REF!,"AAAAAC//p5g=")</f>
        <v>#REF!</v>
      </c>
      <c r="EX31" t="e">
        <f>AND('Yamazumi Data'!#REF!,"AAAAAC//p5k=")</f>
        <v>#REF!</v>
      </c>
      <c r="EY31" t="e">
        <f>AND('Yamazumi Data'!#REF!,"AAAAAC//p5o=")</f>
        <v>#REF!</v>
      </c>
      <c r="EZ31" t="e">
        <f>AND('Yamazumi Data'!#REF!,"AAAAAC//p5s=")</f>
        <v>#REF!</v>
      </c>
      <c r="FA31" t="e">
        <f>AND('Yamazumi Data'!#REF!,"AAAAAC//p5w=")</f>
        <v>#REF!</v>
      </c>
      <c r="FB31" t="e">
        <f>AND('Yamazumi Data'!#REF!,"AAAAAC//p50=")</f>
        <v>#REF!</v>
      </c>
      <c r="FC31" t="e">
        <f>IF('Yamazumi Data'!#REF!,"AAAAAC//p54=",0)</f>
        <v>#REF!</v>
      </c>
      <c r="FD31" t="e">
        <f>AND('Yamazumi Data'!#REF!,"AAAAAC//p58=")</f>
        <v>#REF!</v>
      </c>
      <c r="FE31" t="e">
        <f>AND('Yamazumi Data'!#REF!,"AAAAAC//p6A=")</f>
        <v>#REF!</v>
      </c>
      <c r="FF31" t="e">
        <f>AND('Yamazumi Data'!#REF!,"AAAAAC//p6E=")</f>
        <v>#REF!</v>
      </c>
      <c r="FG31" t="e">
        <f>AND('Yamazumi Data'!#REF!,"AAAAAC//p6I=")</f>
        <v>#REF!</v>
      </c>
      <c r="FH31" t="e">
        <f>AND('Yamazumi Data'!#REF!,"AAAAAC//p6M=")</f>
        <v>#REF!</v>
      </c>
      <c r="FI31" t="e">
        <f>AND('Yamazumi Data'!#REF!,"AAAAAC//p6Q=")</f>
        <v>#REF!</v>
      </c>
      <c r="FJ31" t="e">
        <f>AND('Yamazumi Data'!#REF!,"AAAAAC//p6U=")</f>
        <v>#REF!</v>
      </c>
      <c r="FK31" t="e">
        <f>AND('Yamazumi Data'!#REF!,"AAAAAC//p6Y=")</f>
        <v>#REF!</v>
      </c>
      <c r="FL31" t="e">
        <f>AND('Yamazumi Data'!#REF!,"AAAAAC//p6c=")</f>
        <v>#REF!</v>
      </c>
      <c r="FM31" t="e">
        <f>AND('Yamazumi Data'!#REF!,"AAAAAC//p6g=")</f>
        <v>#REF!</v>
      </c>
      <c r="FN31" t="e">
        <f>AND('Yamazumi Data'!#REF!,"AAAAAC//p6k=")</f>
        <v>#REF!</v>
      </c>
      <c r="FO31" t="e">
        <f>AND('Yamazumi Data'!#REF!,"AAAAAC//p6o=")</f>
        <v>#REF!</v>
      </c>
      <c r="FP31" t="e">
        <f>AND('Yamazumi Data'!#REF!,"AAAAAC//p6s=")</f>
        <v>#REF!</v>
      </c>
      <c r="FQ31" t="e">
        <f>AND('Yamazumi Data'!#REF!,"AAAAAC//p6w=")</f>
        <v>#REF!</v>
      </c>
      <c r="FR31" t="e">
        <f>AND('Yamazumi Data'!#REF!,"AAAAAC//p60=")</f>
        <v>#REF!</v>
      </c>
      <c r="FS31" t="e">
        <f>AND('Yamazumi Data'!#REF!,"AAAAAC//p64=")</f>
        <v>#REF!</v>
      </c>
      <c r="FT31" t="e">
        <f>AND('Yamazumi Data'!#REF!,"AAAAAC//p68=")</f>
        <v>#REF!</v>
      </c>
      <c r="FU31" t="e">
        <f>AND('Yamazumi Data'!#REF!,"AAAAAC//p7A=")</f>
        <v>#REF!</v>
      </c>
      <c r="FV31" t="e">
        <f>AND('Yamazumi Data'!#REF!,"AAAAAC//p7E=")</f>
        <v>#REF!</v>
      </c>
      <c r="FW31" t="e">
        <f>AND('Yamazumi Data'!#REF!,"AAAAAC//p7I=")</f>
        <v>#REF!</v>
      </c>
      <c r="FX31" t="e">
        <f>AND('Yamazumi Data'!#REF!,"AAAAAC//p7M=")</f>
        <v>#REF!</v>
      </c>
      <c r="FY31" t="e">
        <f>AND('Yamazumi Data'!#REF!,"AAAAAC//p7Q=")</f>
        <v>#REF!</v>
      </c>
      <c r="FZ31" t="e">
        <f>AND('Yamazumi Data'!#REF!,"AAAAAC//p7U=")</f>
        <v>#REF!</v>
      </c>
      <c r="GA31" t="e">
        <f>AND('Yamazumi Data'!#REF!,"AAAAAC//p7Y=")</f>
        <v>#REF!</v>
      </c>
      <c r="GB31" t="e">
        <f>AND('Yamazumi Data'!#REF!,"AAAAAC//p7c=")</f>
        <v>#REF!</v>
      </c>
      <c r="GC31" t="e">
        <f>AND('Yamazumi Data'!#REF!,"AAAAAC//p7g=")</f>
        <v>#REF!</v>
      </c>
      <c r="GD31" t="e">
        <f>AND('Yamazumi Data'!#REF!,"AAAAAC//p7k=")</f>
        <v>#REF!</v>
      </c>
      <c r="GE31" t="e">
        <f>AND('Yamazumi Data'!#REF!,"AAAAAC//p7o=")</f>
        <v>#REF!</v>
      </c>
      <c r="GF31" t="e">
        <f>AND('Yamazumi Data'!#REF!,"AAAAAC//p7s=")</f>
        <v>#REF!</v>
      </c>
      <c r="GG31" t="e">
        <f>AND('Yamazumi Data'!#REF!,"AAAAAC//p7w=")</f>
        <v>#REF!</v>
      </c>
      <c r="GH31" t="e">
        <f>AND('Yamazumi Data'!#REF!,"AAAAAC//p70=")</f>
        <v>#REF!</v>
      </c>
      <c r="GI31" t="e">
        <f>AND('Yamazumi Data'!#REF!,"AAAAAC//p74=")</f>
        <v>#REF!</v>
      </c>
      <c r="GJ31" t="e">
        <f>AND('Yamazumi Data'!#REF!,"AAAAAC//p78=")</f>
        <v>#REF!</v>
      </c>
      <c r="GK31" t="e">
        <f>AND('Yamazumi Data'!#REF!,"AAAAAC//p8A=")</f>
        <v>#REF!</v>
      </c>
      <c r="GL31" t="e">
        <f>AND('Yamazumi Data'!#REF!,"AAAAAC//p8E=")</f>
        <v>#REF!</v>
      </c>
      <c r="GM31" t="e">
        <f>AND('Yamazumi Data'!#REF!,"AAAAAC//p8I=")</f>
        <v>#REF!</v>
      </c>
      <c r="GN31" t="e">
        <f>AND('Yamazumi Data'!#REF!,"AAAAAC//p8M=")</f>
        <v>#REF!</v>
      </c>
      <c r="GO31" t="e">
        <f>AND('Yamazumi Data'!#REF!,"AAAAAC//p8Q=")</f>
        <v>#REF!</v>
      </c>
      <c r="GP31" t="e">
        <f>AND('Yamazumi Data'!#REF!,"AAAAAC//p8U=")</f>
        <v>#REF!</v>
      </c>
      <c r="GQ31" t="e">
        <f>AND('Yamazumi Data'!#REF!,"AAAAAC//p8Y=")</f>
        <v>#REF!</v>
      </c>
      <c r="GR31" t="e">
        <f>IF('Yamazumi Data'!#REF!,"AAAAAC//p8c=",0)</f>
        <v>#REF!</v>
      </c>
      <c r="GS31" t="e">
        <f>AND('Yamazumi Data'!#REF!,"AAAAAC//p8g=")</f>
        <v>#REF!</v>
      </c>
      <c r="GT31" t="e">
        <f>AND('Yamazumi Data'!#REF!,"AAAAAC//p8k=")</f>
        <v>#REF!</v>
      </c>
      <c r="GU31" t="e">
        <f>AND('Yamazumi Data'!#REF!,"AAAAAC//p8o=")</f>
        <v>#REF!</v>
      </c>
      <c r="GV31" t="e">
        <f>AND('Yamazumi Data'!#REF!,"AAAAAC//p8s=")</f>
        <v>#REF!</v>
      </c>
      <c r="GW31" t="e">
        <f>AND('Yamazumi Data'!#REF!,"AAAAAC//p8w=")</f>
        <v>#REF!</v>
      </c>
      <c r="GX31" t="e">
        <f>AND('Yamazumi Data'!#REF!,"AAAAAC//p80=")</f>
        <v>#REF!</v>
      </c>
      <c r="GY31" t="e">
        <f>AND('Yamazumi Data'!#REF!,"AAAAAC//p84=")</f>
        <v>#REF!</v>
      </c>
      <c r="GZ31" t="e">
        <f>AND('Yamazumi Data'!#REF!,"AAAAAC//p88=")</f>
        <v>#REF!</v>
      </c>
      <c r="HA31" t="e">
        <f>AND('Yamazumi Data'!#REF!,"AAAAAC//p9A=")</f>
        <v>#REF!</v>
      </c>
      <c r="HB31" t="e">
        <f>AND('Yamazumi Data'!#REF!,"AAAAAC//p9E=")</f>
        <v>#REF!</v>
      </c>
      <c r="HC31" t="e">
        <f>AND('Yamazumi Data'!#REF!,"AAAAAC//p9I=")</f>
        <v>#REF!</v>
      </c>
      <c r="HD31" t="e">
        <f>AND('Yamazumi Data'!#REF!,"AAAAAC//p9M=")</f>
        <v>#REF!</v>
      </c>
      <c r="HE31" t="e">
        <f>AND('Yamazumi Data'!#REF!,"AAAAAC//p9Q=")</f>
        <v>#REF!</v>
      </c>
      <c r="HF31" t="e">
        <f>AND('Yamazumi Data'!#REF!,"AAAAAC//p9U=")</f>
        <v>#REF!</v>
      </c>
      <c r="HG31" t="e">
        <f>AND('Yamazumi Data'!#REF!,"AAAAAC//p9Y=")</f>
        <v>#REF!</v>
      </c>
      <c r="HH31" t="e">
        <f>AND('Yamazumi Data'!#REF!,"AAAAAC//p9c=")</f>
        <v>#REF!</v>
      </c>
      <c r="HI31" t="e">
        <f>AND('Yamazumi Data'!#REF!,"AAAAAC//p9g=")</f>
        <v>#REF!</v>
      </c>
      <c r="HJ31" t="e">
        <f>AND('Yamazumi Data'!#REF!,"AAAAAC//p9k=")</f>
        <v>#REF!</v>
      </c>
      <c r="HK31" t="e">
        <f>AND('Yamazumi Data'!#REF!,"AAAAAC//p9o=")</f>
        <v>#REF!</v>
      </c>
      <c r="HL31" t="e">
        <f>AND('Yamazumi Data'!#REF!,"AAAAAC//p9s=")</f>
        <v>#REF!</v>
      </c>
      <c r="HM31" t="e">
        <f>AND('Yamazumi Data'!#REF!,"AAAAAC//p9w=")</f>
        <v>#REF!</v>
      </c>
      <c r="HN31" t="e">
        <f>AND('Yamazumi Data'!#REF!,"AAAAAC//p90=")</f>
        <v>#REF!</v>
      </c>
      <c r="HO31" t="e">
        <f>AND('Yamazumi Data'!#REF!,"AAAAAC//p94=")</f>
        <v>#REF!</v>
      </c>
      <c r="HP31" t="e">
        <f>AND('Yamazumi Data'!#REF!,"AAAAAC//p98=")</f>
        <v>#REF!</v>
      </c>
      <c r="HQ31" t="e">
        <f>AND('Yamazumi Data'!#REF!,"AAAAAC//p+A=")</f>
        <v>#REF!</v>
      </c>
      <c r="HR31" t="e">
        <f>AND('Yamazumi Data'!#REF!,"AAAAAC//p+E=")</f>
        <v>#REF!</v>
      </c>
      <c r="HS31" t="e">
        <f>AND('Yamazumi Data'!#REF!,"AAAAAC//p+I=")</f>
        <v>#REF!</v>
      </c>
      <c r="HT31" t="e">
        <f>AND('Yamazumi Data'!#REF!,"AAAAAC//p+M=")</f>
        <v>#REF!</v>
      </c>
      <c r="HU31" t="e">
        <f>AND('Yamazumi Data'!#REF!,"AAAAAC//p+Q=")</f>
        <v>#REF!</v>
      </c>
      <c r="HV31" t="e">
        <f>AND('Yamazumi Data'!#REF!,"AAAAAC//p+U=")</f>
        <v>#REF!</v>
      </c>
      <c r="HW31" t="e">
        <f>AND('Yamazumi Data'!#REF!,"AAAAAC//p+Y=")</f>
        <v>#REF!</v>
      </c>
      <c r="HX31" t="e">
        <f>AND('Yamazumi Data'!#REF!,"AAAAAC//p+c=")</f>
        <v>#REF!</v>
      </c>
      <c r="HY31" t="e">
        <f>AND('Yamazumi Data'!#REF!,"AAAAAC//p+g=")</f>
        <v>#REF!</v>
      </c>
      <c r="HZ31" t="e">
        <f>AND('Yamazumi Data'!#REF!,"AAAAAC//p+k=")</f>
        <v>#REF!</v>
      </c>
      <c r="IA31" t="e">
        <f>AND('Yamazumi Data'!#REF!,"AAAAAC//p+o=")</f>
        <v>#REF!</v>
      </c>
      <c r="IB31" t="e">
        <f>AND('Yamazumi Data'!#REF!,"AAAAAC//p+s=")</f>
        <v>#REF!</v>
      </c>
      <c r="IC31" t="e">
        <f>AND('Yamazumi Data'!#REF!,"AAAAAC//p+w=")</f>
        <v>#REF!</v>
      </c>
      <c r="ID31" t="e">
        <f>AND('Yamazumi Data'!#REF!,"AAAAAC//p+0=")</f>
        <v>#REF!</v>
      </c>
      <c r="IE31" t="e">
        <f>AND('Yamazumi Data'!#REF!,"AAAAAC//p+4=")</f>
        <v>#REF!</v>
      </c>
      <c r="IF31" t="e">
        <f>AND('Yamazumi Data'!#REF!,"AAAAAC//p+8=")</f>
        <v>#REF!</v>
      </c>
      <c r="IG31" t="e">
        <f>IF('Yamazumi Data'!#REF!,"AAAAAC//p/A=",0)</f>
        <v>#REF!</v>
      </c>
      <c r="IH31" t="e">
        <f>AND('Yamazumi Data'!#REF!,"AAAAAC//p/E=")</f>
        <v>#REF!</v>
      </c>
      <c r="II31" t="e">
        <f>AND('Yamazumi Data'!#REF!,"AAAAAC//p/I=")</f>
        <v>#REF!</v>
      </c>
      <c r="IJ31" t="e">
        <f>AND('Yamazumi Data'!#REF!,"AAAAAC//p/M=")</f>
        <v>#REF!</v>
      </c>
      <c r="IK31" t="e">
        <f>AND('Yamazumi Data'!#REF!,"AAAAAC//p/Q=")</f>
        <v>#REF!</v>
      </c>
      <c r="IL31" t="e">
        <f>AND('Yamazumi Data'!#REF!,"AAAAAC//p/U=")</f>
        <v>#REF!</v>
      </c>
      <c r="IM31" t="e">
        <f>AND('Yamazumi Data'!#REF!,"AAAAAC//p/Y=")</f>
        <v>#REF!</v>
      </c>
      <c r="IN31" t="e">
        <f>AND('Yamazumi Data'!#REF!,"AAAAAC//p/c=")</f>
        <v>#REF!</v>
      </c>
      <c r="IO31" t="e">
        <f>AND('Yamazumi Data'!#REF!,"AAAAAC//p/g=")</f>
        <v>#REF!</v>
      </c>
      <c r="IP31" t="e">
        <f>AND('Yamazumi Data'!#REF!,"AAAAAC//p/k=")</f>
        <v>#REF!</v>
      </c>
      <c r="IQ31" t="e">
        <f>AND('Yamazumi Data'!#REF!,"AAAAAC//p/o=")</f>
        <v>#REF!</v>
      </c>
      <c r="IR31" t="e">
        <f>AND('Yamazumi Data'!#REF!,"AAAAAC//p/s=")</f>
        <v>#REF!</v>
      </c>
      <c r="IS31" t="e">
        <f>AND('Yamazumi Data'!#REF!,"AAAAAC//p/w=")</f>
        <v>#REF!</v>
      </c>
      <c r="IT31" t="e">
        <f>AND('Yamazumi Data'!#REF!,"AAAAAC//p/0=")</f>
        <v>#REF!</v>
      </c>
      <c r="IU31" t="e">
        <f>AND('Yamazumi Data'!#REF!,"AAAAAC//p/4=")</f>
        <v>#REF!</v>
      </c>
      <c r="IV31" t="e">
        <f>AND('Yamazumi Data'!#REF!,"AAAAAC//p/8=")</f>
        <v>#REF!</v>
      </c>
    </row>
    <row r="32" spans="1:256" x14ac:dyDescent="0.25">
      <c r="A32" t="e">
        <f>AND('Yamazumi Data'!#REF!,"AAAAAF/P7gA=")</f>
        <v>#REF!</v>
      </c>
      <c r="B32" t="e">
        <f>AND('Yamazumi Data'!#REF!,"AAAAAF/P7gE=")</f>
        <v>#REF!</v>
      </c>
      <c r="C32" t="e">
        <f>AND('Yamazumi Data'!#REF!,"AAAAAF/P7gI=")</f>
        <v>#REF!</v>
      </c>
      <c r="D32" t="e">
        <f>AND('Yamazumi Data'!#REF!,"AAAAAF/P7gM=")</f>
        <v>#REF!</v>
      </c>
      <c r="E32" t="e">
        <f>AND('Yamazumi Data'!#REF!,"AAAAAF/P7gQ=")</f>
        <v>#REF!</v>
      </c>
      <c r="F32" t="e">
        <f>AND('Yamazumi Data'!#REF!,"AAAAAF/P7gU=")</f>
        <v>#REF!</v>
      </c>
      <c r="G32" t="e">
        <f>AND('Yamazumi Data'!#REF!,"AAAAAF/P7gY=")</f>
        <v>#REF!</v>
      </c>
      <c r="H32" t="e">
        <f>AND('Yamazumi Data'!#REF!,"AAAAAF/P7gc=")</f>
        <v>#REF!</v>
      </c>
      <c r="I32" t="e">
        <f>AND('Yamazumi Data'!#REF!,"AAAAAF/P7gg=")</f>
        <v>#REF!</v>
      </c>
      <c r="J32" t="e">
        <f>AND('Yamazumi Data'!#REF!,"AAAAAF/P7gk=")</f>
        <v>#REF!</v>
      </c>
      <c r="K32" t="e">
        <f>AND('Yamazumi Data'!#REF!,"AAAAAF/P7go=")</f>
        <v>#REF!</v>
      </c>
      <c r="L32" t="e">
        <f>AND('Yamazumi Data'!#REF!,"AAAAAF/P7gs=")</f>
        <v>#REF!</v>
      </c>
      <c r="M32" t="e">
        <f>AND('Yamazumi Data'!#REF!,"AAAAAF/P7gw=")</f>
        <v>#REF!</v>
      </c>
      <c r="N32" t="e">
        <f>AND('Yamazumi Data'!#REF!,"AAAAAF/P7g0=")</f>
        <v>#REF!</v>
      </c>
      <c r="O32" t="e">
        <f>AND('Yamazumi Data'!#REF!,"AAAAAF/P7g4=")</f>
        <v>#REF!</v>
      </c>
      <c r="P32" t="e">
        <f>AND('Yamazumi Data'!#REF!,"AAAAAF/P7g8=")</f>
        <v>#REF!</v>
      </c>
      <c r="Q32" t="e">
        <f>AND('Yamazumi Data'!#REF!,"AAAAAF/P7hA=")</f>
        <v>#REF!</v>
      </c>
      <c r="R32" t="e">
        <f>AND('Yamazumi Data'!#REF!,"AAAAAF/P7hE=")</f>
        <v>#REF!</v>
      </c>
      <c r="S32" t="e">
        <f>AND('Yamazumi Data'!#REF!,"AAAAAF/P7hI=")</f>
        <v>#REF!</v>
      </c>
      <c r="T32" t="e">
        <f>AND('Yamazumi Data'!#REF!,"AAAAAF/P7hM=")</f>
        <v>#REF!</v>
      </c>
      <c r="U32" t="e">
        <f>AND('Yamazumi Data'!#REF!,"AAAAAF/P7hQ=")</f>
        <v>#REF!</v>
      </c>
      <c r="V32" t="e">
        <f>AND('Yamazumi Data'!#REF!,"AAAAAF/P7hU=")</f>
        <v>#REF!</v>
      </c>
      <c r="W32" t="e">
        <f>AND('Yamazumi Data'!#REF!,"AAAAAF/P7hY=")</f>
        <v>#REF!</v>
      </c>
      <c r="X32" t="e">
        <f>AND('Yamazumi Data'!#REF!,"AAAAAF/P7hc=")</f>
        <v>#REF!</v>
      </c>
      <c r="Y32" t="e">
        <f>AND('Yamazumi Data'!#REF!,"AAAAAF/P7hg=")</f>
        <v>#REF!</v>
      </c>
      <c r="Z32" t="e">
        <f>IF('Yamazumi Data'!#REF!,"AAAAAF/P7hk=",0)</f>
        <v>#REF!</v>
      </c>
      <c r="AA32" t="e">
        <f>AND('Yamazumi Data'!#REF!,"AAAAAF/P7ho=")</f>
        <v>#REF!</v>
      </c>
      <c r="AB32" t="e">
        <f>AND('Yamazumi Data'!#REF!,"AAAAAF/P7hs=")</f>
        <v>#REF!</v>
      </c>
      <c r="AC32" t="e">
        <f>AND('Yamazumi Data'!#REF!,"AAAAAF/P7hw=")</f>
        <v>#REF!</v>
      </c>
      <c r="AD32" t="e">
        <f>AND('Yamazumi Data'!#REF!,"AAAAAF/P7h0=")</f>
        <v>#REF!</v>
      </c>
      <c r="AE32" t="e">
        <f>AND('Yamazumi Data'!#REF!,"AAAAAF/P7h4=")</f>
        <v>#REF!</v>
      </c>
      <c r="AF32" t="e">
        <f>AND('Yamazumi Data'!#REF!,"AAAAAF/P7h8=")</f>
        <v>#REF!</v>
      </c>
      <c r="AG32" t="e">
        <f>AND('Yamazumi Data'!#REF!,"AAAAAF/P7iA=")</f>
        <v>#REF!</v>
      </c>
      <c r="AH32" t="e">
        <f>AND('Yamazumi Data'!#REF!,"AAAAAF/P7iE=")</f>
        <v>#REF!</v>
      </c>
      <c r="AI32" t="e">
        <f>AND('Yamazumi Data'!#REF!,"AAAAAF/P7iI=")</f>
        <v>#REF!</v>
      </c>
      <c r="AJ32" t="e">
        <f>AND('Yamazumi Data'!#REF!,"AAAAAF/P7iM=")</f>
        <v>#REF!</v>
      </c>
      <c r="AK32" t="e">
        <f>AND('Yamazumi Data'!#REF!,"AAAAAF/P7iQ=")</f>
        <v>#REF!</v>
      </c>
      <c r="AL32" t="e">
        <f>AND('Yamazumi Data'!#REF!,"AAAAAF/P7iU=")</f>
        <v>#REF!</v>
      </c>
      <c r="AM32" t="e">
        <f>AND('Yamazumi Data'!#REF!,"AAAAAF/P7iY=")</f>
        <v>#REF!</v>
      </c>
      <c r="AN32" t="e">
        <f>AND('Yamazumi Data'!#REF!,"AAAAAF/P7ic=")</f>
        <v>#REF!</v>
      </c>
      <c r="AO32" t="e">
        <f>AND('Yamazumi Data'!#REF!,"AAAAAF/P7ig=")</f>
        <v>#REF!</v>
      </c>
      <c r="AP32" t="e">
        <f>AND('Yamazumi Data'!#REF!,"AAAAAF/P7ik=")</f>
        <v>#REF!</v>
      </c>
      <c r="AQ32" t="e">
        <f>AND('Yamazumi Data'!#REF!,"AAAAAF/P7io=")</f>
        <v>#REF!</v>
      </c>
      <c r="AR32" t="e">
        <f>AND('Yamazumi Data'!#REF!,"AAAAAF/P7is=")</f>
        <v>#REF!</v>
      </c>
      <c r="AS32" t="e">
        <f>AND('Yamazumi Data'!#REF!,"AAAAAF/P7iw=")</f>
        <v>#REF!</v>
      </c>
      <c r="AT32" t="e">
        <f>AND('Yamazumi Data'!#REF!,"AAAAAF/P7i0=")</f>
        <v>#REF!</v>
      </c>
      <c r="AU32" t="e">
        <f>AND('Yamazumi Data'!#REF!,"AAAAAF/P7i4=")</f>
        <v>#REF!</v>
      </c>
      <c r="AV32" t="e">
        <f>AND('Yamazumi Data'!#REF!,"AAAAAF/P7i8=")</f>
        <v>#REF!</v>
      </c>
      <c r="AW32" t="e">
        <f>AND('Yamazumi Data'!#REF!,"AAAAAF/P7jA=")</f>
        <v>#REF!</v>
      </c>
      <c r="AX32" t="e">
        <f>AND('Yamazumi Data'!#REF!,"AAAAAF/P7jE=")</f>
        <v>#REF!</v>
      </c>
      <c r="AY32" t="e">
        <f>AND('Yamazumi Data'!#REF!,"AAAAAF/P7jI=")</f>
        <v>#REF!</v>
      </c>
      <c r="AZ32" t="e">
        <f>AND('Yamazumi Data'!#REF!,"AAAAAF/P7jM=")</f>
        <v>#REF!</v>
      </c>
      <c r="BA32" t="e">
        <f>AND('Yamazumi Data'!#REF!,"AAAAAF/P7jQ=")</f>
        <v>#REF!</v>
      </c>
      <c r="BB32" t="e">
        <f>AND('Yamazumi Data'!#REF!,"AAAAAF/P7jU=")</f>
        <v>#REF!</v>
      </c>
      <c r="BC32" t="e">
        <f>AND('Yamazumi Data'!#REF!,"AAAAAF/P7jY=")</f>
        <v>#REF!</v>
      </c>
      <c r="BD32" t="e">
        <f>AND('Yamazumi Data'!#REF!,"AAAAAF/P7jc=")</f>
        <v>#REF!</v>
      </c>
      <c r="BE32" t="e">
        <f>AND('Yamazumi Data'!#REF!,"AAAAAF/P7jg=")</f>
        <v>#REF!</v>
      </c>
      <c r="BF32" t="e">
        <f>AND('Yamazumi Data'!#REF!,"AAAAAF/P7jk=")</f>
        <v>#REF!</v>
      </c>
      <c r="BG32" t="e">
        <f>AND('Yamazumi Data'!#REF!,"AAAAAF/P7jo=")</f>
        <v>#REF!</v>
      </c>
      <c r="BH32" t="e">
        <f>AND('Yamazumi Data'!#REF!,"AAAAAF/P7js=")</f>
        <v>#REF!</v>
      </c>
      <c r="BI32" t="e">
        <f>AND('Yamazumi Data'!#REF!,"AAAAAF/P7jw=")</f>
        <v>#REF!</v>
      </c>
      <c r="BJ32" t="e">
        <f>AND('Yamazumi Data'!#REF!,"AAAAAF/P7j0=")</f>
        <v>#REF!</v>
      </c>
      <c r="BK32" t="e">
        <f>AND('Yamazumi Data'!#REF!,"AAAAAF/P7j4=")</f>
        <v>#REF!</v>
      </c>
      <c r="BL32" t="e">
        <f>AND('Yamazumi Data'!#REF!,"AAAAAF/P7j8=")</f>
        <v>#REF!</v>
      </c>
      <c r="BM32" t="e">
        <f>AND('Yamazumi Data'!#REF!,"AAAAAF/P7kA=")</f>
        <v>#REF!</v>
      </c>
      <c r="BN32" t="e">
        <f>AND('Yamazumi Data'!#REF!,"AAAAAF/P7kE=")</f>
        <v>#REF!</v>
      </c>
      <c r="BO32" t="e">
        <f>IF('Yamazumi Data'!#REF!,"AAAAAF/P7kI=",0)</f>
        <v>#REF!</v>
      </c>
      <c r="BP32" t="e">
        <f>AND('Yamazumi Data'!#REF!,"AAAAAF/P7kM=")</f>
        <v>#REF!</v>
      </c>
      <c r="BQ32" t="e">
        <f>AND('Yamazumi Data'!#REF!,"AAAAAF/P7kQ=")</f>
        <v>#REF!</v>
      </c>
      <c r="BR32" t="e">
        <f>AND('Yamazumi Data'!#REF!,"AAAAAF/P7kU=")</f>
        <v>#REF!</v>
      </c>
      <c r="BS32" t="e">
        <f>AND('Yamazumi Data'!#REF!,"AAAAAF/P7kY=")</f>
        <v>#REF!</v>
      </c>
      <c r="BT32" t="e">
        <f>AND('Yamazumi Data'!#REF!,"AAAAAF/P7kc=")</f>
        <v>#REF!</v>
      </c>
      <c r="BU32" t="e">
        <f>AND('Yamazumi Data'!#REF!,"AAAAAF/P7kg=")</f>
        <v>#REF!</v>
      </c>
      <c r="BV32" t="e">
        <f>AND('Yamazumi Data'!#REF!,"AAAAAF/P7kk=")</f>
        <v>#REF!</v>
      </c>
      <c r="BW32" t="e">
        <f>AND('Yamazumi Data'!#REF!,"AAAAAF/P7ko=")</f>
        <v>#REF!</v>
      </c>
      <c r="BX32" t="e">
        <f>AND('Yamazumi Data'!#REF!,"AAAAAF/P7ks=")</f>
        <v>#REF!</v>
      </c>
      <c r="BY32" t="e">
        <f>AND('Yamazumi Data'!#REF!,"AAAAAF/P7kw=")</f>
        <v>#REF!</v>
      </c>
      <c r="BZ32" t="e">
        <f>AND('Yamazumi Data'!#REF!,"AAAAAF/P7k0=")</f>
        <v>#REF!</v>
      </c>
      <c r="CA32" t="e">
        <f>AND('Yamazumi Data'!#REF!,"AAAAAF/P7k4=")</f>
        <v>#REF!</v>
      </c>
      <c r="CB32" t="e">
        <f>AND('Yamazumi Data'!#REF!,"AAAAAF/P7k8=")</f>
        <v>#REF!</v>
      </c>
      <c r="CC32" t="e">
        <f>AND('Yamazumi Data'!#REF!,"AAAAAF/P7lA=")</f>
        <v>#REF!</v>
      </c>
      <c r="CD32" t="e">
        <f>AND('Yamazumi Data'!#REF!,"AAAAAF/P7lE=")</f>
        <v>#REF!</v>
      </c>
      <c r="CE32" t="e">
        <f>AND('Yamazumi Data'!#REF!,"AAAAAF/P7lI=")</f>
        <v>#REF!</v>
      </c>
      <c r="CF32" t="e">
        <f>AND('Yamazumi Data'!#REF!,"AAAAAF/P7lM=")</f>
        <v>#REF!</v>
      </c>
      <c r="CG32" t="e">
        <f>AND('Yamazumi Data'!#REF!,"AAAAAF/P7lQ=")</f>
        <v>#REF!</v>
      </c>
      <c r="CH32" t="e">
        <f>AND('Yamazumi Data'!#REF!,"AAAAAF/P7lU=")</f>
        <v>#REF!</v>
      </c>
      <c r="CI32" t="e">
        <f>AND('Yamazumi Data'!#REF!,"AAAAAF/P7lY=")</f>
        <v>#REF!</v>
      </c>
      <c r="CJ32" t="e">
        <f>AND('Yamazumi Data'!#REF!,"AAAAAF/P7lc=")</f>
        <v>#REF!</v>
      </c>
      <c r="CK32" t="e">
        <f>AND('Yamazumi Data'!#REF!,"AAAAAF/P7lg=")</f>
        <v>#REF!</v>
      </c>
      <c r="CL32" t="e">
        <f>AND('Yamazumi Data'!#REF!,"AAAAAF/P7lk=")</f>
        <v>#REF!</v>
      </c>
      <c r="CM32" t="e">
        <f>AND('Yamazumi Data'!#REF!,"AAAAAF/P7lo=")</f>
        <v>#REF!</v>
      </c>
      <c r="CN32" t="e">
        <f>AND('Yamazumi Data'!#REF!,"AAAAAF/P7ls=")</f>
        <v>#REF!</v>
      </c>
      <c r="CO32" t="e">
        <f>AND('Yamazumi Data'!#REF!,"AAAAAF/P7lw=")</f>
        <v>#REF!</v>
      </c>
      <c r="CP32" t="e">
        <f>AND('Yamazumi Data'!#REF!,"AAAAAF/P7l0=")</f>
        <v>#REF!</v>
      </c>
      <c r="CQ32" t="e">
        <f>AND('Yamazumi Data'!#REF!,"AAAAAF/P7l4=")</f>
        <v>#REF!</v>
      </c>
      <c r="CR32" t="e">
        <f>AND('Yamazumi Data'!#REF!,"AAAAAF/P7l8=")</f>
        <v>#REF!</v>
      </c>
      <c r="CS32" t="e">
        <f>AND('Yamazumi Data'!#REF!,"AAAAAF/P7mA=")</f>
        <v>#REF!</v>
      </c>
      <c r="CT32" t="e">
        <f>AND('Yamazumi Data'!#REF!,"AAAAAF/P7mE=")</f>
        <v>#REF!</v>
      </c>
      <c r="CU32" t="e">
        <f>AND('Yamazumi Data'!#REF!,"AAAAAF/P7mI=")</f>
        <v>#REF!</v>
      </c>
      <c r="CV32" t="e">
        <f>AND('Yamazumi Data'!#REF!,"AAAAAF/P7mM=")</f>
        <v>#REF!</v>
      </c>
      <c r="CW32" t="e">
        <f>AND('Yamazumi Data'!#REF!,"AAAAAF/P7mQ=")</f>
        <v>#REF!</v>
      </c>
      <c r="CX32" t="e">
        <f>AND('Yamazumi Data'!#REF!,"AAAAAF/P7mU=")</f>
        <v>#REF!</v>
      </c>
      <c r="CY32" t="e">
        <f>AND('Yamazumi Data'!#REF!,"AAAAAF/P7mY=")</f>
        <v>#REF!</v>
      </c>
      <c r="CZ32" t="e">
        <f>AND('Yamazumi Data'!#REF!,"AAAAAF/P7mc=")</f>
        <v>#REF!</v>
      </c>
      <c r="DA32" t="e">
        <f>AND('Yamazumi Data'!#REF!,"AAAAAF/P7mg=")</f>
        <v>#REF!</v>
      </c>
      <c r="DB32" t="e">
        <f>AND('Yamazumi Data'!#REF!,"AAAAAF/P7mk=")</f>
        <v>#REF!</v>
      </c>
      <c r="DC32" t="e">
        <f>AND('Yamazumi Data'!#REF!,"AAAAAF/P7mo=")</f>
        <v>#REF!</v>
      </c>
      <c r="DD32" t="e">
        <f>IF('Yamazumi Data'!#REF!,"AAAAAF/P7ms=",0)</f>
        <v>#REF!</v>
      </c>
      <c r="DE32" t="e">
        <f>AND('Yamazumi Data'!#REF!,"AAAAAF/P7mw=")</f>
        <v>#REF!</v>
      </c>
      <c r="DF32" t="e">
        <f>AND('Yamazumi Data'!#REF!,"AAAAAF/P7m0=")</f>
        <v>#REF!</v>
      </c>
      <c r="DG32" t="e">
        <f>AND('Yamazumi Data'!#REF!,"AAAAAF/P7m4=")</f>
        <v>#REF!</v>
      </c>
      <c r="DH32" t="e">
        <f>AND('Yamazumi Data'!#REF!,"AAAAAF/P7m8=")</f>
        <v>#REF!</v>
      </c>
      <c r="DI32" t="e">
        <f>AND('Yamazumi Data'!#REF!,"AAAAAF/P7nA=")</f>
        <v>#REF!</v>
      </c>
      <c r="DJ32" t="e">
        <f>AND('Yamazumi Data'!#REF!,"AAAAAF/P7nE=")</f>
        <v>#REF!</v>
      </c>
      <c r="DK32" t="e">
        <f>AND('Yamazumi Data'!#REF!,"AAAAAF/P7nI=")</f>
        <v>#REF!</v>
      </c>
      <c r="DL32" t="e">
        <f>AND('Yamazumi Data'!#REF!,"AAAAAF/P7nM=")</f>
        <v>#REF!</v>
      </c>
      <c r="DM32" t="e">
        <f>AND('Yamazumi Data'!#REF!,"AAAAAF/P7nQ=")</f>
        <v>#REF!</v>
      </c>
      <c r="DN32" t="e">
        <f>AND('Yamazumi Data'!#REF!,"AAAAAF/P7nU=")</f>
        <v>#REF!</v>
      </c>
      <c r="DO32" t="e">
        <f>AND('Yamazumi Data'!#REF!,"AAAAAF/P7nY=")</f>
        <v>#REF!</v>
      </c>
      <c r="DP32" t="e">
        <f>AND('Yamazumi Data'!#REF!,"AAAAAF/P7nc=")</f>
        <v>#REF!</v>
      </c>
      <c r="DQ32" t="e">
        <f>AND('Yamazumi Data'!#REF!,"AAAAAF/P7ng=")</f>
        <v>#REF!</v>
      </c>
      <c r="DR32" t="e">
        <f>AND('Yamazumi Data'!#REF!,"AAAAAF/P7nk=")</f>
        <v>#REF!</v>
      </c>
      <c r="DS32" t="e">
        <f>AND('Yamazumi Data'!#REF!,"AAAAAF/P7no=")</f>
        <v>#REF!</v>
      </c>
      <c r="DT32" t="e">
        <f>AND('Yamazumi Data'!#REF!,"AAAAAF/P7ns=")</f>
        <v>#REF!</v>
      </c>
      <c r="DU32" t="e">
        <f>AND('Yamazumi Data'!#REF!,"AAAAAF/P7nw=")</f>
        <v>#REF!</v>
      </c>
      <c r="DV32" t="e">
        <f>AND('Yamazumi Data'!#REF!,"AAAAAF/P7n0=")</f>
        <v>#REF!</v>
      </c>
      <c r="DW32" t="e">
        <f>AND('Yamazumi Data'!#REF!,"AAAAAF/P7n4=")</f>
        <v>#REF!</v>
      </c>
      <c r="DX32" t="e">
        <f>AND('Yamazumi Data'!#REF!,"AAAAAF/P7n8=")</f>
        <v>#REF!</v>
      </c>
      <c r="DY32" t="e">
        <f>AND('Yamazumi Data'!#REF!,"AAAAAF/P7oA=")</f>
        <v>#REF!</v>
      </c>
      <c r="DZ32" t="e">
        <f>AND('Yamazumi Data'!#REF!,"AAAAAF/P7oE=")</f>
        <v>#REF!</v>
      </c>
      <c r="EA32" t="e">
        <f>AND('Yamazumi Data'!#REF!,"AAAAAF/P7oI=")</f>
        <v>#REF!</v>
      </c>
      <c r="EB32" t="e">
        <f>AND('Yamazumi Data'!#REF!,"AAAAAF/P7oM=")</f>
        <v>#REF!</v>
      </c>
      <c r="EC32" t="e">
        <f>AND('Yamazumi Data'!#REF!,"AAAAAF/P7oQ=")</f>
        <v>#REF!</v>
      </c>
      <c r="ED32" t="e">
        <f>AND('Yamazumi Data'!#REF!,"AAAAAF/P7oU=")</f>
        <v>#REF!</v>
      </c>
      <c r="EE32" t="e">
        <f>AND('Yamazumi Data'!#REF!,"AAAAAF/P7oY=")</f>
        <v>#REF!</v>
      </c>
      <c r="EF32" t="e">
        <f>AND('Yamazumi Data'!#REF!,"AAAAAF/P7oc=")</f>
        <v>#REF!</v>
      </c>
      <c r="EG32" t="e">
        <f>AND('Yamazumi Data'!#REF!,"AAAAAF/P7og=")</f>
        <v>#REF!</v>
      </c>
      <c r="EH32" t="e">
        <f>AND('Yamazumi Data'!#REF!,"AAAAAF/P7ok=")</f>
        <v>#REF!</v>
      </c>
      <c r="EI32" t="e">
        <f>AND('Yamazumi Data'!#REF!,"AAAAAF/P7oo=")</f>
        <v>#REF!</v>
      </c>
      <c r="EJ32" t="e">
        <f>AND('Yamazumi Data'!#REF!,"AAAAAF/P7os=")</f>
        <v>#REF!</v>
      </c>
      <c r="EK32" t="e">
        <f>AND('Yamazumi Data'!#REF!,"AAAAAF/P7ow=")</f>
        <v>#REF!</v>
      </c>
      <c r="EL32" t="e">
        <f>AND('Yamazumi Data'!#REF!,"AAAAAF/P7o0=")</f>
        <v>#REF!</v>
      </c>
      <c r="EM32" t="e">
        <f>AND('Yamazumi Data'!#REF!,"AAAAAF/P7o4=")</f>
        <v>#REF!</v>
      </c>
      <c r="EN32" t="e">
        <f>AND('Yamazumi Data'!#REF!,"AAAAAF/P7o8=")</f>
        <v>#REF!</v>
      </c>
      <c r="EO32" t="e">
        <f>AND('Yamazumi Data'!#REF!,"AAAAAF/P7pA=")</f>
        <v>#REF!</v>
      </c>
      <c r="EP32" t="e">
        <f>AND('Yamazumi Data'!#REF!,"AAAAAF/P7pE=")</f>
        <v>#REF!</v>
      </c>
      <c r="EQ32" t="e">
        <f>AND('Yamazumi Data'!#REF!,"AAAAAF/P7pI=")</f>
        <v>#REF!</v>
      </c>
      <c r="ER32" t="e">
        <f>AND('Yamazumi Data'!#REF!,"AAAAAF/P7pM=")</f>
        <v>#REF!</v>
      </c>
      <c r="ES32" t="e">
        <f>IF('Yamazumi Data'!#REF!,"AAAAAF/P7pQ=",0)</f>
        <v>#REF!</v>
      </c>
      <c r="ET32" t="e">
        <f>AND('Yamazumi Data'!#REF!,"AAAAAF/P7pU=")</f>
        <v>#REF!</v>
      </c>
      <c r="EU32" t="e">
        <f>AND('Yamazumi Data'!#REF!,"AAAAAF/P7pY=")</f>
        <v>#REF!</v>
      </c>
      <c r="EV32" t="e">
        <f>AND('Yamazumi Data'!#REF!,"AAAAAF/P7pc=")</f>
        <v>#REF!</v>
      </c>
      <c r="EW32" t="e">
        <f>AND('Yamazumi Data'!#REF!,"AAAAAF/P7pg=")</f>
        <v>#REF!</v>
      </c>
      <c r="EX32" t="e">
        <f>AND('Yamazumi Data'!#REF!,"AAAAAF/P7pk=")</f>
        <v>#REF!</v>
      </c>
      <c r="EY32" t="e">
        <f>AND('Yamazumi Data'!#REF!,"AAAAAF/P7po=")</f>
        <v>#REF!</v>
      </c>
      <c r="EZ32" t="e">
        <f>AND('Yamazumi Data'!#REF!,"AAAAAF/P7ps=")</f>
        <v>#REF!</v>
      </c>
      <c r="FA32" t="e">
        <f>AND('Yamazumi Data'!#REF!,"AAAAAF/P7pw=")</f>
        <v>#REF!</v>
      </c>
      <c r="FB32" t="e">
        <f>AND('Yamazumi Data'!#REF!,"AAAAAF/P7p0=")</f>
        <v>#REF!</v>
      </c>
      <c r="FC32" t="e">
        <f>AND('Yamazumi Data'!#REF!,"AAAAAF/P7p4=")</f>
        <v>#REF!</v>
      </c>
      <c r="FD32" t="e">
        <f>AND('Yamazumi Data'!#REF!,"AAAAAF/P7p8=")</f>
        <v>#REF!</v>
      </c>
      <c r="FE32" t="e">
        <f>AND('Yamazumi Data'!#REF!,"AAAAAF/P7qA=")</f>
        <v>#REF!</v>
      </c>
      <c r="FF32" t="e">
        <f>AND('Yamazumi Data'!#REF!,"AAAAAF/P7qE=")</f>
        <v>#REF!</v>
      </c>
      <c r="FG32" t="e">
        <f>AND('Yamazumi Data'!#REF!,"AAAAAF/P7qI=")</f>
        <v>#REF!</v>
      </c>
      <c r="FH32" t="e">
        <f>AND('Yamazumi Data'!#REF!,"AAAAAF/P7qM=")</f>
        <v>#REF!</v>
      </c>
      <c r="FI32" t="e">
        <f>AND('Yamazumi Data'!#REF!,"AAAAAF/P7qQ=")</f>
        <v>#REF!</v>
      </c>
      <c r="FJ32" t="e">
        <f>AND('Yamazumi Data'!#REF!,"AAAAAF/P7qU=")</f>
        <v>#REF!</v>
      </c>
      <c r="FK32" t="e">
        <f>AND('Yamazumi Data'!#REF!,"AAAAAF/P7qY=")</f>
        <v>#REF!</v>
      </c>
      <c r="FL32" t="e">
        <f>AND('Yamazumi Data'!#REF!,"AAAAAF/P7qc=")</f>
        <v>#REF!</v>
      </c>
      <c r="FM32" t="e">
        <f>AND('Yamazumi Data'!#REF!,"AAAAAF/P7qg=")</f>
        <v>#REF!</v>
      </c>
      <c r="FN32" t="e">
        <f>AND('Yamazumi Data'!#REF!,"AAAAAF/P7qk=")</f>
        <v>#REF!</v>
      </c>
      <c r="FO32" t="e">
        <f>AND('Yamazumi Data'!#REF!,"AAAAAF/P7qo=")</f>
        <v>#REF!</v>
      </c>
      <c r="FP32" t="e">
        <f>AND('Yamazumi Data'!#REF!,"AAAAAF/P7qs=")</f>
        <v>#REF!</v>
      </c>
      <c r="FQ32" t="e">
        <f>AND('Yamazumi Data'!#REF!,"AAAAAF/P7qw=")</f>
        <v>#REF!</v>
      </c>
      <c r="FR32" t="e">
        <f>AND('Yamazumi Data'!#REF!,"AAAAAF/P7q0=")</f>
        <v>#REF!</v>
      </c>
      <c r="FS32" t="e">
        <f>AND('Yamazumi Data'!#REF!,"AAAAAF/P7q4=")</f>
        <v>#REF!</v>
      </c>
      <c r="FT32" t="e">
        <f>AND('Yamazumi Data'!#REF!,"AAAAAF/P7q8=")</f>
        <v>#REF!</v>
      </c>
      <c r="FU32" t="e">
        <f>AND('Yamazumi Data'!#REF!,"AAAAAF/P7rA=")</f>
        <v>#REF!</v>
      </c>
      <c r="FV32" t="e">
        <f>AND('Yamazumi Data'!#REF!,"AAAAAF/P7rE=")</f>
        <v>#REF!</v>
      </c>
      <c r="FW32" t="e">
        <f>AND('Yamazumi Data'!#REF!,"AAAAAF/P7rI=")</f>
        <v>#REF!</v>
      </c>
      <c r="FX32" t="e">
        <f>AND('Yamazumi Data'!#REF!,"AAAAAF/P7rM=")</f>
        <v>#REF!</v>
      </c>
      <c r="FY32" t="e">
        <f>AND('Yamazumi Data'!#REF!,"AAAAAF/P7rQ=")</f>
        <v>#REF!</v>
      </c>
      <c r="FZ32" t="e">
        <f>AND('Yamazumi Data'!#REF!,"AAAAAF/P7rU=")</f>
        <v>#REF!</v>
      </c>
      <c r="GA32" t="e">
        <f>AND('Yamazumi Data'!#REF!,"AAAAAF/P7rY=")</f>
        <v>#REF!</v>
      </c>
      <c r="GB32" t="e">
        <f>AND('Yamazumi Data'!#REF!,"AAAAAF/P7rc=")</f>
        <v>#REF!</v>
      </c>
      <c r="GC32" t="e">
        <f>AND('Yamazumi Data'!#REF!,"AAAAAF/P7rg=")</f>
        <v>#REF!</v>
      </c>
      <c r="GD32" t="e">
        <f>AND('Yamazumi Data'!#REF!,"AAAAAF/P7rk=")</f>
        <v>#REF!</v>
      </c>
      <c r="GE32" t="e">
        <f>AND('Yamazumi Data'!#REF!,"AAAAAF/P7ro=")</f>
        <v>#REF!</v>
      </c>
      <c r="GF32" t="e">
        <f>AND('Yamazumi Data'!#REF!,"AAAAAF/P7rs=")</f>
        <v>#REF!</v>
      </c>
      <c r="GG32" t="e">
        <f>AND('Yamazumi Data'!#REF!,"AAAAAF/P7rw=")</f>
        <v>#REF!</v>
      </c>
      <c r="GH32" t="e">
        <f>IF('Yamazumi Data'!#REF!,"AAAAAF/P7r0=",0)</f>
        <v>#REF!</v>
      </c>
      <c r="GI32" t="e">
        <f>AND('Yamazumi Data'!#REF!,"AAAAAF/P7r4=")</f>
        <v>#REF!</v>
      </c>
      <c r="GJ32" t="e">
        <f>AND('Yamazumi Data'!#REF!,"AAAAAF/P7r8=")</f>
        <v>#REF!</v>
      </c>
      <c r="GK32" t="e">
        <f>AND('Yamazumi Data'!#REF!,"AAAAAF/P7sA=")</f>
        <v>#REF!</v>
      </c>
      <c r="GL32" t="e">
        <f>AND('Yamazumi Data'!#REF!,"AAAAAF/P7sE=")</f>
        <v>#REF!</v>
      </c>
      <c r="GM32" t="e">
        <f>AND('Yamazumi Data'!#REF!,"AAAAAF/P7sI=")</f>
        <v>#REF!</v>
      </c>
      <c r="GN32" t="e">
        <f>AND('Yamazumi Data'!#REF!,"AAAAAF/P7sM=")</f>
        <v>#REF!</v>
      </c>
      <c r="GO32" t="e">
        <f>AND('Yamazumi Data'!#REF!,"AAAAAF/P7sQ=")</f>
        <v>#REF!</v>
      </c>
      <c r="GP32" t="e">
        <f>AND('Yamazumi Data'!#REF!,"AAAAAF/P7sU=")</f>
        <v>#REF!</v>
      </c>
      <c r="GQ32" t="e">
        <f>AND('Yamazumi Data'!#REF!,"AAAAAF/P7sY=")</f>
        <v>#REF!</v>
      </c>
      <c r="GR32" t="e">
        <f>AND('Yamazumi Data'!#REF!,"AAAAAF/P7sc=")</f>
        <v>#REF!</v>
      </c>
      <c r="GS32" t="e">
        <f>AND('Yamazumi Data'!#REF!,"AAAAAF/P7sg=")</f>
        <v>#REF!</v>
      </c>
      <c r="GT32" t="e">
        <f>AND('Yamazumi Data'!#REF!,"AAAAAF/P7sk=")</f>
        <v>#REF!</v>
      </c>
      <c r="GU32" t="e">
        <f>AND('Yamazumi Data'!#REF!,"AAAAAF/P7so=")</f>
        <v>#REF!</v>
      </c>
      <c r="GV32" t="e">
        <f>AND('Yamazumi Data'!#REF!,"AAAAAF/P7ss=")</f>
        <v>#REF!</v>
      </c>
      <c r="GW32" t="e">
        <f>AND('Yamazumi Data'!#REF!,"AAAAAF/P7sw=")</f>
        <v>#REF!</v>
      </c>
      <c r="GX32" t="e">
        <f>AND('Yamazumi Data'!#REF!,"AAAAAF/P7s0=")</f>
        <v>#REF!</v>
      </c>
      <c r="GY32" t="e">
        <f>AND('Yamazumi Data'!#REF!,"AAAAAF/P7s4=")</f>
        <v>#REF!</v>
      </c>
      <c r="GZ32" t="e">
        <f>AND('Yamazumi Data'!#REF!,"AAAAAF/P7s8=")</f>
        <v>#REF!</v>
      </c>
      <c r="HA32" t="e">
        <f>AND('Yamazumi Data'!#REF!,"AAAAAF/P7tA=")</f>
        <v>#REF!</v>
      </c>
      <c r="HB32" t="e">
        <f>AND('Yamazumi Data'!#REF!,"AAAAAF/P7tE=")</f>
        <v>#REF!</v>
      </c>
      <c r="HC32" t="e">
        <f>AND('Yamazumi Data'!#REF!,"AAAAAF/P7tI=")</f>
        <v>#REF!</v>
      </c>
      <c r="HD32" t="e">
        <f>AND('Yamazumi Data'!#REF!,"AAAAAF/P7tM=")</f>
        <v>#REF!</v>
      </c>
      <c r="HE32" t="e">
        <f>AND('Yamazumi Data'!#REF!,"AAAAAF/P7tQ=")</f>
        <v>#REF!</v>
      </c>
      <c r="HF32" t="e">
        <f>AND('Yamazumi Data'!#REF!,"AAAAAF/P7tU=")</f>
        <v>#REF!</v>
      </c>
      <c r="HG32" t="e">
        <f>AND('Yamazumi Data'!#REF!,"AAAAAF/P7tY=")</f>
        <v>#REF!</v>
      </c>
      <c r="HH32" t="e">
        <f>AND('Yamazumi Data'!#REF!,"AAAAAF/P7tc=")</f>
        <v>#REF!</v>
      </c>
      <c r="HI32" t="e">
        <f>AND('Yamazumi Data'!#REF!,"AAAAAF/P7tg=")</f>
        <v>#REF!</v>
      </c>
      <c r="HJ32" t="e">
        <f>AND('Yamazumi Data'!#REF!,"AAAAAF/P7tk=")</f>
        <v>#REF!</v>
      </c>
      <c r="HK32" t="e">
        <f>AND('Yamazumi Data'!#REF!,"AAAAAF/P7to=")</f>
        <v>#REF!</v>
      </c>
      <c r="HL32" t="e">
        <f>AND('Yamazumi Data'!#REF!,"AAAAAF/P7ts=")</f>
        <v>#REF!</v>
      </c>
      <c r="HM32" t="e">
        <f>AND('Yamazumi Data'!#REF!,"AAAAAF/P7tw=")</f>
        <v>#REF!</v>
      </c>
      <c r="HN32" t="e">
        <f>AND('Yamazumi Data'!#REF!,"AAAAAF/P7t0=")</f>
        <v>#REF!</v>
      </c>
      <c r="HO32" t="e">
        <f>AND('Yamazumi Data'!#REF!,"AAAAAF/P7t4=")</f>
        <v>#REF!</v>
      </c>
      <c r="HP32" t="e">
        <f>AND('Yamazumi Data'!#REF!,"AAAAAF/P7t8=")</f>
        <v>#REF!</v>
      </c>
      <c r="HQ32" t="e">
        <f>AND('Yamazumi Data'!#REF!,"AAAAAF/P7uA=")</f>
        <v>#REF!</v>
      </c>
      <c r="HR32" t="e">
        <f>AND('Yamazumi Data'!#REF!,"AAAAAF/P7uE=")</f>
        <v>#REF!</v>
      </c>
      <c r="HS32" t="e">
        <f>AND('Yamazumi Data'!#REF!,"AAAAAF/P7uI=")</f>
        <v>#REF!</v>
      </c>
      <c r="HT32" t="e">
        <f>AND('Yamazumi Data'!#REF!,"AAAAAF/P7uM=")</f>
        <v>#REF!</v>
      </c>
      <c r="HU32" t="e">
        <f>AND('Yamazumi Data'!#REF!,"AAAAAF/P7uQ=")</f>
        <v>#REF!</v>
      </c>
      <c r="HV32" t="e">
        <f>AND('Yamazumi Data'!#REF!,"AAAAAF/P7uU=")</f>
        <v>#REF!</v>
      </c>
      <c r="HW32" t="e">
        <f>IF('Yamazumi Data'!#REF!,"AAAAAF/P7uY=",0)</f>
        <v>#REF!</v>
      </c>
      <c r="HX32" t="e">
        <f>AND('Yamazumi Data'!#REF!,"AAAAAF/P7uc=")</f>
        <v>#REF!</v>
      </c>
      <c r="HY32" t="e">
        <f>AND('Yamazumi Data'!#REF!,"AAAAAF/P7ug=")</f>
        <v>#REF!</v>
      </c>
      <c r="HZ32" t="e">
        <f>AND('Yamazumi Data'!#REF!,"AAAAAF/P7uk=")</f>
        <v>#REF!</v>
      </c>
      <c r="IA32" t="e">
        <f>AND('Yamazumi Data'!#REF!,"AAAAAF/P7uo=")</f>
        <v>#REF!</v>
      </c>
      <c r="IB32" t="e">
        <f>AND('Yamazumi Data'!#REF!,"AAAAAF/P7us=")</f>
        <v>#REF!</v>
      </c>
      <c r="IC32" t="e">
        <f>AND('Yamazumi Data'!#REF!,"AAAAAF/P7uw=")</f>
        <v>#REF!</v>
      </c>
      <c r="ID32" t="e">
        <f>AND('Yamazumi Data'!#REF!,"AAAAAF/P7u0=")</f>
        <v>#REF!</v>
      </c>
      <c r="IE32" t="e">
        <f>AND('Yamazumi Data'!#REF!,"AAAAAF/P7u4=")</f>
        <v>#REF!</v>
      </c>
      <c r="IF32" t="e">
        <f>AND('Yamazumi Data'!#REF!,"AAAAAF/P7u8=")</f>
        <v>#REF!</v>
      </c>
      <c r="IG32" t="e">
        <f>AND('Yamazumi Data'!#REF!,"AAAAAF/P7vA=")</f>
        <v>#REF!</v>
      </c>
      <c r="IH32" t="e">
        <f>AND('Yamazumi Data'!#REF!,"AAAAAF/P7vE=")</f>
        <v>#REF!</v>
      </c>
      <c r="II32" t="e">
        <f>AND('Yamazumi Data'!#REF!,"AAAAAF/P7vI=")</f>
        <v>#REF!</v>
      </c>
      <c r="IJ32" t="e">
        <f>AND('Yamazumi Data'!#REF!,"AAAAAF/P7vM=")</f>
        <v>#REF!</v>
      </c>
      <c r="IK32" t="e">
        <f>AND('Yamazumi Data'!#REF!,"AAAAAF/P7vQ=")</f>
        <v>#REF!</v>
      </c>
      <c r="IL32" t="e">
        <f>AND('Yamazumi Data'!#REF!,"AAAAAF/P7vU=")</f>
        <v>#REF!</v>
      </c>
      <c r="IM32" t="e">
        <f>AND('Yamazumi Data'!#REF!,"AAAAAF/P7vY=")</f>
        <v>#REF!</v>
      </c>
      <c r="IN32" t="e">
        <f>AND('Yamazumi Data'!#REF!,"AAAAAF/P7vc=")</f>
        <v>#REF!</v>
      </c>
      <c r="IO32" t="e">
        <f>AND('Yamazumi Data'!#REF!,"AAAAAF/P7vg=")</f>
        <v>#REF!</v>
      </c>
      <c r="IP32" t="e">
        <f>AND('Yamazumi Data'!#REF!,"AAAAAF/P7vk=")</f>
        <v>#REF!</v>
      </c>
      <c r="IQ32" t="e">
        <f>AND('Yamazumi Data'!#REF!,"AAAAAF/P7vo=")</f>
        <v>#REF!</v>
      </c>
      <c r="IR32" t="e">
        <f>AND('Yamazumi Data'!#REF!,"AAAAAF/P7vs=")</f>
        <v>#REF!</v>
      </c>
      <c r="IS32" t="e">
        <f>AND('Yamazumi Data'!#REF!,"AAAAAF/P7vw=")</f>
        <v>#REF!</v>
      </c>
      <c r="IT32" t="e">
        <f>AND('Yamazumi Data'!#REF!,"AAAAAF/P7v0=")</f>
        <v>#REF!</v>
      </c>
      <c r="IU32" t="e">
        <f>AND('Yamazumi Data'!#REF!,"AAAAAF/P7v4=")</f>
        <v>#REF!</v>
      </c>
      <c r="IV32" t="e">
        <f>AND('Yamazumi Data'!#REF!,"AAAAAF/P7v8=")</f>
        <v>#REF!</v>
      </c>
    </row>
    <row r="33" spans="1:256" x14ac:dyDescent="0.25">
      <c r="A33" t="e">
        <f>AND('Yamazumi Data'!#REF!,"AAAAAG6/WwA=")</f>
        <v>#REF!</v>
      </c>
      <c r="B33" t="e">
        <f>AND('Yamazumi Data'!#REF!,"AAAAAG6/WwE=")</f>
        <v>#REF!</v>
      </c>
      <c r="C33" t="e">
        <f>AND('Yamazumi Data'!#REF!,"AAAAAG6/WwI=")</f>
        <v>#REF!</v>
      </c>
      <c r="D33" t="e">
        <f>AND('Yamazumi Data'!#REF!,"AAAAAG6/WwM=")</f>
        <v>#REF!</v>
      </c>
      <c r="E33" t="e">
        <f>AND('Yamazumi Data'!#REF!,"AAAAAG6/WwQ=")</f>
        <v>#REF!</v>
      </c>
      <c r="F33" t="e">
        <f>AND('Yamazumi Data'!#REF!,"AAAAAG6/WwU=")</f>
        <v>#REF!</v>
      </c>
      <c r="G33" t="e">
        <f>AND('Yamazumi Data'!#REF!,"AAAAAG6/WwY=")</f>
        <v>#REF!</v>
      </c>
      <c r="H33" t="e">
        <f>AND('Yamazumi Data'!#REF!,"AAAAAG6/Wwc=")</f>
        <v>#REF!</v>
      </c>
      <c r="I33" t="e">
        <f>AND('Yamazumi Data'!#REF!,"AAAAAG6/Wwg=")</f>
        <v>#REF!</v>
      </c>
      <c r="J33" t="e">
        <f>AND('Yamazumi Data'!#REF!,"AAAAAG6/Wwk=")</f>
        <v>#REF!</v>
      </c>
      <c r="K33" t="e">
        <f>AND('Yamazumi Data'!#REF!,"AAAAAG6/Wwo=")</f>
        <v>#REF!</v>
      </c>
      <c r="L33" t="e">
        <f>AND('Yamazumi Data'!#REF!,"AAAAAG6/Wws=")</f>
        <v>#REF!</v>
      </c>
      <c r="M33" t="e">
        <f>AND('Yamazumi Data'!#REF!,"AAAAAG6/Www=")</f>
        <v>#REF!</v>
      </c>
      <c r="N33" t="e">
        <f>AND('Yamazumi Data'!#REF!,"AAAAAG6/Ww0=")</f>
        <v>#REF!</v>
      </c>
      <c r="O33" t="e">
        <f>AND('Yamazumi Data'!#REF!,"AAAAAG6/Ww4=")</f>
        <v>#REF!</v>
      </c>
      <c r="P33" t="e">
        <f>IF('Yamazumi Data'!#REF!,"AAAAAG6/Ww8=",0)</f>
        <v>#REF!</v>
      </c>
      <c r="Q33" t="e">
        <f>AND('Yamazumi Data'!#REF!,"AAAAAG6/WxA=")</f>
        <v>#REF!</v>
      </c>
      <c r="R33" t="e">
        <f>AND('Yamazumi Data'!#REF!,"AAAAAG6/WxE=")</f>
        <v>#REF!</v>
      </c>
      <c r="S33" t="e">
        <f>AND('Yamazumi Data'!#REF!,"AAAAAG6/WxI=")</f>
        <v>#REF!</v>
      </c>
      <c r="T33" t="e">
        <f>AND('Yamazumi Data'!#REF!,"AAAAAG6/WxM=")</f>
        <v>#REF!</v>
      </c>
      <c r="U33" t="e">
        <f>AND('Yamazumi Data'!#REF!,"AAAAAG6/WxQ=")</f>
        <v>#REF!</v>
      </c>
      <c r="V33" t="e">
        <f>AND('Yamazumi Data'!#REF!,"AAAAAG6/WxU=")</f>
        <v>#REF!</v>
      </c>
      <c r="W33" t="e">
        <f>AND('Yamazumi Data'!#REF!,"AAAAAG6/WxY=")</f>
        <v>#REF!</v>
      </c>
      <c r="X33" t="e">
        <f>AND('Yamazumi Data'!#REF!,"AAAAAG6/Wxc=")</f>
        <v>#REF!</v>
      </c>
      <c r="Y33" t="e">
        <f>AND('Yamazumi Data'!#REF!,"AAAAAG6/Wxg=")</f>
        <v>#REF!</v>
      </c>
      <c r="Z33" t="e">
        <f>AND('Yamazumi Data'!#REF!,"AAAAAG6/Wxk=")</f>
        <v>#REF!</v>
      </c>
      <c r="AA33" t="e">
        <f>AND('Yamazumi Data'!#REF!,"AAAAAG6/Wxo=")</f>
        <v>#REF!</v>
      </c>
      <c r="AB33" t="e">
        <f>AND('Yamazumi Data'!#REF!,"AAAAAG6/Wxs=")</f>
        <v>#REF!</v>
      </c>
      <c r="AC33" t="e">
        <f>AND('Yamazumi Data'!#REF!,"AAAAAG6/Wxw=")</f>
        <v>#REF!</v>
      </c>
      <c r="AD33" t="e">
        <f>AND('Yamazumi Data'!#REF!,"AAAAAG6/Wx0=")</f>
        <v>#REF!</v>
      </c>
      <c r="AE33" t="e">
        <f>AND('Yamazumi Data'!#REF!,"AAAAAG6/Wx4=")</f>
        <v>#REF!</v>
      </c>
      <c r="AF33" t="e">
        <f>AND('Yamazumi Data'!#REF!,"AAAAAG6/Wx8=")</f>
        <v>#REF!</v>
      </c>
      <c r="AG33" t="e">
        <f>AND('Yamazumi Data'!#REF!,"AAAAAG6/WyA=")</f>
        <v>#REF!</v>
      </c>
      <c r="AH33" t="e">
        <f>AND('Yamazumi Data'!#REF!,"AAAAAG6/WyE=")</f>
        <v>#REF!</v>
      </c>
      <c r="AI33" t="e">
        <f>AND('Yamazumi Data'!#REF!,"AAAAAG6/WyI=")</f>
        <v>#REF!</v>
      </c>
      <c r="AJ33" t="e">
        <f>AND('Yamazumi Data'!#REF!,"AAAAAG6/WyM=")</f>
        <v>#REF!</v>
      </c>
      <c r="AK33" t="e">
        <f>AND('Yamazumi Data'!#REF!,"AAAAAG6/WyQ=")</f>
        <v>#REF!</v>
      </c>
      <c r="AL33" t="e">
        <f>AND('Yamazumi Data'!#REF!,"AAAAAG6/WyU=")</f>
        <v>#REF!</v>
      </c>
      <c r="AM33" t="e">
        <f>AND('Yamazumi Data'!#REF!,"AAAAAG6/WyY=")</f>
        <v>#REF!</v>
      </c>
      <c r="AN33" t="e">
        <f>AND('Yamazumi Data'!#REF!,"AAAAAG6/Wyc=")</f>
        <v>#REF!</v>
      </c>
      <c r="AO33" t="e">
        <f>AND('Yamazumi Data'!#REF!,"AAAAAG6/Wyg=")</f>
        <v>#REF!</v>
      </c>
      <c r="AP33" t="e">
        <f>AND('Yamazumi Data'!#REF!,"AAAAAG6/Wyk=")</f>
        <v>#REF!</v>
      </c>
      <c r="AQ33" t="e">
        <f>AND('Yamazumi Data'!#REF!,"AAAAAG6/Wyo=")</f>
        <v>#REF!</v>
      </c>
      <c r="AR33" t="e">
        <f>AND('Yamazumi Data'!#REF!,"AAAAAG6/Wys=")</f>
        <v>#REF!</v>
      </c>
      <c r="AS33" t="e">
        <f>AND('Yamazumi Data'!#REF!,"AAAAAG6/Wyw=")</f>
        <v>#REF!</v>
      </c>
      <c r="AT33" t="e">
        <f>AND('Yamazumi Data'!#REF!,"AAAAAG6/Wy0=")</f>
        <v>#REF!</v>
      </c>
      <c r="AU33" t="e">
        <f>AND('Yamazumi Data'!#REF!,"AAAAAG6/Wy4=")</f>
        <v>#REF!</v>
      </c>
      <c r="AV33" t="e">
        <f>AND('Yamazumi Data'!#REF!,"AAAAAG6/Wy8=")</f>
        <v>#REF!</v>
      </c>
      <c r="AW33" t="e">
        <f>AND('Yamazumi Data'!#REF!,"AAAAAG6/WzA=")</f>
        <v>#REF!</v>
      </c>
      <c r="AX33" t="e">
        <f>AND('Yamazumi Data'!#REF!,"AAAAAG6/WzE=")</f>
        <v>#REF!</v>
      </c>
      <c r="AY33" t="e">
        <f>AND('Yamazumi Data'!#REF!,"AAAAAG6/WzI=")</f>
        <v>#REF!</v>
      </c>
      <c r="AZ33" t="e">
        <f>AND('Yamazumi Data'!#REF!,"AAAAAG6/WzM=")</f>
        <v>#REF!</v>
      </c>
      <c r="BA33" t="e">
        <f>AND('Yamazumi Data'!#REF!,"AAAAAG6/WzQ=")</f>
        <v>#REF!</v>
      </c>
      <c r="BB33" t="e">
        <f>AND('Yamazumi Data'!#REF!,"AAAAAG6/WzU=")</f>
        <v>#REF!</v>
      </c>
      <c r="BC33" t="e">
        <f>AND('Yamazumi Data'!#REF!,"AAAAAG6/WzY=")</f>
        <v>#REF!</v>
      </c>
      <c r="BD33" t="e">
        <f>AND('Yamazumi Data'!#REF!,"AAAAAG6/Wzc=")</f>
        <v>#REF!</v>
      </c>
      <c r="BE33" t="e">
        <f>IF('Yamazumi Data'!#REF!,"AAAAAG6/Wzg=",0)</f>
        <v>#REF!</v>
      </c>
      <c r="BF33" t="e">
        <f>AND('Yamazumi Data'!#REF!,"AAAAAG6/Wzk=")</f>
        <v>#REF!</v>
      </c>
      <c r="BG33" t="e">
        <f>AND('Yamazumi Data'!#REF!,"AAAAAG6/Wzo=")</f>
        <v>#REF!</v>
      </c>
      <c r="BH33" t="e">
        <f>AND('Yamazumi Data'!#REF!,"AAAAAG6/Wzs=")</f>
        <v>#REF!</v>
      </c>
      <c r="BI33" t="e">
        <f>AND('Yamazumi Data'!#REF!,"AAAAAG6/Wzw=")</f>
        <v>#REF!</v>
      </c>
      <c r="BJ33" t="e">
        <f>AND('Yamazumi Data'!#REF!,"AAAAAG6/Wz0=")</f>
        <v>#REF!</v>
      </c>
      <c r="BK33" t="e">
        <f>AND('Yamazumi Data'!#REF!,"AAAAAG6/Wz4=")</f>
        <v>#REF!</v>
      </c>
      <c r="BL33" t="e">
        <f>AND('Yamazumi Data'!#REF!,"AAAAAG6/Wz8=")</f>
        <v>#REF!</v>
      </c>
      <c r="BM33" t="e">
        <f>AND('Yamazumi Data'!#REF!,"AAAAAG6/W0A=")</f>
        <v>#REF!</v>
      </c>
      <c r="BN33" t="e">
        <f>AND('Yamazumi Data'!#REF!,"AAAAAG6/W0E=")</f>
        <v>#REF!</v>
      </c>
      <c r="BO33" t="e">
        <f>AND('Yamazumi Data'!#REF!,"AAAAAG6/W0I=")</f>
        <v>#REF!</v>
      </c>
      <c r="BP33" t="e">
        <f>AND('Yamazumi Data'!#REF!,"AAAAAG6/W0M=")</f>
        <v>#REF!</v>
      </c>
      <c r="BQ33" t="e">
        <f>AND('Yamazumi Data'!#REF!,"AAAAAG6/W0Q=")</f>
        <v>#REF!</v>
      </c>
      <c r="BR33" t="e">
        <f>AND('Yamazumi Data'!#REF!,"AAAAAG6/W0U=")</f>
        <v>#REF!</v>
      </c>
      <c r="BS33" t="e">
        <f>AND('Yamazumi Data'!#REF!,"AAAAAG6/W0Y=")</f>
        <v>#REF!</v>
      </c>
      <c r="BT33" t="e">
        <f>AND('Yamazumi Data'!#REF!,"AAAAAG6/W0c=")</f>
        <v>#REF!</v>
      </c>
      <c r="BU33" t="e">
        <f>AND('Yamazumi Data'!#REF!,"AAAAAG6/W0g=")</f>
        <v>#REF!</v>
      </c>
      <c r="BV33" t="e">
        <f>AND('Yamazumi Data'!#REF!,"AAAAAG6/W0k=")</f>
        <v>#REF!</v>
      </c>
      <c r="BW33" t="e">
        <f>AND('Yamazumi Data'!#REF!,"AAAAAG6/W0o=")</f>
        <v>#REF!</v>
      </c>
      <c r="BX33" t="e">
        <f>AND('Yamazumi Data'!#REF!,"AAAAAG6/W0s=")</f>
        <v>#REF!</v>
      </c>
      <c r="BY33" t="e">
        <f>AND('Yamazumi Data'!#REF!,"AAAAAG6/W0w=")</f>
        <v>#REF!</v>
      </c>
      <c r="BZ33" t="e">
        <f>AND('Yamazumi Data'!#REF!,"AAAAAG6/W00=")</f>
        <v>#REF!</v>
      </c>
      <c r="CA33" t="e">
        <f>AND('Yamazumi Data'!#REF!,"AAAAAG6/W04=")</f>
        <v>#REF!</v>
      </c>
      <c r="CB33" t="e">
        <f>AND('Yamazumi Data'!#REF!,"AAAAAG6/W08=")</f>
        <v>#REF!</v>
      </c>
      <c r="CC33" t="e">
        <f>AND('Yamazumi Data'!#REF!,"AAAAAG6/W1A=")</f>
        <v>#REF!</v>
      </c>
      <c r="CD33" t="e">
        <f>AND('Yamazumi Data'!#REF!,"AAAAAG6/W1E=")</f>
        <v>#REF!</v>
      </c>
      <c r="CE33" t="e">
        <f>AND('Yamazumi Data'!#REF!,"AAAAAG6/W1I=")</f>
        <v>#REF!</v>
      </c>
      <c r="CF33" t="e">
        <f>AND('Yamazumi Data'!#REF!,"AAAAAG6/W1M=")</f>
        <v>#REF!</v>
      </c>
      <c r="CG33" t="e">
        <f>AND('Yamazumi Data'!#REF!,"AAAAAG6/W1Q=")</f>
        <v>#REF!</v>
      </c>
      <c r="CH33" t="e">
        <f>AND('Yamazumi Data'!#REF!,"AAAAAG6/W1U=")</f>
        <v>#REF!</v>
      </c>
      <c r="CI33" t="e">
        <f>AND('Yamazumi Data'!#REF!,"AAAAAG6/W1Y=")</f>
        <v>#REF!</v>
      </c>
      <c r="CJ33" t="e">
        <f>AND('Yamazumi Data'!#REF!,"AAAAAG6/W1c=")</f>
        <v>#REF!</v>
      </c>
      <c r="CK33" t="e">
        <f>AND('Yamazumi Data'!#REF!,"AAAAAG6/W1g=")</f>
        <v>#REF!</v>
      </c>
      <c r="CL33" t="e">
        <f>AND('Yamazumi Data'!#REF!,"AAAAAG6/W1k=")</f>
        <v>#REF!</v>
      </c>
      <c r="CM33" t="e">
        <f>AND('Yamazumi Data'!#REF!,"AAAAAG6/W1o=")</f>
        <v>#REF!</v>
      </c>
      <c r="CN33" t="e">
        <f>AND('Yamazumi Data'!#REF!,"AAAAAG6/W1s=")</f>
        <v>#REF!</v>
      </c>
      <c r="CO33" t="e">
        <f>AND('Yamazumi Data'!#REF!,"AAAAAG6/W1w=")</f>
        <v>#REF!</v>
      </c>
      <c r="CP33" t="e">
        <f>AND('Yamazumi Data'!#REF!,"AAAAAG6/W10=")</f>
        <v>#REF!</v>
      </c>
      <c r="CQ33" t="e">
        <f>AND('Yamazumi Data'!#REF!,"AAAAAG6/W14=")</f>
        <v>#REF!</v>
      </c>
      <c r="CR33" t="e">
        <f>AND('Yamazumi Data'!#REF!,"AAAAAG6/W18=")</f>
        <v>#REF!</v>
      </c>
      <c r="CS33" t="e">
        <f>AND('Yamazumi Data'!#REF!,"AAAAAG6/W2A=")</f>
        <v>#REF!</v>
      </c>
      <c r="CT33" t="e">
        <f>IF('Yamazumi Data'!#REF!,"AAAAAG6/W2E=",0)</f>
        <v>#REF!</v>
      </c>
      <c r="CU33" t="e">
        <f>AND('Yamazumi Data'!#REF!,"AAAAAG6/W2I=")</f>
        <v>#REF!</v>
      </c>
      <c r="CV33" t="e">
        <f>AND('Yamazumi Data'!#REF!,"AAAAAG6/W2M=")</f>
        <v>#REF!</v>
      </c>
      <c r="CW33" t="e">
        <f>AND('Yamazumi Data'!#REF!,"AAAAAG6/W2Q=")</f>
        <v>#REF!</v>
      </c>
      <c r="CX33" t="e">
        <f>AND('Yamazumi Data'!#REF!,"AAAAAG6/W2U=")</f>
        <v>#REF!</v>
      </c>
      <c r="CY33" t="e">
        <f>AND('Yamazumi Data'!#REF!,"AAAAAG6/W2Y=")</f>
        <v>#REF!</v>
      </c>
      <c r="CZ33" t="e">
        <f>AND('Yamazumi Data'!#REF!,"AAAAAG6/W2c=")</f>
        <v>#REF!</v>
      </c>
      <c r="DA33" t="e">
        <f>AND('Yamazumi Data'!#REF!,"AAAAAG6/W2g=")</f>
        <v>#REF!</v>
      </c>
      <c r="DB33" t="e">
        <f>AND('Yamazumi Data'!#REF!,"AAAAAG6/W2k=")</f>
        <v>#REF!</v>
      </c>
      <c r="DC33" t="e">
        <f>AND('Yamazumi Data'!#REF!,"AAAAAG6/W2o=")</f>
        <v>#REF!</v>
      </c>
      <c r="DD33" t="e">
        <f>AND('Yamazumi Data'!#REF!,"AAAAAG6/W2s=")</f>
        <v>#REF!</v>
      </c>
      <c r="DE33" t="e">
        <f>AND('Yamazumi Data'!#REF!,"AAAAAG6/W2w=")</f>
        <v>#REF!</v>
      </c>
      <c r="DF33" t="e">
        <f>AND('Yamazumi Data'!#REF!,"AAAAAG6/W20=")</f>
        <v>#REF!</v>
      </c>
      <c r="DG33" t="e">
        <f>AND('Yamazumi Data'!#REF!,"AAAAAG6/W24=")</f>
        <v>#REF!</v>
      </c>
      <c r="DH33" t="e">
        <f>AND('Yamazumi Data'!#REF!,"AAAAAG6/W28=")</f>
        <v>#REF!</v>
      </c>
      <c r="DI33" t="e">
        <f>AND('Yamazumi Data'!#REF!,"AAAAAG6/W3A=")</f>
        <v>#REF!</v>
      </c>
      <c r="DJ33" t="e">
        <f>AND('Yamazumi Data'!#REF!,"AAAAAG6/W3E=")</f>
        <v>#REF!</v>
      </c>
      <c r="DK33" t="e">
        <f>AND('Yamazumi Data'!#REF!,"AAAAAG6/W3I=")</f>
        <v>#REF!</v>
      </c>
      <c r="DL33" t="e">
        <f>AND('Yamazumi Data'!#REF!,"AAAAAG6/W3M=")</f>
        <v>#REF!</v>
      </c>
      <c r="DM33" t="e">
        <f>AND('Yamazumi Data'!#REF!,"AAAAAG6/W3Q=")</f>
        <v>#REF!</v>
      </c>
      <c r="DN33" t="e">
        <f>AND('Yamazumi Data'!#REF!,"AAAAAG6/W3U=")</f>
        <v>#REF!</v>
      </c>
      <c r="DO33" t="e">
        <f>AND('Yamazumi Data'!#REF!,"AAAAAG6/W3Y=")</f>
        <v>#REF!</v>
      </c>
      <c r="DP33" t="e">
        <f>AND('Yamazumi Data'!#REF!,"AAAAAG6/W3c=")</f>
        <v>#REF!</v>
      </c>
      <c r="DQ33" t="e">
        <f>AND('Yamazumi Data'!#REF!,"AAAAAG6/W3g=")</f>
        <v>#REF!</v>
      </c>
      <c r="DR33" t="e">
        <f>AND('Yamazumi Data'!#REF!,"AAAAAG6/W3k=")</f>
        <v>#REF!</v>
      </c>
      <c r="DS33" t="e">
        <f>AND('Yamazumi Data'!#REF!,"AAAAAG6/W3o=")</f>
        <v>#REF!</v>
      </c>
      <c r="DT33" t="e">
        <f>AND('Yamazumi Data'!#REF!,"AAAAAG6/W3s=")</f>
        <v>#REF!</v>
      </c>
      <c r="DU33" t="e">
        <f>AND('Yamazumi Data'!#REF!,"AAAAAG6/W3w=")</f>
        <v>#REF!</v>
      </c>
      <c r="DV33" t="e">
        <f>AND('Yamazumi Data'!#REF!,"AAAAAG6/W30=")</f>
        <v>#REF!</v>
      </c>
      <c r="DW33" t="e">
        <f>AND('Yamazumi Data'!#REF!,"AAAAAG6/W34=")</f>
        <v>#REF!</v>
      </c>
      <c r="DX33" t="e">
        <f>AND('Yamazumi Data'!#REF!,"AAAAAG6/W38=")</f>
        <v>#REF!</v>
      </c>
      <c r="DY33" t="e">
        <f>AND('Yamazumi Data'!#REF!,"AAAAAG6/W4A=")</f>
        <v>#REF!</v>
      </c>
      <c r="DZ33" t="e">
        <f>AND('Yamazumi Data'!#REF!,"AAAAAG6/W4E=")</f>
        <v>#REF!</v>
      </c>
      <c r="EA33" t="e">
        <f>AND('Yamazumi Data'!#REF!,"AAAAAG6/W4I=")</f>
        <v>#REF!</v>
      </c>
      <c r="EB33" t="e">
        <f>AND('Yamazumi Data'!#REF!,"AAAAAG6/W4M=")</f>
        <v>#REF!</v>
      </c>
      <c r="EC33" t="e">
        <f>AND('Yamazumi Data'!#REF!,"AAAAAG6/W4Q=")</f>
        <v>#REF!</v>
      </c>
      <c r="ED33" t="e">
        <f>AND('Yamazumi Data'!#REF!,"AAAAAG6/W4U=")</f>
        <v>#REF!</v>
      </c>
      <c r="EE33" t="e">
        <f>AND('Yamazumi Data'!#REF!,"AAAAAG6/W4Y=")</f>
        <v>#REF!</v>
      </c>
      <c r="EF33" t="e">
        <f>AND('Yamazumi Data'!#REF!,"AAAAAG6/W4c=")</f>
        <v>#REF!</v>
      </c>
      <c r="EG33" t="e">
        <f>AND('Yamazumi Data'!#REF!,"AAAAAG6/W4g=")</f>
        <v>#REF!</v>
      </c>
      <c r="EH33" t="e">
        <f>AND('Yamazumi Data'!#REF!,"AAAAAG6/W4k=")</f>
        <v>#REF!</v>
      </c>
      <c r="EI33" t="e">
        <f>IF('Yamazumi Data'!#REF!,"AAAAAG6/W4o=",0)</f>
        <v>#REF!</v>
      </c>
      <c r="EJ33" t="e">
        <f>AND('Yamazumi Data'!#REF!,"AAAAAG6/W4s=")</f>
        <v>#REF!</v>
      </c>
      <c r="EK33" t="e">
        <f>AND('Yamazumi Data'!#REF!,"AAAAAG6/W4w=")</f>
        <v>#REF!</v>
      </c>
      <c r="EL33" t="e">
        <f>AND('Yamazumi Data'!#REF!,"AAAAAG6/W40=")</f>
        <v>#REF!</v>
      </c>
      <c r="EM33" t="e">
        <f>AND('Yamazumi Data'!#REF!,"AAAAAG6/W44=")</f>
        <v>#REF!</v>
      </c>
      <c r="EN33" t="e">
        <f>AND('Yamazumi Data'!#REF!,"AAAAAG6/W48=")</f>
        <v>#REF!</v>
      </c>
      <c r="EO33" t="e">
        <f>AND('Yamazumi Data'!#REF!,"AAAAAG6/W5A=")</f>
        <v>#REF!</v>
      </c>
      <c r="EP33" t="e">
        <f>AND('Yamazumi Data'!#REF!,"AAAAAG6/W5E=")</f>
        <v>#REF!</v>
      </c>
      <c r="EQ33" t="e">
        <f>AND('Yamazumi Data'!#REF!,"AAAAAG6/W5I=")</f>
        <v>#REF!</v>
      </c>
      <c r="ER33" t="e">
        <f>AND('Yamazumi Data'!#REF!,"AAAAAG6/W5M=")</f>
        <v>#REF!</v>
      </c>
      <c r="ES33" t="e">
        <f>AND('Yamazumi Data'!#REF!,"AAAAAG6/W5Q=")</f>
        <v>#REF!</v>
      </c>
      <c r="ET33" t="e">
        <f>AND('Yamazumi Data'!#REF!,"AAAAAG6/W5U=")</f>
        <v>#REF!</v>
      </c>
      <c r="EU33" t="e">
        <f>AND('Yamazumi Data'!#REF!,"AAAAAG6/W5Y=")</f>
        <v>#REF!</v>
      </c>
      <c r="EV33" t="e">
        <f>AND('Yamazumi Data'!#REF!,"AAAAAG6/W5c=")</f>
        <v>#REF!</v>
      </c>
      <c r="EW33" t="e">
        <f>AND('Yamazumi Data'!#REF!,"AAAAAG6/W5g=")</f>
        <v>#REF!</v>
      </c>
      <c r="EX33" t="e">
        <f>AND('Yamazumi Data'!#REF!,"AAAAAG6/W5k=")</f>
        <v>#REF!</v>
      </c>
      <c r="EY33" t="e">
        <f>AND('Yamazumi Data'!#REF!,"AAAAAG6/W5o=")</f>
        <v>#REF!</v>
      </c>
      <c r="EZ33" t="e">
        <f>AND('Yamazumi Data'!#REF!,"AAAAAG6/W5s=")</f>
        <v>#REF!</v>
      </c>
      <c r="FA33" t="e">
        <f>AND('Yamazumi Data'!#REF!,"AAAAAG6/W5w=")</f>
        <v>#REF!</v>
      </c>
      <c r="FB33" t="e">
        <f>AND('Yamazumi Data'!#REF!,"AAAAAG6/W50=")</f>
        <v>#REF!</v>
      </c>
      <c r="FC33" t="e">
        <f>AND('Yamazumi Data'!#REF!,"AAAAAG6/W54=")</f>
        <v>#REF!</v>
      </c>
      <c r="FD33" t="e">
        <f>AND('Yamazumi Data'!#REF!,"AAAAAG6/W58=")</f>
        <v>#REF!</v>
      </c>
      <c r="FE33" t="e">
        <f>AND('Yamazumi Data'!#REF!,"AAAAAG6/W6A=")</f>
        <v>#REF!</v>
      </c>
      <c r="FF33" t="e">
        <f>AND('Yamazumi Data'!#REF!,"AAAAAG6/W6E=")</f>
        <v>#REF!</v>
      </c>
      <c r="FG33" t="e">
        <f>AND('Yamazumi Data'!#REF!,"AAAAAG6/W6I=")</f>
        <v>#REF!</v>
      </c>
      <c r="FH33" t="e">
        <f>AND('Yamazumi Data'!#REF!,"AAAAAG6/W6M=")</f>
        <v>#REF!</v>
      </c>
      <c r="FI33" t="e">
        <f>AND('Yamazumi Data'!#REF!,"AAAAAG6/W6Q=")</f>
        <v>#REF!</v>
      </c>
      <c r="FJ33" t="e">
        <f>AND('Yamazumi Data'!#REF!,"AAAAAG6/W6U=")</f>
        <v>#REF!</v>
      </c>
      <c r="FK33" t="e">
        <f>AND('Yamazumi Data'!#REF!,"AAAAAG6/W6Y=")</f>
        <v>#REF!</v>
      </c>
      <c r="FL33" t="e">
        <f>AND('Yamazumi Data'!#REF!,"AAAAAG6/W6c=")</f>
        <v>#REF!</v>
      </c>
      <c r="FM33" t="e">
        <f>AND('Yamazumi Data'!#REF!,"AAAAAG6/W6g=")</f>
        <v>#REF!</v>
      </c>
      <c r="FN33" t="e">
        <f>AND('Yamazumi Data'!#REF!,"AAAAAG6/W6k=")</f>
        <v>#REF!</v>
      </c>
      <c r="FO33" t="e">
        <f>AND('Yamazumi Data'!#REF!,"AAAAAG6/W6o=")</f>
        <v>#REF!</v>
      </c>
      <c r="FP33" t="e">
        <f>AND('Yamazumi Data'!#REF!,"AAAAAG6/W6s=")</f>
        <v>#REF!</v>
      </c>
      <c r="FQ33" t="e">
        <f>AND('Yamazumi Data'!#REF!,"AAAAAG6/W6w=")</f>
        <v>#REF!</v>
      </c>
      <c r="FR33" t="e">
        <f>AND('Yamazumi Data'!#REF!,"AAAAAG6/W60=")</f>
        <v>#REF!</v>
      </c>
      <c r="FS33" t="e">
        <f>AND('Yamazumi Data'!#REF!,"AAAAAG6/W64=")</f>
        <v>#REF!</v>
      </c>
      <c r="FT33" t="e">
        <f>AND('Yamazumi Data'!#REF!,"AAAAAG6/W68=")</f>
        <v>#REF!</v>
      </c>
      <c r="FU33" t="e">
        <f>AND('Yamazumi Data'!#REF!,"AAAAAG6/W7A=")</f>
        <v>#REF!</v>
      </c>
      <c r="FV33" t="e">
        <f>AND('Yamazumi Data'!#REF!,"AAAAAG6/W7E=")</f>
        <v>#REF!</v>
      </c>
      <c r="FW33" t="e">
        <f>AND('Yamazumi Data'!#REF!,"AAAAAG6/W7I=")</f>
        <v>#REF!</v>
      </c>
      <c r="FX33" t="e">
        <f>IF('Yamazumi Data'!#REF!,"AAAAAG6/W7M=",0)</f>
        <v>#REF!</v>
      </c>
      <c r="FY33" t="e">
        <f>AND('Yamazumi Data'!#REF!,"AAAAAG6/W7Q=")</f>
        <v>#REF!</v>
      </c>
      <c r="FZ33" t="e">
        <f>AND('Yamazumi Data'!#REF!,"AAAAAG6/W7U=")</f>
        <v>#REF!</v>
      </c>
      <c r="GA33" t="e">
        <f>AND('Yamazumi Data'!#REF!,"AAAAAG6/W7Y=")</f>
        <v>#REF!</v>
      </c>
      <c r="GB33" t="e">
        <f>AND('Yamazumi Data'!#REF!,"AAAAAG6/W7c=")</f>
        <v>#REF!</v>
      </c>
      <c r="GC33" t="e">
        <f>AND('Yamazumi Data'!#REF!,"AAAAAG6/W7g=")</f>
        <v>#REF!</v>
      </c>
      <c r="GD33" t="e">
        <f>AND('Yamazumi Data'!#REF!,"AAAAAG6/W7k=")</f>
        <v>#REF!</v>
      </c>
      <c r="GE33" t="e">
        <f>AND('Yamazumi Data'!#REF!,"AAAAAG6/W7o=")</f>
        <v>#REF!</v>
      </c>
      <c r="GF33" t="e">
        <f>AND('Yamazumi Data'!#REF!,"AAAAAG6/W7s=")</f>
        <v>#REF!</v>
      </c>
      <c r="GG33" t="e">
        <f>AND('Yamazumi Data'!#REF!,"AAAAAG6/W7w=")</f>
        <v>#REF!</v>
      </c>
      <c r="GH33" t="e">
        <f>AND('Yamazumi Data'!#REF!,"AAAAAG6/W70=")</f>
        <v>#REF!</v>
      </c>
      <c r="GI33" t="e">
        <f>AND('Yamazumi Data'!#REF!,"AAAAAG6/W74=")</f>
        <v>#REF!</v>
      </c>
      <c r="GJ33" t="e">
        <f>AND('Yamazumi Data'!#REF!,"AAAAAG6/W78=")</f>
        <v>#REF!</v>
      </c>
      <c r="GK33" t="e">
        <f>AND('Yamazumi Data'!#REF!,"AAAAAG6/W8A=")</f>
        <v>#REF!</v>
      </c>
      <c r="GL33" t="e">
        <f>AND('Yamazumi Data'!#REF!,"AAAAAG6/W8E=")</f>
        <v>#REF!</v>
      </c>
      <c r="GM33" t="e">
        <f>AND('Yamazumi Data'!#REF!,"AAAAAG6/W8I=")</f>
        <v>#REF!</v>
      </c>
      <c r="GN33" t="e">
        <f>AND('Yamazumi Data'!#REF!,"AAAAAG6/W8M=")</f>
        <v>#REF!</v>
      </c>
      <c r="GO33" t="e">
        <f>AND('Yamazumi Data'!#REF!,"AAAAAG6/W8Q=")</f>
        <v>#REF!</v>
      </c>
      <c r="GP33" t="e">
        <f>AND('Yamazumi Data'!#REF!,"AAAAAG6/W8U=")</f>
        <v>#REF!</v>
      </c>
      <c r="GQ33" t="e">
        <f>AND('Yamazumi Data'!#REF!,"AAAAAG6/W8Y=")</f>
        <v>#REF!</v>
      </c>
      <c r="GR33" t="e">
        <f>AND('Yamazumi Data'!#REF!,"AAAAAG6/W8c=")</f>
        <v>#REF!</v>
      </c>
      <c r="GS33" t="e">
        <f>AND('Yamazumi Data'!#REF!,"AAAAAG6/W8g=")</f>
        <v>#REF!</v>
      </c>
      <c r="GT33" t="e">
        <f>AND('Yamazumi Data'!#REF!,"AAAAAG6/W8k=")</f>
        <v>#REF!</v>
      </c>
      <c r="GU33" t="e">
        <f>AND('Yamazumi Data'!#REF!,"AAAAAG6/W8o=")</f>
        <v>#REF!</v>
      </c>
      <c r="GV33" t="e">
        <f>AND('Yamazumi Data'!#REF!,"AAAAAG6/W8s=")</f>
        <v>#REF!</v>
      </c>
      <c r="GW33" t="e">
        <f>AND('Yamazumi Data'!#REF!,"AAAAAG6/W8w=")</f>
        <v>#REF!</v>
      </c>
      <c r="GX33" t="e">
        <f>AND('Yamazumi Data'!#REF!,"AAAAAG6/W80=")</f>
        <v>#REF!</v>
      </c>
      <c r="GY33" t="e">
        <f>AND('Yamazumi Data'!#REF!,"AAAAAG6/W84=")</f>
        <v>#REF!</v>
      </c>
      <c r="GZ33" t="e">
        <f>AND('Yamazumi Data'!#REF!,"AAAAAG6/W88=")</f>
        <v>#REF!</v>
      </c>
      <c r="HA33" t="e">
        <f>AND('Yamazumi Data'!#REF!,"AAAAAG6/W9A=")</f>
        <v>#REF!</v>
      </c>
      <c r="HB33" t="e">
        <f>AND('Yamazumi Data'!#REF!,"AAAAAG6/W9E=")</f>
        <v>#REF!</v>
      </c>
      <c r="HC33" t="e">
        <f>AND('Yamazumi Data'!#REF!,"AAAAAG6/W9I=")</f>
        <v>#REF!</v>
      </c>
      <c r="HD33" t="e">
        <f>AND('Yamazumi Data'!#REF!,"AAAAAG6/W9M=")</f>
        <v>#REF!</v>
      </c>
      <c r="HE33" t="e">
        <f>AND('Yamazumi Data'!#REF!,"AAAAAG6/W9Q=")</f>
        <v>#REF!</v>
      </c>
      <c r="HF33" t="e">
        <f>AND('Yamazumi Data'!#REF!,"AAAAAG6/W9U=")</f>
        <v>#REF!</v>
      </c>
      <c r="HG33" t="e">
        <f>AND('Yamazumi Data'!#REF!,"AAAAAG6/W9Y=")</f>
        <v>#REF!</v>
      </c>
      <c r="HH33" t="e">
        <f>AND('Yamazumi Data'!#REF!,"AAAAAG6/W9c=")</f>
        <v>#REF!</v>
      </c>
      <c r="HI33" t="e">
        <f>AND('Yamazumi Data'!#REF!,"AAAAAG6/W9g=")</f>
        <v>#REF!</v>
      </c>
      <c r="HJ33" t="e">
        <f>AND('Yamazumi Data'!#REF!,"AAAAAG6/W9k=")</f>
        <v>#REF!</v>
      </c>
      <c r="HK33" t="e">
        <f>AND('Yamazumi Data'!#REF!,"AAAAAG6/W9o=")</f>
        <v>#REF!</v>
      </c>
      <c r="HL33" t="e">
        <f>AND('Yamazumi Data'!#REF!,"AAAAAG6/W9s=")</f>
        <v>#REF!</v>
      </c>
      <c r="HM33" t="e">
        <f>IF('Yamazumi Data'!#REF!,"AAAAAG6/W9w=",0)</f>
        <v>#REF!</v>
      </c>
      <c r="HN33" t="e">
        <f>AND('Yamazumi Data'!#REF!,"AAAAAG6/W90=")</f>
        <v>#REF!</v>
      </c>
      <c r="HO33" t="e">
        <f>AND('Yamazumi Data'!#REF!,"AAAAAG6/W94=")</f>
        <v>#REF!</v>
      </c>
      <c r="HP33" t="e">
        <f>AND('Yamazumi Data'!#REF!,"AAAAAG6/W98=")</f>
        <v>#REF!</v>
      </c>
      <c r="HQ33" t="e">
        <f>AND('Yamazumi Data'!#REF!,"AAAAAG6/W+A=")</f>
        <v>#REF!</v>
      </c>
      <c r="HR33" t="e">
        <f>AND('Yamazumi Data'!#REF!,"AAAAAG6/W+E=")</f>
        <v>#REF!</v>
      </c>
      <c r="HS33" t="e">
        <f>AND('Yamazumi Data'!#REF!,"AAAAAG6/W+I=")</f>
        <v>#REF!</v>
      </c>
      <c r="HT33" t="e">
        <f>AND('Yamazumi Data'!#REF!,"AAAAAG6/W+M=")</f>
        <v>#REF!</v>
      </c>
      <c r="HU33" t="e">
        <f>AND('Yamazumi Data'!#REF!,"AAAAAG6/W+Q=")</f>
        <v>#REF!</v>
      </c>
      <c r="HV33" t="e">
        <f>AND('Yamazumi Data'!#REF!,"AAAAAG6/W+U=")</f>
        <v>#REF!</v>
      </c>
      <c r="HW33" t="e">
        <f>AND('Yamazumi Data'!#REF!,"AAAAAG6/W+Y=")</f>
        <v>#REF!</v>
      </c>
      <c r="HX33" t="e">
        <f>AND('Yamazumi Data'!#REF!,"AAAAAG6/W+c=")</f>
        <v>#REF!</v>
      </c>
      <c r="HY33" t="e">
        <f>AND('Yamazumi Data'!#REF!,"AAAAAG6/W+g=")</f>
        <v>#REF!</v>
      </c>
      <c r="HZ33" t="e">
        <f>AND('Yamazumi Data'!#REF!,"AAAAAG6/W+k=")</f>
        <v>#REF!</v>
      </c>
      <c r="IA33" t="e">
        <f>AND('Yamazumi Data'!#REF!,"AAAAAG6/W+o=")</f>
        <v>#REF!</v>
      </c>
      <c r="IB33" t="e">
        <f>AND('Yamazumi Data'!#REF!,"AAAAAG6/W+s=")</f>
        <v>#REF!</v>
      </c>
      <c r="IC33" t="e">
        <f>AND('Yamazumi Data'!#REF!,"AAAAAG6/W+w=")</f>
        <v>#REF!</v>
      </c>
      <c r="ID33" t="e">
        <f>AND('Yamazumi Data'!#REF!,"AAAAAG6/W+0=")</f>
        <v>#REF!</v>
      </c>
      <c r="IE33" t="e">
        <f>AND('Yamazumi Data'!#REF!,"AAAAAG6/W+4=")</f>
        <v>#REF!</v>
      </c>
      <c r="IF33" t="e">
        <f>AND('Yamazumi Data'!#REF!,"AAAAAG6/W+8=")</f>
        <v>#REF!</v>
      </c>
      <c r="IG33" t="e">
        <f>AND('Yamazumi Data'!#REF!,"AAAAAG6/W/A=")</f>
        <v>#REF!</v>
      </c>
      <c r="IH33" t="e">
        <f>AND('Yamazumi Data'!#REF!,"AAAAAG6/W/E=")</f>
        <v>#REF!</v>
      </c>
      <c r="II33" t="e">
        <f>AND('Yamazumi Data'!#REF!,"AAAAAG6/W/I=")</f>
        <v>#REF!</v>
      </c>
      <c r="IJ33" t="e">
        <f>AND('Yamazumi Data'!#REF!,"AAAAAG6/W/M=")</f>
        <v>#REF!</v>
      </c>
      <c r="IK33" t="e">
        <f>AND('Yamazumi Data'!#REF!,"AAAAAG6/W/Q=")</f>
        <v>#REF!</v>
      </c>
      <c r="IL33" t="e">
        <f>AND('Yamazumi Data'!#REF!,"AAAAAG6/W/U=")</f>
        <v>#REF!</v>
      </c>
      <c r="IM33" t="e">
        <f>AND('Yamazumi Data'!#REF!,"AAAAAG6/W/Y=")</f>
        <v>#REF!</v>
      </c>
      <c r="IN33" t="e">
        <f>AND('Yamazumi Data'!#REF!,"AAAAAG6/W/c=")</f>
        <v>#REF!</v>
      </c>
      <c r="IO33" t="e">
        <f>AND('Yamazumi Data'!#REF!,"AAAAAG6/W/g=")</f>
        <v>#REF!</v>
      </c>
      <c r="IP33" t="e">
        <f>AND('Yamazumi Data'!#REF!,"AAAAAG6/W/k=")</f>
        <v>#REF!</v>
      </c>
      <c r="IQ33" t="e">
        <f>AND('Yamazumi Data'!#REF!,"AAAAAG6/W/o=")</f>
        <v>#REF!</v>
      </c>
      <c r="IR33" t="e">
        <f>AND('Yamazumi Data'!#REF!,"AAAAAG6/W/s=")</f>
        <v>#REF!</v>
      </c>
      <c r="IS33" t="e">
        <f>AND('Yamazumi Data'!#REF!,"AAAAAG6/W/w=")</f>
        <v>#REF!</v>
      </c>
      <c r="IT33" t="e">
        <f>AND('Yamazumi Data'!#REF!,"AAAAAG6/W/0=")</f>
        <v>#REF!</v>
      </c>
      <c r="IU33" t="e">
        <f>AND('Yamazumi Data'!#REF!,"AAAAAG6/W/4=")</f>
        <v>#REF!</v>
      </c>
      <c r="IV33" t="e">
        <f>AND('Yamazumi Data'!#REF!,"AAAAAG6/W/8=")</f>
        <v>#REF!</v>
      </c>
    </row>
    <row r="34" spans="1:256" x14ac:dyDescent="0.25">
      <c r="A34" t="e">
        <f>AND('Yamazumi Data'!#REF!,"AAAAAGW+jwA=")</f>
        <v>#REF!</v>
      </c>
      <c r="B34" t="e">
        <f>AND('Yamazumi Data'!#REF!,"AAAAAGW+jwE=")</f>
        <v>#REF!</v>
      </c>
      <c r="C34" t="e">
        <f>AND('Yamazumi Data'!#REF!,"AAAAAGW+jwI=")</f>
        <v>#REF!</v>
      </c>
      <c r="D34" t="e">
        <f>AND('Yamazumi Data'!#REF!,"AAAAAGW+jwM=")</f>
        <v>#REF!</v>
      </c>
      <c r="E34" t="e">
        <f>AND('Yamazumi Data'!#REF!,"AAAAAGW+jwQ=")</f>
        <v>#REF!</v>
      </c>
      <c r="F34" t="e">
        <f>IF('Yamazumi Data'!#REF!,"AAAAAGW+jwU=",0)</f>
        <v>#REF!</v>
      </c>
      <c r="G34" t="e">
        <f>AND('Yamazumi Data'!#REF!,"AAAAAGW+jwY=")</f>
        <v>#REF!</v>
      </c>
      <c r="H34" t="e">
        <f>AND('Yamazumi Data'!#REF!,"AAAAAGW+jwc=")</f>
        <v>#REF!</v>
      </c>
      <c r="I34" t="e">
        <f>AND('Yamazumi Data'!#REF!,"AAAAAGW+jwg=")</f>
        <v>#REF!</v>
      </c>
      <c r="J34" t="e">
        <f>AND('Yamazumi Data'!#REF!,"AAAAAGW+jwk=")</f>
        <v>#REF!</v>
      </c>
      <c r="K34" t="e">
        <f>AND('Yamazumi Data'!#REF!,"AAAAAGW+jwo=")</f>
        <v>#REF!</v>
      </c>
      <c r="L34" t="e">
        <f>AND('Yamazumi Data'!#REF!,"AAAAAGW+jws=")</f>
        <v>#REF!</v>
      </c>
      <c r="M34" t="e">
        <f>AND('Yamazumi Data'!#REF!,"AAAAAGW+jww=")</f>
        <v>#REF!</v>
      </c>
      <c r="N34" t="e">
        <f>AND('Yamazumi Data'!#REF!,"AAAAAGW+jw0=")</f>
        <v>#REF!</v>
      </c>
      <c r="O34" t="e">
        <f>AND('Yamazumi Data'!#REF!,"AAAAAGW+jw4=")</f>
        <v>#REF!</v>
      </c>
      <c r="P34" t="e">
        <f>AND('Yamazumi Data'!#REF!,"AAAAAGW+jw8=")</f>
        <v>#REF!</v>
      </c>
      <c r="Q34" t="e">
        <f>AND('Yamazumi Data'!#REF!,"AAAAAGW+jxA=")</f>
        <v>#REF!</v>
      </c>
      <c r="R34" t="e">
        <f>AND('Yamazumi Data'!#REF!,"AAAAAGW+jxE=")</f>
        <v>#REF!</v>
      </c>
      <c r="S34" t="e">
        <f>AND('Yamazumi Data'!#REF!,"AAAAAGW+jxI=")</f>
        <v>#REF!</v>
      </c>
      <c r="T34" t="e">
        <f>AND('Yamazumi Data'!#REF!,"AAAAAGW+jxM=")</f>
        <v>#REF!</v>
      </c>
      <c r="U34" t="e">
        <f>AND('Yamazumi Data'!#REF!,"AAAAAGW+jxQ=")</f>
        <v>#REF!</v>
      </c>
      <c r="V34" t="e">
        <f>AND('Yamazumi Data'!#REF!,"AAAAAGW+jxU=")</f>
        <v>#REF!</v>
      </c>
      <c r="W34" t="e">
        <f>AND('Yamazumi Data'!#REF!,"AAAAAGW+jxY=")</f>
        <v>#REF!</v>
      </c>
      <c r="X34" t="e">
        <f>AND('Yamazumi Data'!#REF!,"AAAAAGW+jxc=")</f>
        <v>#REF!</v>
      </c>
      <c r="Y34" t="e">
        <f>AND('Yamazumi Data'!#REF!,"AAAAAGW+jxg=")</f>
        <v>#REF!</v>
      </c>
      <c r="Z34" t="e">
        <f>AND('Yamazumi Data'!#REF!,"AAAAAGW+jxk=")</f>
        <v>#REF!</v>
      </c>
      <c r="AA34" t="e">
        <f>AND('Yamazumi Data'!#REF!,"AAAAAGW+jxo=")</f>
        <v>#REF!</v>
      </c>
      <c r="AB34" t="e">
        <f>AND('Yamazumi Data'!#REF!,"AAAAAGW+jxs=")</f>
        <v>#REF!</v>
      </c>
      <c r="AC34" t="e">
        <f>AND('Yamazumi Data'!#REF!,"AAAAAGW+jxw=")</f>
        <v>#REF!</v>
      </c>
      <c r="AD34" t="e">
        <f>AND('Yamazumi Data'!#REF!,"AAAAAGW+jx0=")</f>
        <v>#REF!</v>
      </c>
      <c r="AE34" t="e">
        <f>AND('Yamazumi Data'!#REF!,"AAAAAGW+jx4=")</f>
        <v>#REF!</v>
      </c>
      <c r="AF34" t="e">
        <f>AND('Yamazumi Data'!#REF!,"AAAAAGW+jx8=")</f>
        <v>#REF!</v>
      </c>
      <c r="AG34" t="e">
        <f>AND('Yamazumi Data'!#REF!,"AAAAAGW+jyA=")</f>
        <v>#REF!</v>
      </c>
      <c r="AH34" t="e">
        <f>AND('Yamazumi Data'!#REF!,"AAAAAGW+jyE=")</f>
        <v>#REF!</v>
      </c>
      <c r="AI34" t="e">
        <f>AND('Yamazumi Data'!#REF!,"AAAAAGW+jyI=")</f>
        <v>#REF!</v>
      </c>
      <c r="AJ34" t="e">
        <f>AND('Yamazumi Data'!#REF!,"AAAAAGW+jyM=")</f>
        <v>#REF!</v>
      </c>
      <c r="AK34" t="e">
        <f>AND('Yamazumi Data'!#REF!,"AAAAAGW+jyQ=")</f>
        <v>#REF!</v>
      </c>
      <c r="AL34" t="e">
        <f>AND('Yamazumi Data'!#REF!,"AAAAAGW+jyU=")</f>
        <v>#REF!</v>
      </c>
      <c r="AM34" t="e">
        <f>AND('Yamazumi Data'!#REF!,"AAAAAGW+jyY=")</f>
        <v>#REF!</v>
      </c>
      <c r="AN34" t="e">
        <f>AND('Yamazumi Data'!#REF!,"AAAAAGW+jyc=")</f>
        <v>#REF!</v>
      </c>
      <c r="AO34" t="e">
        <f>AND('Yamazumi Data'!#REF!,"AAAAAGW+jyg=")</f>
        <v>#REF!</v>
      </c>
      <c r="AP34" t="e">
        <f>AND('Yamazumi Data'!#REF!,"AAAAAGW+jyk=")</f>
        <v>#REF!</v>
      </c>
      <c r="AQ34" t="e">
        <f>AND('Yamazumi Data'!#REF!,"AAAAAGW+jyo=")</f>
        <v>#REF!</v>
      </c>
      <c r="AR34" t="e">
        <f>AND('Yamazumi Data'!#REF!,"AAAAAGW+jys=")</f>
        <v>#REF!</v>
      </c>
      <c r="AS34" t="e">
        <f>AND('Yamazumi Data'!#REF!,"AAAAAGW+jyw=")</f>
        <v>#REF!</v>
      </c>
      <c r="AT34" t="e">
        <f>AND('Yamazumi Data'!#REF!,"AAAAAGW+jy0=")</f>
        <v>#REF!</v>
      </c>
      <c r="AU34" t="e">
        <f>IF('Yamazumi Data'!#REF!,"AAAAAGW+jy4=",0)</f>
        <v>#REF!</v>
      </c>
      <c r="AV34" t="e">
        <f>AND('Yamazumi Data'!#REF!,"AAAAAGW+jy8=")</f>
        <v>#REF!</v>
      </c>
      <c r="AW34" t="e">
        <f>AND('Yamazumi Data'!#REF!,"AAAAAGW+jzA=")</f>
        <v>#REF!</v>
      </c>
      <c r="AX34" t="e">
        <f>AND('Yamazumi Data'!#REF!,"AAAAAGW+jzE=")</f>
        <v>#REF!</v>
      </c>
      <c r="AY34" t="e">
        <f>AND('Yamazumi Data'!#REF!,"AAAAAGW+jzI=")</f>
        <v>#REF!</v>
      </c>
      <c r="AZ34" t="e">
        <f>AND('Yamazumi Data'!#REF!,"AAAAAGW+jzM=")</f>
        <v>#REF!</v>
      </c>
      <c r="BA34" t="e">
        <f>AND('Yamazumi Data'!#REF!,"AAAAAGW+jzQ=")</f>
        <v>#REF!</v>
      </c>
      <c r="BB34" t="e">
        <f>AND('Yamazumi Data'!#REF!,"AAAAAGW+jzU=")</f>
        <v>#REF!</v>
      </c>
      <c r="BC34" t="e">
        <f>AND('Yamazumi Data'!#REF!,"AAAAAGW+jzY=")</f>
        <v>#REF!</v>
      </c>
      <c r="BD34" t="e">
        <f>AND('Yamazumi Data'!#REF!,"AAAAAGW+jzc=")</f>
        <v>#REF!</v>
      </c>
      <c r="BE34" t="e">
        <f>AND('Yamazumi Data'!#REF!,"AAAAAGW+jzg=")</f>
        <v>#REF!</v>
      </c>
      <c r="BF34" t="e">
        <f>AND('Yamazumi Data'!#REF!,"AAAAAGW+jzk=")</f>
        <v>#REF!</v>
      </c>
      <c r="BG34" t="e">
        <f>AND('Yamazumi Data'!#REF!,"AAAAAGW+jzo=")</f>
        <v>#REF!</v>
      </c>
      <c r="BH34" t="e">
        <f>AND('Yamazumi Data'!#REF!,"AAAAAGW+jzs=")</f>
        <v>#REF!</v>
      </c>
      <c r="BI34" t="e">
        <f>AND('Yamazumi Data'!#REF!,"AAAAAGW+jzw=")</f>
        <v>#REF!</v>
      </c>
      <c r="BJ34" t="e">
        <f>AND('Yamazumi Data'!#REF!,"AAAAAGW+jz0=")</f>
        <v>#REF!</v>
      </c>
      <c r="BK34" t="e">
        <f>AND('Yamazumi Data'!#REF!,"AAAAAGW+jz4=")</f>
        <v>#REF!</v>
      </c>
      <c r="BL34" t="e">
        <f>AND('Yamazumi Data'!#REF!,"AAAAAGW+jz8=")</f>
        <v>#REF!</v>
      </c>
      <c r="BM34" t="e">
        <f>AND('Yamazumi Data'!#REF!,"AAAAAGW+j0A=")</f>
        <v>#REF!</v>
      </c>
      <c r="BN34" t="e">
        <f>AND('Yamazumi Data'!#REF!,"AAAAAGW+j0E=")</f>
        <v>#REF!</v>
      </c>
      <c r="BO34" t="e">
        <f>AND('Yamazumi Data'!#REF!,"AAAAAGW+j0I=")</f>
        <v>#REF!</v>
      </c>
      <c r="BP34" t="e">
        <f>AND('Yamazumi Data'!#REF!,"AAAAAGW+j0M=")</f>
        <v>#REF!</v>
      </c>
      <c r="BQ34" t="e">
        <f>AND('Yamazumi Data'!#REF!,"AAAAAGW+j0Q=")</f>
        <v>#REF!</v>
      </c>
      <c r="BR34" t="e">
        <f>AND('Yamazumi Data'!#REF!,"AAAAAGW+j0U=")</f>
        <v>#REF!</v>
      </c>
      <c r="BS34" t="e">
        <f>AND('Yamazumi Data'!#REF!,"AAAAAGW+j0Y=")</f>
        <v>#REF!</v>
      </c>
      <c r="BT34" t="e">
        <f>AND('Yamazumi Data'!#REF!,"AAAAAGW+j0c=")</f>
        <v>#REF!</v>
      </c>
      <c r="BU34" t="e">
        <f>AND('Yamazumi Data'!#REF!,"AAAAAGW+j0g=")</f>
        <v>#REF!</v>
      </c>
      <c r="BV34" t="e">
        <f>AND('Yamazumi Data'!#REF!,"AAAAAGW+j0k=")</f>
        <v>#REF!</v>
      </c>
      <c r="BW34" t="e">
        <f>AND('Yamazumi Data'!#REF!,"AAAAAGW+j0o=")</f>
        <v>#REF!</v>
      </c>
      <c r="BX34" t="e">
        <f>AND('Yamazumi Data'!#REF!,"AAAAAGW+j0s=")</f>
        <v>#REF!</v>
      </c>
      <c r="BY34" t="e">
        <f>AND('Yamazumi Data'!#REF!,"AAAAAGW+j0w=")</f>
        <v>#REF!</v>
      </c>
      <c r="BZ34" t="e">
        <f>AND('Yamazumi Data'!#REF!,"AAAAAGW+j00=")</f>
        <v>#REF!</v>
      </c>
      <c r="CA34" t="e">
        <f>AND('Yamazumi Data'!#REF!,"AAAAAGW+j04=")</f>
        <v>#REF!</v>
      </c>
      <c r="CB34" t="e">
        <f>AND('Yamazumi Data'!#REF!,"AAAAAGW+j08=")</f>
        <v>#REF!</v>
      </c>
      <c r="CC34" t="e">
        <f>AND('Yamazumi Data'!#REF!,"AAAAAGW+j1A=")</f>
        <v>#REF!</v>
      </c>
      <c r="CD34" t="e">
        <f>AND('Yamazumi Data'!#REF!,"AAAAAGW+j1E=")</f>
        <v>#REF!</v>
      </c>
      <c r="CE34" t="e">
        <f>AND('Yamazumi Data'!#REF!,"AAAAAGW+j1I=")</f>
        <v>#REF!</v>
      </c>
      <c r="CF34" t="e">
        <f>AND('Yamazumi Data'!#REF!,"AAAAAGW+j1M=")</f>
        <v>#REF!</v>
      </c>
      <c r="CG34" t="e">
        <f>AND('Yamazumi Data'!#REF!,"AAAAAGW+j1Q=")</f>
        <v>#REF!</v>
      </c>
      <c r="CH34" t="e">
        <f>AND('Yamazumi Data'!#REF!,"AAAAAGW+j1U=")</f>
        <v>#REF!</v>
      </c>
      <c r="CI34" t="e">
        <f>AND('Yamazumi Data'!#REF!,"AAAAAGW+j1Y=")</f>
        <v>#REF!</v>
      </c>
      <c r="CJ34" t="e">
        <f>IF('Yamazumi Data'!#REF!,"AAAAAGW+j1c=",0)</f>
        <v>#REF!</v>
      </c>
      <c r="CK34" t="e">
        <f>AND('Yamazumi Data'!#REF!,"AAAAAGW+j1g=")</f>
        <v>#REF!</v>
      </c>
      <c r="CL34" t="e">
        <f>AND('Yamazumi Data'!#REF!,"AAAAAGW+j1k=")</f>
        <v>#REF!</v>
      </c>
      <c r="CM34" t="e">
        <f>AND('Yamazumi Data'!#REF!,"AAAAAGW+j1o=")</f>
        <v>#REF!</v>
      </c>
      <c r="CN34" t="e">
        <f>AND('Yamazumi Data'!#REF!,"AAAAAGW+j1s=")</f>
        <v>#REF!</v>
      </c>
      <c r="CO34" t="e">
        <f>AND('Yamazumi Data'!#REF!,"AAAAAGW+j1w=")</f>
        <v>#REF!</v>
      </c>
      <c r="CP34" t="e">
        <f>AND('Yamazumi Data'!#REF!,"AAAAAGW+j10=")</f>
        <v>#REF!</v>
      </c>
      <c r="CQ34" t="e">
        <f>AND('Yamazumi Data'!#REF!,"AAAAAGW+j14=")</f>
        <v>#REF!</v>
      </c>
      <c r="CR34" t="e">
        <f>AND('Yamazumi Data'!#REF!,"AAAAAGW+j18=")</f>
        <v>#REF!</v>
      </c>
      <c r="CS34" t="e">
        <f>AND('Yamazumi Data'!#REF!,"AAAAAGW+j2A=")</f>
        <v>#REF!</v>
      </c>
      <c r="CT34" t="e">
        <f>AND('Yamazumi Data'!#REF!,"AAAAAGW+j2E=")</f>
        <v>#REF!</v>
      </c>
      <c r="CU34" t="e">
        <f>AND('Yamazumi Data'!#REF!,"AAAAAGW+j2I=")</f>
        <v>#REF!</v>
      </c>
      <c r="CV34" t="e">
        <f>AND('Yamazumi Data'!#REF!,"AAAAAGW+j2M=")</f>
        <v>#REF!</v>
      </c>
      <c r="CW34" t="e">
        <f>AND('Yamazumi Data'!#REF!,"AAAAAGW+j2Q=")</f>
        <v>#REF!</v>
      </c>
      <c r="CX34" t="e">
        <f>AND('Yamazumi Data'!#REF!,"AAAAAGW+j2U=")</f>
        <v>#REF!</v>
      </c>
      <c r="CY34" t="e">
        <f>AND('Yamazumi Data'!#REF!,"AAAAAGW+j2Y=")</f>
        <v>#REF!</v>
      </c>
      <c r="CZ34" t="e">
        <f>AND('Yamazumi Data'!#REF!,"AAAAAGW+j2c=")</f>
        <v>#REF!</v>
      </c>
      <c r="DA34" t="e">
        <f>AND('Yamazumi Data'!#REF!,"AAAAAGW+j2g=")</f>
        <v>#REF!</v>
      </c>
      <c r="DB34" t="e">
        <f>AND('Yamazumi Data'!#REF!,"AAAAAGW+j2k=")</f>
        <v>#REF!</v>
      </c>
      <c r="DC34" t="e">
        <f>AND('Yamazumi Data'!#REF!,"AAAAAGW+j2o=")</f>
        <v>#REF!</v>
      </c>
      <c r="DD34" t="e">
        <f>AND('Yamazumi Data'!#REF!,"AAAAAGW+j2s=")</f>
        <v>#REF!</v>
      </c>
      <c r="DE34" t="e">
        <f>AND('Yamazumi Data'!#REF!,"AAAAAGW+j2w=")</f>
        <v>#REF!</v>
      </c>
      <c r="DF34" t="e">
        <f>AND('Yamazumi Data'!#REF!,"AAAAAGW+j20=")</f>
        <v>#REF!</v>
      </c>
      <c r="DG34" t="e">
        <f>AND('Yamazumi Data'!#REF!,"AAAAAGW+j24=")</f>
        <v>#REF!</v>
      </c>
      <c r="DH34" t="e">
        <f>AND('Yamazumi Data'!#REF!,"AAAAAGW+j28=")</f>
        <v>#REF!</v>
      </c>
      <c r="DI34" t="e">
        <f>AND('Yamazumi Data'!#REF!,"AAAAAGW+j3A=")</f>
        <v>#REF!</v>
      </c>
      <c r="DJ34" t="e">
        <f>AND('Yamazumi Data'!#REF!,"AAAAAGW+j3E=")</f>
        <v>#REF!</v>
      </c>
      <c r="DK34" t="e">
        <f>AND('Yamazumi Data'!#REF!,"AAAAAGW+j3I=")</f>
        <v>#REF!</v>
      </c>
      <c r="DL34" t="e">
        <f>AND('Yamazumi Data'!#REF!,"AAAAAGW+j3M=")</f>
        <v>#REF!</v>
      </c>
      <c r="DM34" t="e">
        <f>AND('Yamazumi Data'!#REF!,"AAAAAGW+j3Q=")</f>
        <v>#REF!</v>
      </c>
      <c r="DN34" t="e">
        <f>AND('Yamazumi Data'!#REF!,"AAAAAGW+j3U=")</f>
        <v>#REF!</v>
      </c>
      <c r="DO34" t="e">
        <f>AND('Yamazumi Data'!#REF!,"AAAAAGW+j3Y=")</f>
        <v>#REF!</v>
      </c>
      <c r="DP34" t="e">
        <f>AND('Yamazumi Data'!#REF!,"AAAAAGW+j3c=")</f>
        <v>#REF!</v>
      </c>
      <c r="DQ34" t="e">
        <f>AND('Yamazumi Data'!#REF!,"AAAAAGW+j3g=")</f>
        <v>#REF!</v>
      </c>
      <c r="DR34" t="e">
        <f>AND('Yamazumi Data'!#REF!,"AAAAAGW+j3k=")</f>
        <v>#REF!</v>
      </c>
      <c r="DS34" t="e">
        <f>AND('Yamazumi Data'!#REF!,"AAAAAGW+j3o=")</f>
        <v>#REF!</v>
      </c>
      <c r="DT34" t="e">
        <f>AND('Yamazumi Data'!#REF!,"AAAAAGW+j3s=")</f>
        <v>#REF!</v>
      </c>
      <c r="DU34" t="e">
        <f>AND('Yamazumi Data'!#REF!,"AAAAAGW+j3w=")</f>
        <v>#REF!</v>
      </c>
      <c r="DV34" t="e">
        <f>AND('Yamazumi Data'!#REF!,"AAAAAGW+j30=")</f>
        <v>#REF!</v>
      </c>
      <c r="DW34" t="e">
        <f>AND('Yamazumi Data'!#REF!,"AAAAAGW+j34=")</f>
        <v>#REF!</v>
      </c>
      <c r="DX34" t="e">
        <f>AND('Yamazumi Data'!#REF!,"AAAAAGW+j38=")</f>
        <v>#REF!</v>
      </c>
      <c r="DY34" t="e">
        <f>IF('Yamazumi Data'!#REF!,"AAAAAGW+j4A=",0)</f>
        <v>#REF!</v>
      </c>
      <c r="DZ34" t="e">
        <f>AND('Yamazumi Data'!#REF!,"AAAAAGW+j4E=")</f>
        <v>#REF!</v>
      </c>
      <c r="EA34" t="e">
        <f>AND('Yamazumi Data'!#REF!,"AAAAAGW+j4I=")</f>
        <v>#REF!</v>
      </c>
      <c r="EB34" t="e">
        <f>AND('Yamazumi Data'!#REF!,"AAAAAGW+j4M=")</f>
        <v>#REF!</v>
      </c>
      <c r="EC34" t="e">
        <f>AND('Yamazumi Data'!#REF!,"AAAAAGW+j4Q=")</f>
        <v>#REF!</v>
      </c>
      <c r="ED34" t="e">
        <f>AND('Yamazumi Data'!#REF!,"AAAAAGW+j4U=")</f>
        <v>#REF!</v>
      </c>
      <c r="EE34" t="e">
        <f>AND('Yamazumi Data'!#REF!,"AAAAAGW+j4Y=")</f>
        <v>#REF!</v>
      </c>
      <c r="EF34" t="e">
        <f>AND('Yamazumi Data'!#REF!,"AAAAAGW+j4c=")</f>
        <v>#REF!</v>
      </c>
      <c r="EG34" t="e">
        <f>AND('Yamazumi Data'!#REF!,"AAAAAGW+j4g=")</f>
        <v>#REF!</v>
      </c>
      <c r="EH34" t="e">
        <f>AND('Yamazumi Data'!#REF!,"AAAAAGW+j4k=")</f>
        <v>#REF!</v>
      </c>
      <c r="EI34" t="e">
        <f>AND('Yamazumi Data'!#REF!,"AAAAAGW+j4o=")</f>
        <v>#REF!</v>
      </c>
      <c r="EJ34" t="e">
        <f>AND('Yamazumi Data'!#REF!,"AAAAAGW+j4s=")</f>
        <v>#REF!</v>
      </c>
      <c r="EK34" t="e">
        <f>AND('Yamazumi Data'!#REF!,"AAAAAGW+j4w=")</f>
        <v>#REF!</v>
      </c>
      <c r="EL34" t="e">
        <f>AND('Yamazumi Data'!#REF!,"AAAAAGW+j40=")</f>
        <v>#REF!</v>
      </c>
      <c r="EM34" t="e">
        <f>AND('Yamazumi Data'!#REF!,"AAAAAGW+j44=")</f>
        <v>#REF!</v>
      </c>
      <c r="EN34" t="e">
        <f>AND('Yamazumi Data'!#REF!,"AAAAAGW+j48=")</f>
        <v>#REF!</v>
      </c>
      <c r="EO34" t="e">
        <f>AND('Yamazumi Data'!#REF!,"AAAAAGW+j5A=")</f>
        <v>#REF!</v>
      </c>
      <c r="EP34" t="e">
        <f>AND('Yamazumi Data'!#REF!,"AAAAAGW+j5E=")</f>
        <v>#REF!</v>
      </c>
      <c r="EQ34" t="e">
        <f>AND('Yamazumi Data'!#REF!,"AAAAAGW+j5I=")</f>
        <v>#REF!</v>
      </c>
      <c r="ER34" t="e">
        <f>AND('Yamazumi Data'!#REF!,"AAAAAGW+j5M=")</f>
        <v>#REF!</v>
      </c>
      <c r="ES34" t="e">
        <f>AND('Yamazumi Data'!#REF!,"AAAAAGW+j5Q=")</f>
        <v>#REF!</v>
      </c>
      <c r="ET34" t="e">
        <f>AND('Yamazumi Data'!#REF!,"AAAAAGW+j5U=")</f>
        <v>#REF!</v>
      </c>
      <c r="EU34" t="e">
        <f>AND('Yamazumi Data'!#REF!,"AAAAAGW+j5Y=")</f>
        <v>#REF!</v>
      </c>
      <c r="EV34" t="e">
        <f>AND('Yamazumi Data'!#REF!,"AAAAAGW+j5c=")</f>
        <v>#REF!</v>
      </c>
      <c r="EW34" t="e">
        <f>AND('Yamazumi Data'!#REF!,"AAAAAGW+j5g=")</f>
        <v>#REF!</v>
      </c>
      <c r="EX34" t="e">
        <f>AND('Yamazumi Data'!#REF!,"AAAAAGW+j5k=")</f>
        <v>#REF!</v>
      </c>
      <c r="EY34" t="e">
        <f>AND('Yamazumi Data'!#REF!,"AAAAAGW+j5o=")</f>
        <v>#REF!</v>
      </c>
      <c r="EZ34" t="e">
        <f>AND('Yamazumi Data'!#REF!,"AAAAAGW+j5s=")</f>
        <v>#REF!</v>
      </c>
      <c r="FA34" t="e">
        <f>AND('Yamazumi Data'!#REF!,"AAAAAGW+j5w=")</f>
        <v>#REF!</v>
      </c>
      <c r="FB34" t="e">
        <f>AND('Yamazumi Data'!#REF!,"AAAAAGW+j50=")</f>
        <v>#REF!</v>
      </c>
      <c r="FC34" t="e">
        <f>AND('Yamazumi Data'!#REF!,"AAAAAGW+j54=")</f>
        <v>#REF!</v>
      </c>
      <c r="FD34" t="e">
        <f>AND('Yamazumi Data'!#REF!,"AAAAAGW+j58=")</f>
        <v>#REF!</v>
      </c>
      <c r="FE34" t="e">
        <f>AND('Yamazumi Data'!#REF!,"AAAAAGW+j6A=")</f>
        <v>#REF!</v>
      </c>
      <c r="FF34" t="e">
        <f>AND('Yamazumi Data'!#REF!,"AAAAAGW+j6E=")</f>
        <v>#REF!</v>
      </c>
      <c r="FG34" t="e">
        <f>AND('Yamazumi Data'!#REF!,"AAAAAGW+j6I=")</f>
        <v>#REF!</v>
      </c>
      <c r="FH34" t="e">
        <f>AND('Yamazumi Data'!#REF!,"AAAAAGW+j6M=")</f>
        <v>#REF!</v>
      </c>
      <c r="FI34" t="e">
        <f>AND('Yamazumi Data'!#REF!,"AAAAAGW+j6Q=")</f>
        <v>#REF!</v>
      </c>
      <c r="FJ34" t="e">
        <f>AND('Yamazumi Data'!#REF!,"AAAAAGW+j6U=")</f>
        <v>#REF!</v>
      </c>
      <c r="FK34" t="e">
        <f>AND('Yamazumi Data'!#REF!,"AAAAAGW+j6Y=")</f>
        <v>#REF!</v>
      </c>
      <c r="FL34" t="e">
        <f>AND('Yamazumi Data'!#REF!,"AAAAAGW+j6c=")</f>
        <v>#REF!</v>
      </c>
      <c r="FM34" t="e">
        <f>AND('Yamazumi Data'!#REF!,"AAAAAGW+j6g=")</f>
        <v>#REF!</v>
      </c>
      <c r="FN34" t="e">
        <f>IF('Yamazumi Data'!#REF!,"AAAAAGW+j6k=",0)</f>
        <v>#REF!</v>
      </c>
      <c r="FO34" t="e">
        <f>AND('Yamazumi Data'!#REF!,"AAAAAGW+j6o=")</f>
        <v>#REF!</v>
      </c>
      <c r="FP34" t="e">
        <f>AND('Yamazumi Data'!#REF!,"AAAAAGW+j6s=")</f>
        <v>#REF!</v>
      </c>
      <c r="FQ34" t="e">
        <f>AND('Yamazumi Data'!#REF!,"AAAAAGW+j6w=")</f>
        <v>#REF!</v>
      </c>
      <c r="FR34" t="e">
        <f>AND('Yamazumi Data'!#REF!,"AAAAAGW+j60=")</f>
        <v>#REF!</v>
      </c>
      <c r="FS34" t="e">
        <f>AND('Yamazumi Data'!#REF!,"AAAAAGW+j64=")</f>
        <v>#REF!</v>
      </c>
      <c r="FT34" t="e">
        <f>AND('Yamazumi Data'!#REF!,"AAAAAGW+j68=")</f>
        <v>#REF!</v>
      </c>
      <c r="FU34" t="e">
        <f>AND('Yamazumi Data'!#REF!,"AAAAAGW+j7A=")</f>
        <v>#REF!</v>
      </c>
      <c r="FV34" t="e">
        <f>AND('Yamazumi Data'!#REF!,"AAAAAGW+j7E=")</f>
        <v>#REF!</v>
      </c>
      <c r="FW34" t="e">
        <f>AND('Yamazumi Data'!#REF!,"AAAAAGW+j7I=")</f>
        <v>#REF!</v>
      </c>
      <c r="FX34" t="e">
        <f>AND('Yamazumi Data'!#REF!,"AAAAAGW+j7M=")</f>
        <v>#REF!</v>
      </c>
      <c r="FY34" t="e">
        <f>AND('Yamazumi Data'!#REF!,"AAAAAGW+j7Q=")</f>
        <v>#REF!</v>
      </c>
      <c r="FZ34" t="e">
        <f>AND('Yamazumi Data'!#REF!,"AAAAAGW+j7U=")</f>
        <v>#REF!</v>
      </c>
      <c r="GA34" t="e">
        <f>AND('Yamazumi Data'!#REF!,"AAAAAGW+j7Y=")</f>
        <v>#REF!</v>
      </c>
      <c r="GB34" t="e">
        <f>AND('Yamazumi Data'!#REF!,"AAAAAGW+j7c=")</f>
        <v>#REF!</v>
      </c>
      <c r="GC34" t="e">
        <f>AND('Yamazumi Data'!#REF!,"AAAAAGW+j7g=")</f>
        <v>#REF!</v>
      </c>
      <c r="GD34" t="e">
        <f>AND('Yamazumi Data'!#REF!,"AAAAAGW+j7k=")</f>
        <v>#REF!</v>
      </c>
      <c r="GE34" t="e">
        <f>AND('Yamazumi Data'!#REF!,"AAAAAGW+j7o=")</f>
        <v>#REF!</v>
      </c>
      <c r="GF34" t="e">
        <f>AND('Yamazumi Data'!#REF!,"AAAAAGW+j7s=")</f>
        <v>#REF!</v>
      </c>
      <c r="GG34" t="e">
        <f>AND('Yamazumi Data'!#REF!,"AAAAAGW+j7w=")</f>
        <v>#REF!</v>
      </c>
      <c r="GH34" t="e">
        <f>AND('Yamazumi Data'!#REF!,"AAAAAGW+j70=")</f>
        <v>#REF!</v>
      </c>
      <c r="GI34" t="e">
        <f>AND('Yamazumi Data'!#REF!,"AAAAAGW+j74=")</f>
        <v>#REF!</v>
      </c>
      <c r="GJ34" t="e">
        <f>AND('Yamazumi Data'!#REF!,"AAAAAGW+j78=")</f>
        <v>#REF!</v>
      </c>
      <c r="GK34" t="e">
        <f>AND('Yamazumi Data'!#REF!,"AAAAAGW+j8A=")</f>
        <v>#REF!</v>
      </c>
      <c r="GL34" t="e">
        <f>AND('Yamazumi Data'!#REF!,"AAAAAGW+j8E=")</f>
        <v>#REF!</v>
      </c>
      <c r="GM34" t="e">
        <f>AND('Yamazumi Data'!#REF!,"AAAAAGW+j8I=")</f>
        <v>#REF!</v>
      </c>
      <c r="GN34" t="e">
        <f>AND('Yamazumi Data'!#REF!,"AAAAAGW+j8M=")</f>
        <v>#REF!</v>
      </c>
      <c r="GO34" t="e">
        <f>AND('Yamazumi Data'!#REF!,"AAAAAGW+j8Q=")</f>
        <v>#REF!</v>
      </c>
      <c r="GP34" t="e">
        <f>AND('Yamazumi Data'!#REF!,"AAAAAGW+j8U=")</f>
        <v>#REF!</v>
      </c>
      <c r="GQ34" t="e">
        <f>AND('Yamazumi Data'!#REF!,"AAAAAGW+j8Y=")</f>
        <v>#REF!</v>
      </c>
      <c r="GR34" t="e">
        <f>AND('Yamazumi Data'!#REF!,"AAAAAGW+j8c=")</f>
        <v>#REF!</v>
      </c>
      <c r="GS34" t="e">
        <f>AND('Yamazumi Data'!#REF!,"AAAAAGW+j8g=")</f>
        <v>#REF!</v>
      </c>
      <c r="GT34" t="e">
        <f>AND('Yamazumi Data'!#REF!,"AAAAAGW+j8k=")</f>
        <v>#REF!</v>
      </c>
      <c r="GU34" t="e">
        <f>AND('Yamazumi Data'!#REF!,"AAAAAGW+j8o=")</f>
        <v>#REF!</v>
      </c>
      <c r="GV34" t="e">
        <f>AND('Yamazumi Data'!#REF!,"AAAAAGW+j8s=")</f>
        <v>#REF!</v>
      </c>
      <c r="GW34" t="e">
        <f>AND('Yamazumi Data'!#REF!,"AAAAAGW+j8w=")</f>
        <v>#REF!</v>
      </c>
      <c r="GX34" t="e">
        <f>AND('Yamazumi Data'!#REF!,"AAAAAGW+j80=")</f>
        <v>#REF!</v>
      </c>
      <c r="GY34" t="e">
        <f>AND('Yamazumi Data'!#REF!,"AAAAAGW+j84=")</f>
        <v>#REF!</v>
      </c>
      <c r="GZ34" t="e">
        <f>AND('Yamazumi Data'!#REF!,"AAAAAGW+j88=")</f>
        <v>#REF!</v>
      </c>
      <c r="HA34" t="e">
        <f>AND('Yamazumi Data'!#REF!,"AAAAAGW+j9A=")</f>
        <v>#REF!</v>
      </c>
      <c r="HB34" t="e">
        <f>AND('Yamazumi Data'!#REF!,"AAAAAGW+j9E=")</f>
        <v>#REF!</v>
      </c>
      <c r="HC34" t="e">
        <f>IF('Yamazumi Data'!#REF!,"AAAAAGW+j9I=",0)</f>
        <v>#REF!</v>
      </c>
      <c r="HD34" t="e">
        <f>AND('Yamazumi Data'!#REF!,"AAAAAGW+j9M=")</f>
        <v>#REF!</v>
      </c>
      <c r="HE34" t="e">
        <f>AND('Yamazumi Data'!#REF!,"AAAAAGW+j9Q=")</f>
        <v>#REF!</v>
      </c>
      <c r="HF34" t="e">
        <f>AND('Yamazumi Data'!#REF!,"AAAAAGW+j9U=")</f>
        <v>#REF!</v>
      </c>
      <c r="HG34" t="e">
        <f>AND('Yamazumi Data'!#REF!,"AAAAAGW+j9Y=")</f>
        <v>#REF!</v>
      </c>
      <c r="HH34" t="e">
        <f>AND('Yamazumi Data'!#REF!,"AAAAAGW+j9c=")</f>
        <v>#REF!</v>
      </c>
      <c r="HI34" t="e">
        <f>AND('Yamazumi Data'!#REF!,"AAAAAGW+j9g=")</f>
        <v>#REF!</v>
      </c>
      <c r="HJ34" t="e">
        <f>AND('Yamazumi Data'!#REF!,"AAAAAGW+j9k=")</f>
        <v>#REF!</v>
      </c>
      <c r="HK34" t="e">
        <f>AND('Yamazumi Data'!#REF!,"AAAAAGW+j9o=")</f>
        <v>#REF!</v>
      </c>
      <c r="HL34" t="e">
        <f>AND('Yamazumi Data'!#REF!,"AAAAAGW+j9s=")</f>
        <v>#REF!</v>
      </c>
      <c r="HM34" t="e">
        <f>AND('Yamazumi Data'!#REF!,"AAAAAGW+j9w=")</f>
        <v>#REF!</v>
      </c>
      <c r="HN34" t="e">
        <f>AND('Yamazumi Data'!#REF!,"AAAAAGW+j90=")</f>
        <v>#REF!</v>
      </c>
      <c r="HO34" t="e">
        <f>AND('Yamazumi Data'!#REF!,"AAAAAGW+j94=")</f>
        <v>#REF!</v>
      </c>
      <c r="HP34" t="e">
        <f>AND('Yamazumi Data'!#REF!,"AAAAAGW+j98=")</f>
        <v>#REF!</v>
      </c>
      <c r="HQ34" t="e">
        <f>AND('Yamazumi Data'!#REF!,"AAAAAGW+j+A=")</f>
        <v>#REF!</v>
      </c>
      <c r="HR34" t="e">
        <f>AND('Yamazumi Data'!#REF!,"AAAAAGW+j+E=")</f>
        <v>#REF!</v>
      </c>
      <c r="HS34" t="e">
        <f>AND('Yamazumi Data'!#REF!,"AAAAAGW+j+I=")</f>
        <v>#REF!</v>
      </c>
      <c r="HT34" t="e">
        <f>AND('Yamazumi Data'!#REF!,"AAAAAGW+j+M=")</f>
        <v>#REF!</v>
      </c>
      <c r="HU34" t="e">
        <f>AND('Yamazumi Data'!#REF!,"AAAAAGW+j+Q=")</f>
        <v>#REF!</v>
      </c>
      <c r="HV34" t="e">
        <f>AND('Yamazumi Data'!#REF!,"AAAAAGW+j+U=")</f>
        <v>#REF!</v>
      </c>
      <c r="HW34" t="e">
        <f>AND('Yamazumi Data'!#REF!,"AAAAAGW+j+Y=")</f>
        <v>#REF!</v>
      </c>
      <c r="HX34" t="e">
        <f>AND('Yamazumi Data'!#REF!,"AAAAAGW+j+c=")</f>
        <v>#REF!</v>
      </c>
      <c r="HY34" t="e">
        <f>AND('Yamazumi Data'!#REF!,"AAAAAGW+j+g=")</f>
        <v>#REF!</v>
      </c>
      <c r="HZ34" t="e">
        <f>AND('Yamazumi Data'!#REF!,"AAAAAGW+j+k=")</f>
        <v>#REF!</v>
      </c>
      <c r="IA34" t="e">
        <f>AND('Yamazumi Data'!#REF!,"AAAAAGW+j+o=")</f>
        <v>#REF!</v>
      </c>
      <c r="IB34" t="e">
        <f>AND('Yamazumi Data'!#REF!,"AAAAAGW+j+s=")</f>
        <v>#REF!</v>
      </c>
      <c r="IC34" t="e">
        <f>AND('Yamazumi Data'!#REF!,"AAAAAGW+j+w=")</f>
        <v>#REF!</v>
      </c>
      <c r="ID34" t="e">
        <f>AND('Yamazumi Data'!#REF!,"AAAAAGW+j+0=")</f>
        <v>#REF!</v>
      </c>
      <c r="IE34" t="e">
        <f>AND('Yamazumi Data'!#REF!,"AAAAAGW+j+4=")</f>
        <v>#REF!</v>
      </c>
      <c r="IF34" t="e">
        <f>AND('Yamazumi Data'!#REF!,"AAAAAGW+j+8=")</f>
        <v>#REF!</v>
      </c>
      <c r="IG34" t="e">
        <f>AND('Yamazumi Data'!#REF!,"AAAAAGW+j/A=")</f>
        <v>#REF!</v>
      </c>
      <c r="IH34" t="e">
        <f>AND('Yamazumi Data'!#REF!,"AAAAAGW+j/E=")</f>
        <v>#REF!</v>
      </c>
      <c r="II34" t="e">
        <f>AND('Yamazumi Data'!#REF!,"AAAAAGW+j/I=")</f>
        <v>#REF!</v>
      </c>
      <c r="IJ34" t="e">
        <f>AND('Yamazumi Data'!#REF!,"AAAAAGW+j/M=")</f>
        <v>#REF!</v>
      </c>
      <c r="IK34" t="e">
        <f>AND('Yamazumi Data'!#REF!,"AAAAAGW+j/Q=")</f>
        <v>#REF!</v>
      </c>
      <c r="IL34" t="e">
        <f>AND('Yamazumi Data'!#REF!,"AAAAAGW+j/U=")</f>
        <v>#REF!</v>
      </c>
      <c r="IM34" t="e">
        <f>AND('Yamazumi Data'!#REF!,"AAAAAGW+j/Y=")</f>
        <v>#REF!</v>
      </c>
      <c r="IN34" t="e">
        <f>AND('Yamazumi Data'!#REF!,"AAAAAGW+j/c=")</f>
        <v>#REF!</v>
      </c>
      <c r="IO34" t="e">
        <f>AND('Yamazumi Data'!#REF!,"AAAAAGW+j/g=")</f>
        <v>#REF!</v>
      </c>
      <c r="IP34" t="e">
        <f>AND('Yamazumi Data'!#REF!,"AAAAAGW+j/k=")</f>
        <v>#REF!</v>
      </c>
      <c r="IQ34" t="e">
        <f>AND('Yamazumi Data'!#REF!,"AAAAAGW+j/o=")</f>
        <v>#REF!</v>
      </c>
      <c r="IR34" t="e">
        <f>IF('Yamazumi Data'!#REF!,"AAAAAGW+j/s=",0)</f>
        <v>#REF!</v>
      </c>
      <c r="IS34" t="e">
        <f>AND('Yamazumi Data'!#REF!,"AAAAAGW+j/w=")</f>
        <v>#REF!</v>
      </c>
      <c r="IT34" t="e">
        <f>AND('Yamazumi Data'!#REF!,"AAAAAGW+j/0=")</f>
        <v>#REF!</v>
      </c>
      <c r="IU34" t="e">
        <f>AND('Yamazumi Data'!#REF!,"AAAAAGW+j/4=")</f>
        <v>#REF!</v>
      </c>
      <c r="IV34" t="e">
        <f>AND('Yamazumi Data'!#REF!,"AAAAAGW+j/8=")</f>
        <v>#REF!</v>
      </c>
    </row>
    <row r="35" spans="1:256" x14ac:dyDescent="0.25">
      <c r="A35" t="e">
        <f>AND('Yamazumi Data'!#REF!,"AAAAAH/fXgA=")</f>
        <v>#REF!</v>
      </c>
      <c r="B35" t="e">
        <f>AND('Yamazumi Data'!#REF!,"AAAAAH/fXgE=")</f>
        <v>#REF!</v>
      </c>
      <c r="C35" t="e">
        <f>AND('Yamazumi Data'!#REF!,"AAAAAH/fXgI=")</f>
        <v>#REF!</v>
      </c>
      <c r="D35" t="e">
        <f>AND('Yamazumi Data'!#REF!,"AAAAAH/fXgM=")</f>
        <v>#REF!</v>
      </c>
      <c r="E35" t="e">
        <f>AND('Yamazumi Data'!#REF!,"AAAAAH/fXgQ=")</f>
        <v>#REF!</v>
      </c>
      <c r="F35" t="e">
        <f>AND('Yamazumi Data'!#REF!,"AAAAAH/fXgU=")</f>
        <v>#REF!</v>
      </c>
      <c r="G35" t="e">
        <f>AND('Yamazumi Data'!#REF!,"AAAAAH/fXgY=")</f>
        <v>#REF!</v>
      </c>
      <c r="H35" t="e">
        <f>AND('Yamazumi Data'!#REF!,"AAAAAH/fXgc=")</f>
        <v>#REF!</v>
      </c>
      <c r="I35" t="e">
        <f>AND('Yamazumi Data'!#REF!,"AAAAAH/fXgg=")</f>
        <v>#REF!</v>
      </c>
      <c r="J35" t="e">
        <f>AND('Yamazumi Data'!#REF!,"AAAAAH/fXgk=")</f>
        <v>#REF!</v>
      </c>
      <c r="K35" t="e">
        <f>AND('Yamazumi Data'!#REF!,"AAAAAH/fXgo=")</f>
        <v>#REF!</v>
      </c>
      <c r="L35" t="e">
        <f>AND('Yamazumi Data'!#REF!,"AAAAAH/fXgs=")</f>
        <v>#REF!</v>
      </c>
      <c r="M35" t="e">
        <f>AND('Yamazumi Data'!#REF!,"AAAAAH/fXgw=")</f>
        <v>#REF!</v>
      </c>
      <c r="N35" t="e">
        <f>AND('Yamazumi Data'!#REF!,"AAAAAH/fXg0=")</f>
        <v>#REF!</v>
      </c>
      <c r="O35" t="e">
        <f>AND('Yamazumi Data'!#REF!,"AAAAAH/fXg4=")</f>
        <v>#REF!</v>
      </c>
      <c r="P35" t="e">
        <f>AND('Yamazumi Data'!#REF!,"AAAAAH/fXg8=")</f>
        <v>#REF!</v>
      </c>
      <c r="Q35" t="e">
        <f>AND('Yamazumi Data'!#REF!,"AAAAAH/fXhA=")</f>
        <v>#REF!</v>
      </c>
      <c r="R35" t="e">
        <f>AND('Yamazumi Data'!#REF!,"AAAAAH/fXhE=")</f>
        <v>#REF!</v>
      </c>
      <c r="S35" t="e">
        <f>AND('Yamazumi Data'!#REF!,"AAAAAH/fXhI=")</f>
        <v>#REF!</v>
      </c>
      <c r="T35" t="e">
        <f>AND('Yamazumi Data'!#REF!,"AAAAAH/fXhM=")</f>
        <v>#REF!</v>
      </c>
      <c r="U35" t="e">
        <f>AND('Yamazumi Data'!#REF!,"AAAAAH/fXhQ=")</f>
        <v>#REF!</v>
      </c>
      <c r="V35" t="e">
        <f>AND('Yamazumi Data'!#REF!,"AAAAAH/fXhU=")</f>
        <v>#REF!</v>
      </c>
      <c r="W35" t="e">
        <f>AND('Yamazumi Data'!#REF!,"AAAAAH/fXhY=")</f>
        <v>#REF!</v>
      </c>
      <c r="X35" t="e">
        <f>AND('Yamazumi Data'!#REF!,"AAAAAH/fXhc=")</f>
        <v>#REF!</v>
      </c>
      <c r="Y35" t="e">
        <f>AND('Yamazumi Data'!#REF!,"AAAAAH/fXhg=")</f>
        <v>#REF!</v>
      </c>
      <c r="Z35" t="e">
        <f>AND('Yamazumi Data'!#REF!,"AAAAAH/fXhk=")</f>
        <v>#REF!</v>
      </c>
      <c r="AA35" t="e">
        <f>AND('Yamazumi Data'!#REF!,"AAAAAH/fXho=")</f>
        <v>#REF!</v>
      </c>
      <c r="AB35" t="e">
        <f>AND('Yamazumi Data'!#REF!,"AAAAAH/fXhs=")</f>
        <v>#REF!</v>
      </c>
      <c r="AC35" t="e">
        <f>AND('Yamazumi Data'!#REF!,"AAAAAH/fXhw=")</f>
        <v>#REF!</v>
      </c>
      <c r="AD35" t="e">
        <f>AND('Yamazumi Data'!#REF!,"AAAAAH/fXh0=")</f>
        <v>#REF!</v>
      </c>
      <c r="AE35" t="e">
        <f>AND('Yamazumi Data'!#REF!,"AAAAAH/fXh4=")</f>
        <v>#REF!</v>
      </c>
      <c r="AF35" t="e">
        <f>AND('Yamazumi Data'!#REF!,"AAAAAH/fXh8=")</f>
        <v>#REF!</v>
      </c>
      <c r="AG35" t="e">
        <f>AND('Yamazumi Data'!#REF!,"AAAAAH/fXiA=")</f>
        <v>#REF!</v>
      </c>
      <c r="AH35" t="e">
        <f>AND('Yamazumi Data'!#REF!,"AAAAAH/fXiE=")</f>
        <v>#REF!</v>
      </c>
      <c r="AI35" t="e">
        <f>AND('Yamazumi Data'!#REF!,"AAAAAH/fXiI=")</f>
        <v>#REF!</v>
      </c>
      <c r="AJ35" t="e">
        <f>AND('Yamazumi Data'!#REF!,"AAAAAH/fXiM=")</f>
        <v>#REF!</v>
      </c>
      <c r="AK35" t="e">
        <f>IF('Yamazumi Data'!#REF!,"AAAAAH/fXiQ=",0)</f>
        <v>#REF!</v>
      </c>
      <c r="AL35" t="e">
        <f>AND('Yamazumi Data'!#REF!,"AAAAAH/fXiU=")</f>
        <v>#REF!</v>
      </c>
      <c r="AM35" t="e">
        <f>AND('Yamazumi Data'!#REF!,"AAAAAH/fXiY=")</f>
        <v>#REF!</v>
      </c>
      <c r="AN35" t="e">
        <f>AND('Yamazumi Data'!#REF!,"AAAAAH/fXic=")</f>
        <v>#REF!</v>
      </c>
      <c r="AO35" t="e">
        <f>AND('Yamazumi Data'!#REF!,"AAAAAH/fXig=")</f>
        <v>#REF!</v>
      </c>
      <c r="AP35" t="e">
        <f>AND('Yamazumi Data'!#REF!,"AAAAAH/fXik=")</f>
        <v>#REF!</v>
      </c>
      <c r="AQ35" t="e">
        <f>AND('Yamazumi Data'!#REF!,"AAAAAH/fXio=")</f>
        <v>#REF!</v>
      </c>
      <c r="AR35" t="e">
        <f>AND('Yamazumi Data'!#REF!,"AAAAAH/fXis=")</f>
        <v>#REF!</v>
      </c>
      <c r="AS35" t="e">
        <f>AND('Yamazumi Data'!#REF!,"AAAAAH/fXiw=")</f>
        <v>#REF!</v>
      </c>
      <c r="AT35" t="e">
        <f>AND('Yamazumi Data'!#REF!,"AAAAAH/fXi0=")</f>
        <v>#REF!</v>
      </c>
      <c r="AU35" t="e">
        <f>AND('Yamazumi Data'!#REF!,"AAAAAH/fXi4=")</f>
        <v>#REF!</v>
      </c>
      <c r="AV35" t="e">
        <f>AND('Yamazumi Data'!#REF!,"AAAAAH/fXi8=")</f>
        <v>#REF!</v>
      </c>
      <c r="AW35" t="e">
        <f>AND('Yamazumi Data'!#REF!,"AAAAAH/fXjA=")</f>
        <v>#REF!</v>
      </c>
      <c r="AX35" t="e">
        <f>AND('Yamazumi Data'!#REF!,"AAAAAH/fXjE=")</f>
        <v>#REF!</v>
      </c>
      <c r="AY35" t="e">
        <f>AND('Yamazumi Data'!#REF!,"AAAAAH/fXjI=")</f>
        <v>#REF!</v>
      </c>
      <c r="AZ35" t="e">
        <f>AND('Yamazumi Data'!#REF!,"AAAAAH/fXjM=")</f>
        <v>#REF!</v>
      </c>
      <c r="BA35" t="e">
        <f>AND('Yamazumi Data'!#REF!,"AAAAAH/fXjQ=")</f>
        <v>#REF!</v>
      </c>
      <c r="BB35" t="e">
        <f>AND('Yamazumi Data'!#REF!,"AAAAAH/fXjU=")</f>
        <v>#REF!</v>
      </c>
      <c r="BC35" t="e">
        <f>AND('Yamazumi Data'!#REF!,"AAAAAH/fXjY=")</f>
        <v>#REF!</v>
      </c>
      <c r="BD35" t="e">
        <f>AND('Yamazumi Data'!#REF!,"AAAAAH/fXjc=")</f>
        <v>#REF!</v>
      </c>
      <c r="BE35" t="e">
        <f>AND('Yamazumi Data'!#REF!,"AAAAAH/fXjg=")</f>
        <v>#REF!</v>
      </c>
      <c r="BF35" t="e">
        <f>AND('Yamazumi Data'!#REF!,"AAAAAH/fXjk=")</f>
        <v>#REF!</v>
      </c>
      <c r="BG35" t="e">
        <f>AND('Yamazumi Data'!#REF!,"AAAAAH/fXjo=")</f>
        <v>#REF!</v>
      </c>
      <c r="BH35" t="e">
        <f>AND('Yamazumi Data'!#REF!,"AAAAAH/fXjs=")</f>
        <v>#REF!</v>
      </c>
      <c r="BI35" t="e">
        <f>AND('Yamazumi Data'!#REF!,"AAAAAH/fXjw=")</f>
        <v>#REF!</v>
      </c>
      <c r="BJ35" t="e">
        <f>AND('Yamazumi Data'!#REF!,"AAAAAH/fXj0=")</f>
        <v>#REF!</v>
      </c>
      <c r="BK35" t="e">
        <f>AND('Yamazumi Data'!#REF!,"AAAAAH/fXj4=")</f>
        <v>#REF!</v>
      </c>
      <c r="BL35" t="e">
        <f>AND('Yamazumi Data'!#REF!,"AAAAAH/fXj8=")</f>
        <v>#REF!</v>
      </c>
      <c r="BM35" t="e">
        <f>AND('Yamazumi Data'!#REF!,"AAAAAH/fXkA=")</f>
        <v>#REF!</v>
      </c>
      <c r="BN35" t="e">
        <f>AND('Yamazumi Data'!#REF!,"AAAAAH/fXkE=")</f>
        <v>#REF!</v>
      </c>
      <c r="BO35" t="e">
        <f>AND('Yamazumi Data'!#REF!,"AAAAAH/fXkI=")</f>
        <v>#REF!</v>
      </c>
      <c r="BP35" t="e">
        <f>AND('Yamazumi Data'!#REF!,"AAAAAH/fXkM=")</f>
        <v>#REF!</v>
      </c>
      <c r="BQ35" t="e">
        <f>AND('Yamazumi Data'!#REF!,"AAAAAH/fXkQ=")</f>
        <v>#REF!</v>
      </c>
      <c r="BR35" t="e">
        <f>AND('Yamazumi Data'!#REF!,"AAAAAH/fXkU=")</f>
        <v>#REF!</v>
      </c>
      <c r="BS35" t="e">
        <f>AND('Yamazumi Data'!#REF!,"AAAAAH/fXkY=")</f>
        <v>#REF!</v>
      </c>
      <c r="BT35" t="e">
        <f>AND('Yamazumi Data'!#REF!,"AAAAAH/fXkc=")</f>
        <v>#REF!</v>
      </c>
      <c r="BU35" t="e">
        <f>AND('Yamazumi Data'!#REF!,"AAAAAH/fXkg=")</f>
        <v>#REF!</v>
      </c>
      <c r="BV35" t="e">
        <f>AND('Yamazumi Data'!#REF!,"AAAAAH/fXkk=")</f>
        <v>#REF!</v>
      </c>
      <c r="BW35" t="e">
        <f>AND('Yamazumi Data'!#REF!,"AAAAAH/fXko=")</f>
        <v>#REF!</v>
      </c>
      <c r="BX35" t="e">
        <f>AND('Yamazumi Data'!#REF!,"AAAAAH/fXks=")</f>
        <v>#REF!</v>
      </c>
      <c r="BY35" t="e">
        <f>AND('Yamazumi Data'!#REF!,"AAAAAH/fXkw=")</f>
        <v>#REF!</v>
      </c>
      <c r="BZ35" t="e">
        <f>IF('Yamazumi Data'!#REF!,"AAAAAH/fXk0=",0)</f>
        <v>#REF!</v>
      </c>
      <c r="CA35" t="e">
        <f>AND('Yamazumi Data'!#REF!,"AAAAAH/fXk4=")</f>
        <v>#REF!</v>
      </c>
      <c r="CB35" t="e">
        <f>AND('Yamazumi Data'!#REF!,"AAAAAH/fXk8=")</f>
        <v>#REF!</v>
      </c>
      <c r="CC35" t="e">
        <f>AND('Yamazumi Data'!#REF!,"AAAAAH/fXlA=")</f>
        <v>#REF!</v>
      </c>
      <c r="CD35" t="e">
        <f>AND('Yamazumi Data'!#REF!,"AAAAAH/fXlE=")</f>
        <v>#REF!</v>
      </c>
      <c r="CE35" t="e">
        <f>AND('Yamazumi Data'!#REF!,"AAAAAH/fXlI=")</f>
        <v>#REF!</v>
      </c>
      <c r="CF35" t="e">
        <f>AND('Yamazumi Data'!#REF!,"AAAAAH/fXlM=")</f>
        <v>#REF!</v>
      </c>
      <c r="CG35" t="e">
        <f>AND('Yamazumi Data'!#REF!,"AAAAAH/fXlQ=")</f>
        <v>#REF!</v>
      </c>
      <c r="CH35" t="e">
        <f>AND('Yamazumi Data'!#REF!,"AAAAAH/fXlU=")</f>
        <v>#REF!</v>
      </c>
      <c r="CI35" t="e">
        <f>AND('Yamazumi Data'!#REF!,"AAAAAH/fXlY=")</f>
        <v>#REF!</v>
      </c>
      <c r="CJ35" t="e">
        <f>AND('Yamazumi Data'!#REF!,"AAAAAH/fXlc=")</f>
        <v>#REF!</v>
      </c>
      <c r="CK35" t="e">
        <f>AND('Yamazumi Data'!#REF!,"AAAAAH/fXlg=")</f>
        <v>#REF!</v>
      </c>
      <c r="CL35" t="e">
        <f>AND('Yamazumi Data'!#REF!,"AAAAAH/fXlk=")</f>
        <v>#REF!</v>
      </c>
      <c r="CM35" t="e">
        <f>AND('Yamazumi Data'!#REF!,"AAAAAH/fXlo=")</f>
        <v>#REF!</v>
      </c>
      <c r="CN35" t="e">
        <f>AND('Yamazumi Data'!#REF!,"AAAAAH/fXls=")</f>
        <v>#REF!</v>
      </c>
      <c r="CO35" t="e">
        <f>AND('Yamazumi Data'!#REF!,"AAAAAH/fXlw=")</f>
        <v>#REF!</v>
      </c>
      <c r="CP35" t="e">
        <f>AND('Yamazumi Data'!#REF!,"AAAAAH/fXl0=")</f>
        <v>#REF!</v>
      </c>
      <c r="CQ35" t="e">
        <f>AND('Yamazumi Data'!#REF!,"AAAAAH/fXl4=")</f>
        <v>#REF!</v>
      </c>
      <c r="CR35" t="e">
        <f>AND('Yamazumi Data'!#REF!,"AAAAAH/fXl8=")</f>
        <v>#REF!</v>
      </c>
      <c r="CS35" t="e">
        <f>AND('Yamazumi Data'!#REF!,"AAAAAH/fXmA=")</f>
        <v>#REF!</v>
      </c>
      <c r="CT35" t="e">
        <f>AND('Yamazumi Data'!#REF!,"AAAAAH/fXmE=")</f>
        <v>#REF!</v>
      </c>
      <c r="CU35" t="e">
        <f>AND('Yamazumi Data'!#REF!,"AAAAAH/fXmI=")</f>
        <v>#REF!</v>
      </c>
      <c r="CV35" t="e">
        <f>AND('Yamazumi Data'!#REF!,"AAAAAH/fXmM=")</f>
        <v>#REF!</v>
      </c>
      <c r="CW35" t="e">
        <f>AND('Yamazumi Data'!#REF!,"AAAAAH/fXmQ=")</f>
        <v>#REF!</v>
      </c>
      <c r="CX35" t="e">
        <f>AND('Yamazumi Data'!#REF!,"AAAAAH/fXmU=")</f>
        <v>#REF!</v>
      </c>
      <c r="CY35" t="e">
        <f>AND('Yamazumi Data'!#REF!,"AAAAAH/fXmY=")</f>
        <v>#REF!</v>
      </c>
      <c r="CZ35" t="e">
        <f>AND('Yamazumi Data'!#REF!,"AAAAAH/fXmc=")</f>
        <v>#REF!</v>
      </c>
      <c r="DA35" t="e">
        <f>AND('Yamazumi Data'!#REF!,"AAAAAH/fXmg=")</f>
        <v>#REF!</v>
      </c>
      <c r="DB35" t="e">
        <f>AND('Yamazumi Data'!#REF!,"AAAAAH/fXmk=")</f>
        <v>#REF!</v>
      </c>
      <c r="DC35" t="e">
        <f>AND('Yamazumi Data'!#REF!,"AAAAAH/fXmo=")</f>
        <v>#REF!</v>
      </c>
      <c r="DD35" t="e">
        <f>AND('Yamazumi Data'!#REF!,"AAAAAH/fXms=")</f>
        <v>#REF!</v>
      </c>
      <c r="DE35" t="e">
        <f>AND('Yamazumi Data'!#REF!,"AAAAAH/fXmw=")</f>
        <v>#REF!</v>
      </c>
      <c r="DF35" t="e">
        <f>AND('Yamazumi Data'!#REF!,"AAAAAH/fXm0=")</f>
        <v>#REF!</v>
      </c>
      <c r="DG35" t="e">
        <f>AND('Yamazumi Data'!#REF!,"AAAAAH/fXm4=")</f>
        <v>#REF!</v>
      </c>
      <c r="DH35" t="e">
        <f>AND('Yamazumi Data'!#REF!,"AAAAAH/fXm8=")</f>
        <v>#REF!</v>
      </c>
      <c r="DI35" t="e">
        <f>AND('Yamazumi Data'!#REF!,"AAAAAH/fXnA=")</f>
        <v>#REF!</v>
      </c>
      <c r="DJ35" t="e">
        <f>AND('Yamazumi Data'!#REF!,"AAAAAH/fXnE=")</f>
        <v>#REF!</v>
      </c>
      <c r="DK35" t="e">
        <f>AND('Yamazumi Data'!#REF!,"AAAAAH/fXnI=")</f>
        <v>#REF!</v>
      </c>
      <c r="DL35" t="e">
        <f>AND('Yamazumi Data'!#REF!,"AAAAAH/fXnM=")</f>
        <v>#REF!</v>
      </c>
      <c r="DM35" t="e">
        <f>AND('Yamazumi Data'!#REF!,"AAAAAH/fXnQ=")</f>
        <v>#REF!</v>
      </c>
      <c r="DN35" t="e">
        <f>AND('Yamazumi Data'!#REF!,"AAAAAH/fXnU=")</f>
        <v>#REF!</v>
      </c>
      <c r="DO35" t="e">
        <f>IF('Yamazumi Data'!#REF!,"AAAAAH/fXnY=",0)</f>
        <v>#REF!</v>
      </c>
      <c r="DP35" t="e">
        <f>AND('Yamazumi Data'!#REF!,"AAAAAH/fXnc=")</f>
        <v>#REF!</v>
      </c>
      <c r="DQ35" t="e">
        <f>AND('Yamazumi Data'!#REF!,"AAAAAH/fXng=")</f>
        <v>#REF!</v>
      </c>
      <c r="DR35" t="e">
        <f>AND('Yamazumi Data'!#REF!,"AAAAAH/fXnk=")</f>
        <v>#REF!</v>
      </c>
      <c r="DS35" t="e">
        <f>AND('Yamazumi Data'!#REF!,"AAAAAH/fXno=")</f>
        <v>#REF!</v>
      </c>
      <c r="DT35" t="e">
        <f>AND('Yamazumi Data'!#REF!,"AAAAAH/fXns=")</f>
        <v>#REF!</v>
      </c>
      <c r="DU35" t="e">
        <f>AND('Yamazumi Data'!#REF!,"AAAAAH/fXnw=")</f>
        <v>#REF!</v>
      </c>
      <c r="DV35" t="e">
        <f>AND('Yamazumi Data'!#REF!,"AAAAAH/fXn0=")</f>
        <v>#REF!</v>
      </c>
      <c r="DW35" t="e">
        <f>AND('Yamazumi Data'!#REF!,"AAAAAH/fXn4=")</f>
        <v>#REF!</v>
      </c>
      <c r="DX35" t="e">
        <f>AND('Yamazumi Data'!#REF!,"AAAAAH/fXn8=")</f>
        <v>#REF!</v>
      </c>
      <c r="DY35" t="e">
        <f>AND('Yamazumi Data'!#REF!,"AAAAAH/fXoA=")</f>
        <v>#REF!</v>
      </c>
      <c r="DZ35" t="e">
        <f>AND('Yamazumi Data'!#REF!,"AAAAAH/fXoE=")</f>
        <v>#REF!</v>
      </c>
      <c r="EA35" t="e">
        <f>AND('Yamazumi Data'!#REF!,"AAAAAH/fXoI=")</f>
        <v>#REF!</v>
      </c>
      <c r="EB35" t="e">
        <f>AND('Yamazumi Data'!#REF!,"AAAAAH/fXoM=")</f>
        <v>#REF!</v>
      </c>
      <c r="EC35" t="e">
        <f>AND('Yamazumi Data'!#REF!,"AAAAAH/fXoQ=")</f>
        <v>#REF!</v>
      </c>
      <c r="ED35" t="e">
        <f>AND('Yamazumi Data'!#REF!,"AAAAAH/fXoU=")</f>
        <v>#REF!</v>
      </c>
      <c r="EE35" t="e">
        <f>AND('Yamazumi Data'!#REF!,"AAAAAH/fXoY=")</f>
        <v>#REF!</v>
      </c>
      <c r="EF35" t="e">
        <f>AND('Yamazumi Data'!#REF!,"AAAAAH/fXoc=")</f>
        <v>#REF!</v>
      </c>
      <c r="EG35" t="e">
        <f>AND('Yamazumi Data'!#REF!,"AAAAAH/fXog=")</f>
        <v>#REF!</v>
      </c>
      <c r="EH35" t="e">
        <f>AND('Yamazumi Data'!#REF!,"AAAAAH/fXok=")</f>
        <v>#REF!</v>
      </c>
      <c r="EI35" t="e">
        <f>AND('Yamazumi Data'!#REF!,"AAAAAH/fXoo=")</f>
        <v>#REF!</v>
      </c>
      <c r="EJ35" t="e">
        <f>AND('Yamazumi Data'!#REF!,"AAAAAH/fXos=")</f>
        <v>#REF!</v>
      </c>
      <c r="EK35" t="e">
        <f>AND('Yamazumi Data'!#REF!,"AAAAAH/fXow=")</f>
        <v>#REF!</v>
      </c>
      <c r="EL35" t="e">
        <f>AND('Yamazumi Data'!#REF!,"AAAAAH/fXo0=")</f>
        <v>#REF!</v>
      </c>
      <c r="EM35" t="e">
        <f>AND('Yamazumi Data'!#REF!,"AAAAAH/fXo4=")</f>
        <v>#REF!</v>
      </c>
      <c r="EN35" t="e">
        <f>AND('Yamazumi Data'!#REF!,"AAAAAH/fXo8=")</f>
        <v>#REF!</v>
      </c>
      <c r="EO35" t="e">
        <f>AND('Yamazumi Data'!#REF!,"AAAAAH/fXpA=")</f>
        <v>#REF!</v>
      </c>
      <c r="EP35" t="e">
        <f>AND('Yamazumi Data'!#REF!,"AAAAAH/fXpE=")</f>
        <v>#REF!</v>
      </c>
      <c r="EQ35" t="e">
        <f>AND('Yamazumi Data'!#REF!,"AAAAAH/fXpI=")</f>
        <v>#REF!</v>
      </c>
      <c r="ER35" t="e">
        <f>AND('Yamazumi Data'!#REF!,"AAAAAH/fXpM=")</f>
        <v>#REF!</v>
      </c>
      <c r="ES35" t="e">
        <f>AND('Yamazumi Data'!#REF!,"AAAAAH/fXpQ=")</f>
        <v>#REF!</v>
      </c>
      <c r="ET35" t="e">
        <f>AND('Yamazumi Data'!#REF!,"AAAAAH/fXpU=")</f>
        <v>#REF!</v>
      </c>
      <c r="EU35" t="e">
        <f>AND('Yamazumi Data'!#REF!,"AAAAAH/fXpY=")</f>
        <v>#REF!</v>
      </c>
      <c r="EV35" t="e">
        <f>AND('Yamazumi Data'!#REF!,"AAAAAH/fXpc=")</f>
        <v>#REF!</v>
      </c>
      <c r="EW35" t="e">
        <f>AND('Yamazumi Data'!#REF!,"AAAAAH/fXpg=")</f>
        <v>#REF!</v>
      </c>
      <c r="EX35" t="e">
        <f>AND('Yamazumi Data'!#REF!,"AAAAAH/fXpk=")</f>
        <v>#REF!</v>
      </c>
      <c r="EY35" t="e">
        <f>AND('Yamazumi Data'!#REF!,"AAAAAH/fXpo=")</f>
        <v>#REF!</v>
      </c>
      <c r="EZ35" t="e">
        <f>AND('Yamazumi Data'!#REF!,"AAAAAH/fXps=")</f>
        <v>#REF!</v>
      </c>
      <c r="FA35" t="e">
        <f>AND('Yamazumi Data'!#REF!,"AAAAAH/fXpw=")</f>
        <v>#REF!</v>
      </c>
      <c r="FB35" t="e">
        <f>AND('Yamazumi Data'!#REF!,"AAAAAH/fXp0=")</f>
        <v>#REF!</v>
      </c>
      <c r="FC35" t="e">
        <f>AND('Yamazumi Data'!#REF!,"AAAAAH/fXp4=")</f>
        <v>#REF!</v>
      </c>
      <c r="FD35" t="e">
        <f>IF('Yamazumi Data'!#REF!,"AAAAAH/fXp8=",0)</f>
        <v>#REF!</v>
      </c>
      <c r="FE35" t="e">
        <f>AND('Yamazumi Data'!#REF!,"AAAAAH/fXqA=")</f>
        <v>#REF!</v>
      </c>
      <c r="FF35" t="e">
        <f>AND('Yamazumi Data'!#REF!,"AAAAAH/fXqE=")</f>
        <v>#REF!</v>
      </c>
      <c r="FG35" t="e">
        <f>AND('Yamazumi Data'!#REF!,"AAAAAH/fXqI=")</f>
        <v>#REF!</v>
      </c>
      <c r="FH35" t="e">
        <f>AND('Yamazumi Data'!#REF!,"AAAAAH/fXqM=")</f>
        <v>#REF!</v>
      </c>
      <c r="FI35" t="e">
        <f>AND('Yamazumi Data'!#REF!,"AAAAAH/fXqQ=")</f>
        <v>#REF!</v>
      </c>
      <c r="FJ35" t="e">
        <f>AND('Yamazumi Data'!#REF!,"AAAAAH/fXqU=")</f>
        <v>#REF!</v>
      </c>
      <c r="FK35" t="e">
        <f>AND('Yamazumi Data'!#REF!,"AAAAAH/fXqY=")</f>
        <v>#REF!</v>
      </c>
      <c r="FL35" t="e">
        <f>AND('Yamazumi Data'!#REF!,"AAAAAH/fXqc=")</f>
        <v>#REF!</v>
      </c>
      <c r="FM35" t="e">
        <f>AND('Yamazumi Data'!#REF!,"AAAAAH/fXqg=")</f>
        <v>#REF!</v>
      </c>
      <c r="FN35" t="e">
        <f>AND('Yamazumi Data'!#REF!,"AAAAAH/fXqk=")</f>
        <v>#REF!</v>
      </c>
      <c r="FO35" t="e">
        <f>AND('Yamazumi Data'!#REF!,"AAAAAH/fXqo=")</f>
        <v>#REF!</v>
      </c>
      <c r="FP35" t="e">
        <f>AND('Yamazumi Data'!#REF!,"AAAAAH/fXqs=")</f>
        <v>#REF!</v>
      </c>
      <c r="FQ35" t="e">
        <f>AND('Yamazumi Data'!#REF!,"AAAAAH/fXqw=")</f>
        <v>#REF!</v>
      </c>
      <c r="FR35" t="e">
        <f>AND('Yamazumi Data'!#REF!,"AAAAAH/fXq0=")</f>
        <v>#REF!</v>
      </c>
      <c r="FS35" t="e">
        <f>AND('Yamazumi Data'!#REF!,"AAAAAH/fXq4=")</f>
        <v>#REF!</v>
      </c>
      <c r="FT35" t="e">
        <f>AND('Yamazumi Data'!#REF!,"AAAAAH/fXq8=")</f>
        <v>#REF!</v>
      </c>
      <c r="FU35" t="e">
        <f>AND('Yamazumi Data'!#REF!,"AAAAAH/fXrA=")</f>
        <v>#REF!</v>
      </c>
      <c r="FV35" t="e">
        <f>AND('Yamazumi Data'!#REF!,"AAAAAH/fXrE=")</f>
        <v>#REF!</v>
      </c>
      <c r="FW35" t="e">
        <f>AND('Yamazumi Data'!#REF!,"AAAAAH/fXrI=")</f>
        <v>#REF!</v>
      </c>
      <c r="FX35" t="e">
        <f>AND('Yamazumi Data'!#REF!,"AAAAAH/fXrM=")</f>
        <v>#REF!</v>
      </c>
      <c r="FY35" t="e">
        <f>AND('Yamazumi Data'!#REF!,"AAAAAH/fXrQ=")</f>
        <v>#REF!</v>
      </c>
      <c r="FZ35" t="e">
        <f>AND('Yamazumi Data'!#REF!,"AAAAAH/fXrU=")</f>
        <v>#REF!</v>
      </c>
      <c r="GA35" t="e">
        <f>AND('Yamazumi Data'!#REF!,"AAAAAH/fXrY=")</f>
        <v>#REF!</v>
      </c>
      <c r="GB35" t="e">
        <f>AND('Yamazumi Data'!#REF!,"AAAAAH/fXrc=")</f>
        <v>#REF!</v>
      </c>
      <c r="GC35" t="e">
        <f>AND('Yamazumi Data'!#REF!,"AAAAAH/fXrg=")</f>
        <v>#REF!</v>
      </c>
      <c r="GD35" t="e">
        <f>AND('Yamazumi Data'!#REF!,"AAAAAH/fXrk=")</f>
        <v>#REF!</v>
      </c>
      <c r="GE35" t="e">
        <f>AND('Yamazumi Data'!#REF!,"AAAAAH/fXro=")</f>
        <v>#REF!</v>
      </c>
      <c r="GF35" t="e">
        <f>AND('Yamazumi Data'!#REF!,"AAAAAH/fXrs=")</f>
        <v>#REF!</v>
      </c>
      <c r="GG35" t="e">
        <f>AND('Yamazumi Data'!#REF!,"AAAAAH/fXrw=")</f>
        <v>#REF!</v>
      </c>
      <c r="GH35" t="e">
        <f>AND('Yamazumi Data'!#REF!,"AAAAAH/fXr0=")</f>
        <v>#REF!</v>
      </c>
      <c r="GI35" t="e">
        <f>AND('Yamazumi Data'!#REF!,"AAAAAH/fXr4=")</f>
        <v>#REF!</v>
      </c>
      <c r="GJ35" t="e">
        <f>AND('Yamazumi Data'!#REF!,"AAAAAH/fXr8=")</f>
        <v>#REF!</v>
      </c>
      <c r="GK35" t="e">
        <f>AND('Yamazumi Data'!#REF!,"AAAAAH/fXsA=")</f>
        <v>#REF!</v>
      </c>
      <c r="GL35" t="e">
        <f>AND('Yamazumi Data'!#REF!,"AAAAAH/fXsE=")</f>
        <v>#REF!</v>
      </c>
      <c r="GM35" t="e">
        <f>AND('Yamazumi Data'!#REF!,"AAAAAH/fXsI=")</f>
        <v>#REF!</v>
      </c>
      <c r="GN35" t="e">
        <f>AND('Yamazumi Data'!#REF!,"AAAAAH/fXsM=")</f>
        <v>#REF!</v>
      </c>
      <c r="GO35" t="e">
        <f>AND('Yamazumi Data'!#REF!,"AAAAAH/fXsQ=")</f>
        <v>#REF!</v>
      </c>
      <c r="GP35" t="e">
        <f>AND('Yamazumi Data'!#REF!,"AAAAAH/fXsU=")</f>
        <v>#REF!</v>
      </c>
      <c r="GQ35" t="e">
        <f>AND('Yamazumi Data'!#REF!,"AAAAAH/fXsY=")</f>
        <v>#REF!</v>
      </c>
      <c r="GR35" t="e">
        <f>AND('Yamazumi Data'!#REF!,"AAAAAH/fXsc=")</f>
        <v>#REF!</v>
      </c>
      <c r="GS35" t="e">
        <f>IF('Yamazumi Data'!#REF!,"AAAAAH/fXsg=",0)</f>
        <v>#REF!</v>
      </c>
      <c r="GT35" t="e">
        <f>AND('Yamazumi Data'!#REF!,"AAAAAH/fXsk=")</f>
        <v>#REF!</v>
      </c>
      <c r="GU35" t="e">
        <f>AND('Yamazumi Data'!#REF!,"AAAAAH/fXso=")</f>
        <v>#REF!</v>
      </c>
      <c r="GV35" t="e">
        <f>AND('Yamazumi Data'!#REF!,"AAAAAH/fXss=")</f>
        <v>#REF!</v>
      </c>
      <c r="GW35" t="e">
        <f>AND('Yamazumi Data'!#REF!,"AAAAAH/fXsw=")</f>
        <v>#REF!</v>
      </c>
      <c r="GX35" t="e">
        <f>AND('Yamazumi Data'!#REF!,"AAAAAH/fXs0=")</f>
        <v>#REF!</v>
      </c>
      <c r="GY35" t="e">
        <f>AND('Yamazumi Data'!#REF!,"AAAAAH/fXs4=")</f>
        <v>#REF!</v>
      </c>
      <c r="GZ35" t="e">
        <f>AND('Yamazumi Data'!#REF!,"AAAAAH/fXs8=")</f>
        <v>#REF!</v>
      </c>
      <c r="HA35" t="e">
        <f>AND('Yamazumi Data'!#REF!,"AAAAAH/fXtA=")</f>
        <v>#REF!</v>
      </c>
      <c r="HB35" t="e">
        <f>AND('Yamazumi Data'!#REF!,"AAAAAH/fXtE=")</f>
        <v>#REF!</v>
      </c>
      <c r="HC35" t="e">
        <f>AND('Yamazumi Data'!#REF!,"AAAAAH/fXtI=")</f>
        <v>#REF!</v>
      </c>
      <c r="HD35" t="e">
        <f>AND('Yamazumi Data'!#REF!,"AAAAAH/fXtM=")</f>
        <v>#REF!</v>
      </c>
      <c r="HE35" t="e">
        <f>AND('Yamazumi Data'!#REF!,"AAAAAH/fXtQ=")</f>
        <v>#REF!</v>
      </c>
      <c r="HF35" t="e">
        <f>AND('Yamazumi Data'!#REF!,"AAAAAH/fXtU=")</f>
        <v>#REF!</v>
      </c>
      <c r="HG35" t="e">
        <f>AND('Yamazumi Data'!#REF!,"AAAAAH/fXtY=")</f>
        <v>#REF!</v>
      </c>
      <c r="HH35" t="e">
        <f>AND('Yamazumi Data'!#REF!,"AAAAAH/fXtc=")</f>
        <v>#REF!</v>
      </c>
      <c r="HI35" t="e">
        <f>AND('Yamazumi Data'!#REF!,"AAAAAH/fXtg=")</f>
        <v>#REF!</v>
      </c>
      <c r="HJ35" t="e">
        <f>AND('Yamazumi Data'!#REF!,"AAAAAH/fXtk=")</f>
        <v>#REF!</v>
      </c>
      <c r="HK35" t="e">
        <f>AND('Yamazumi Data'!#REF!,"AAAAAH/fXto=")</f>
        <v>#REF!</v>
      </c>
      <c r="HL35" t="e">
        <f>AND('Yamazumi Data'!#REF!,"AAAAAH/fXts=")</f>
        <v>#REF!</v>
      </c>
      <c r="HM35" t="e">
        <f>AND('Yamazumi Data'!#REF!,"AAAAAH/fXtw=")</f>
        <v>#REF!</v>
      </c>
      <c r="HN35" t="e">
        <f>AND('Yamazumi Data'!#REF!,"AAAAAH/fXt0=")</f>
        <v>#REF!</v>
      </c>
      <c r="HO35" t="e">
        <f>AND('Yamazumi Data'!#REF!,"AAAAAH/fXt4=")</f>
        <v>#REF!</v>
      </c>
      <c r="HP35" t="e">
        <f>AND('Yamazumi Data'!#REF!,"AAAAAH/fXt8=")</f>
        <v>#REF!</v>
      </c>
      <c r="HQ35" t="e">
        <f>AND('Yamazumi Data'!#REF!,"AAAAAH/fXuA=")</f>
        <v>#REF!</v>
      </c>
      <c r="HR35" t="e">
        <f>AND('Yamazumi Data'!#REF!,"AAAAAH/fXuE=")</f>
        <v>#REF!</v>
      </c>
      <c r="HS35" t="e">
        <f>AND('Yamazumi Data'!#REF!,"AAAAAH/fXuI=")</f>
        <v>#REF!</v>
      </c>
      <c r="HT35" t="e">
        <f>AND('Yamazumi Data'!#REF!,"AAAAAH/fXuM=")</f>
        <v>#REF!</v>
      </c>
      <c r="HU35" t="e">
        <f>AND('Yamazumi Data'!#REF!,"AAAAAH/fXuQ=")</f>
        <v>#REF!</v>
      </c>
      <c r="HV35" t="e">
        <f>AND('Yamazumi Data'!#REF!,"AAAAAH/fXuU=")</f>
        <v>#REF!</v>
      </c>
      <c r="HW35" t="e">
        <f>AND('Yamazumi Data'!#REF!,"AAAAAH/fXuY=")</f>
        <v>#REF!</v>
      </c>
      <c r="HX35" t="e">
        <f>AND('Yamazumi Data'!#REF!,"AAAAAH/fXuc=")</f>
        <v>#REF!</v>
      </c>
      <c r="HY35" t="e">
        <f>AND('Yamazumi Data'!#REF!,"AAAAAH/fXug=")</f>
        <v>#REF!</v>
      </c>
      <c r="HZ35" t="e">
        <f>AND('Yamazumi Data'!#REF!,"AAAAAH/fXuk=")</f>
        <v>#REF!</v>
      </c>
      <c r="IA35" t="e">
        <f>AND('Yamazumi Data'!#REF!,"AAAAAH/fXuo=")</f>
        <v>#REF!</v>
      </c>
      <c r="IB35" t="e">
        <f>AND('Yamazumi Data'!#REF!,"AAAAAH/fXus=")</f>
        <v>#REF!</v>
      </c>
      <c r="IC35" t="e">
        <f>AND('Yamazumi Data'!#REF!,"AAAAAH/fXuw=")</f>
        <v>#REF!</v>
      </c>
      <c r="ID35" t="e">
        <f>AND('Yamazumi Data'!#REF!,"AAAAAH/fXu0=")</f>
        <v>#REF!</v>
      </c>
      <c r="IE35" t="e">
        <f>AND('Yamazumi Data'!#REF!,"AAAAAH/fXu4=")</f>
        <v>#REF!</v>
      </c>
      <c r="IF35" t="e">
        <f>AND('Yamazumi Data'!#REF!,"AAAAAH/fXu8=")</f>
        <v>#REF!</v>
      </c>
      <c r="IG35" t="e">
        <f>AND('Yamazumi Data'!#REF!,"AAAAAH/fXvA=")</f>
        <v>#REF!</v>
      </c>
      <c r="IH35">
        <f>IF('Yamazumi Data'!112:112,"AAAAAH/fXvE=",0)</f>
        <v>0</v>
      </c>
      <c r="II35" t="e">
        <f>AND('Yamazumi Data'!B112,"AAAAAH/fXvI=")</f>
        <v>#VALUE!</v>
      </c>
      <c r="IJ35" t="e">
        <f>AND('Yamazumi Data'!C112,"AAAAAH/fXvM=")</f>
        <v>#VALUE!</v>
      </c>
      <c r="IK35" t="e">
        <f>AND('Yamazumi Data'!D112,"AAAAAH/fXvQ=")</f>
        <v>#VALUE!</v>
      </c>
      <c r="IL35" t="e">
        <f>AND('Yamazumi Data'!E112,"AAAAAH/fXvU=")</f>
        <v>#VALUE!</v>
      </c>
      <c r="IM35" t="e">
        <f>AND('Yamazumi Data'!F112,"AAAAAH/fXvY=")</f>
        <v>#VALUE!</v>
      </c>
      <c r="IN35" t="e">
        <f>AND('Yamazumi Data'!G112,"AAAAAH/fXvc=")</f>
        <v>#VALUE!</v>
      </c>
      <c r="IO35" t="e">
        <f>AND('Yamazumi Data'!H112,"AAAAAH/fXvg=")</f>
        <v>#VALUE!</v>
      </c>
      <c r="IP35" t="e">
        <f>AND('Yamazumi Data'!I112,"AAAAAH/fXvk=")</f>
        <v>#VALUE!</v>
      </c>
      <c r="IQ35" t="e">
        <f>AND('Yamazumi Data'!J112,"AAAAAH/fXvo=")</f>
        <v>#VALUE!</v>
      </c>
      <c r="IR35" t="e">
        <f>AND('Yamazumi Data'!K112,"AAAAAH/fXvs=")</f>
        <v>#VALUE!</v>
      </c>
      <c r="IS35" t="e">
        <f>AND('Yamazumi Data'!L112,"AAAAAH/fXvw=")</f>
        <v>#VALUE!</v>
      </c>
      <c r="IT35" t="e">
        <f>AND('Yamazumi Data'!M112,"AAAAAH/fXv0=")</f>
        <v>#VALUE!</v>
      </c>
      <c r="IU35" t="e">
        <f>AND('Yamazumi Data'!N112,"AAAAAH/fXv4=")</f>
        <v>#VALUE!</v>
      </c>
      <c r="IV35" t="e">
        <f>AND('Yamazumi Data'!O112,"AAAAAH/fXv8=")</f>
        <v>#VALUE!</v>
      </c>
    </row>
    <row r="36" spans="1:256" x14ac:dyDescent="0.25">
      <c r="A36" t="e">
        <f>AND('Yamazumi Data'!P112,"AAAAAHf/yQA=")</f>
        <v>#VALUE!</v>
      </c>
      <c r="B36" t="e">
        <f>AND('Yamazumi Data'!Q112,"AAAAAHf/yQE=")</f>
        <v>#VALUE!</v>
      </c>
      <c r="C36" t="e">
        <f>AND('Yamazumi Data'!R112,"AAAAAHf/yQI=")</f>
        <v>#VALUE!</v>
      </c>
      <c r="D36" t="e">
        <f>AND('Yamazumi Data'!S112,"AAAAAHf/yQM=")</f>
        <v>#VALUE!</v>
      </c>
      <c r="E36" t="e">
        <f>AND('Yamazumi Data'!T112,"AAAAAHf/yQQ=")</f>
        <v>#VALUE!</v>
      </c>
      <c r="F36" t="e">
        <f>AND('Yamazumi Data'!U112,"AAAAAHf/yQU=")</f>
        <v>#VALUE!</v>
      </c>
      <c r="G36" t="e">
        <f>AND('Yamazumi Data'!V112,"AAAAAHf/yQY=")</f>
        <v>#VALUE!</v>
      </c>
      <c r="H36" t="e">
        <f>AND('Yamazumi Data'!W112,"AAAAAHf/yQc=")</f>
        <v>#VALUE!</v>
      </c>
      <c r="I36" t="e">
        <f>AND('Yamazumi Data'!X112,"AAAAAHf/yQg=")</f>
        <v>#VALUE!</v>
      </c>
      <c r="J36" t="e">
        <f>AND('Yamazumi Data'!Y112,"AAAAAHf/yQk=")</f>
        <v>#VALUE!</v>
      </c>
      <c r="K36" t="e">
        <f>AND('Yamazumi Data'!Z112,"AAAAAHf/yQo=")</f>
        <v>#VALUE!</v>
      </c>
      <c r="L36" t="e">
        <f>AND('Yamazumi Data'!AA112,"AAAAAHf/yQs=")</f>
        <v>#VALUE!</v>
      </c>
      <c r="M36" t="e">
        <f>AND('Yamazumi Data'!AB112,"AAAAAHf/yQw=")</f>
        <v>#VALUE!</v>
      </c>
      <c r="N36" t="e">
        <f>AND('Yamazumi Data'!AC112,"AAAAAHf/yQ0=")</f>
        <v>#VALUE!</v>
      </c>
      <c r="O36" t="e">
        <f>AND('Yamazumi Data'!AD112,"AAAAAHf/yQ4=")</f>
        <v>#VALUE!</v>
      </c>
      <c r="P36" t="e">
        <f>AND('Yamazumi Data'!AE112,"AAAAAHf/yQ8=")</f>
        <v>#VALUE!</v>
      </c>
      <c r="Q36" t="e">
        <f>AND('Yamazumi Data'!AF112,"AAAAAHf/yRA=")</f>
        <v>#VALUE!</v>
      </c>
      <c r="R36" t="e">
        <f>AND('Yamazumi Data'!AG112,"AAAAAHf/yRE=")</f>
        <v>#VALUE!</v>
      </c>
      <c r="S36" t="e">
        <f>AND('Yamazumi Data'!AH112,"AAAAAHf/yRI=")</f>
        <v>#VALUE!</v>
      </c>
      <c r="T36" t="e">
        <f>AND('Yamazumi Data'!AI112,"AAAAAHf/yRM=")</f>
        <v>#VALUE!</v>
      </c>
      <c r="U36" t="e">
        <f>AND('Yamazumi Data'!AJ112,"AAAAAHf/yRQ=")</f>
        <v>#VALUE!</v>
      </c>
      <c r="V36" t="e">
        <f>AND('Yamazumi Data'!AK112,"AAAAAHf/yRU=")</f>
        <v>#VALUE!</v>
      </c>
      <c r="W36" t="e">
        <f>AND('Yamazumi Data'!AL112,"AAAAAHf/yRY=")</f>
        <v>#VALUE!</v>
      </c>
      <c r="X36" t="e">
        <f>AND('Yamazumi Data'!AM112,"AAAAAHf/yRc=")</f>
        <v>#VALUE!</v>
      </c>
      <c r="Y36" t="e">
        <f>AND('Yamazumi Data'!AN112,"AAAAAHf/yRg=")</f>
        <v>#VALUE!</v>
      </c>
      <c r="Z36" t="e">
        <f>AND('Yamazumi Data'!AO112,"AAAAAHf/yRk=")</f>
        <v>#VALUE!</v>
      </c>
      <c r="AA36" t="e">
        <f>IF('Yamazumi Data'!113:113,"AAAAAHf/yRo=",0)</f>
        <v>#VALUE!</v>
      </c>
      <c r="AB36" t="e">
        <f>AND('Yamazumi Data'!B113,"AAAAAHf/yRs=")</f>
        <v>#VALUE!</v>
      </c>
      <c r="AC36" t="e">
        <f>AND('Yamazumi Data'!C113,"AAAAAHf/yRw=")</f>
        <v>#VALUE!</v>
      </c>
      <c r="AD36" t="e">
        <f>AND('Yamazumi Data'!M113,"AAAAAHf/yR0=")</f>
        <v>#VALUE!</v>
      </c>
      <c r="AE36" t="e">
        <f>AND('Yamazumi Data'!N113,"AAAAAHf/yR4=")</f>
        <v>#VALUE!</v>
      </c>
      <c r="AF36" t="e">
        <f>AND('Yamazumi Data'!O113,"AAAAAHf/yR8=")</f>
        <v>#VALUE!</v>
      </c>
      <c r="AG36" t="e">
        <f>AND('Yamazumi Data'!P113,"AAAAAHf/ySA=")</f>
        <v>#VALUE!</v>
      </c>
      <c r="AH36" t="e">
        <f>AND('Yamazumi Data'!Q113,"AAAAAHf/ySE=")</f>
        <v>#VALUE!</v>
      </c>
      <c r="AI36" t="e">
        <f>AND('Yamazumi Data'!R113,"AAAAAHf/ySI=")</f>
        <v>#VALUE!</v>
      </c>
      <c r="AJ36" t="e">
        <f>AND('Yamazumi Data'!S113,"AAAAAHf/ySM=")</f>
        <v>#VALUE!</v>
      </c>
      <c r="AK36" t="e">
        <f>AND('Yamazumi Data'!T113,"AAAAAHf/ySQ=")</f>
        <v>#VALUE!</v>
      </c>
      <c r="AL36" t="e">
        <f>AND('Yamazumi Data'!U113,"AAAAAHf/ySU=")</f>
        <v>#VALUE!</v>
      </c>
      <c r="AM36" t="e">
        <f>AND('Yamazumi Data'!V113,"AAAAAHf/ySY=")</f>
        <v>#VALUE!</v>
      </c>
      <c r="AN36" t="e">
        <f>AND('Yamazumi Data'!W113,"AAAAAHf/ySc=")</f>
        <v>#VALUE!</v>
      </c>
      <c r="AO36" t="e">
        <f>AND('Yamazumi Data'!X113,"AAAAAHf/ySg=")</f>
        <v>#VALUE!</v>
      </c>
      <c r="AP36" t="e">
        <f>AND('Yamazumi Data'!Y113,"AAAAAHf/ySk=")</f>
        <v>#VALUE!</v>
      </c>
      <c r="AQ36" t="e">
        <f>AND('Yamazumi Data'!Z113,"AAAAAHf/ySo=")</f>
        <v>#VALUE!</v>
      </c>
      <c r="AR36" t="e">
        <f>AND('Yamazumi Data'!AA113,"AAAAAHf/ySs=")</f>
        <v>#VALUE!</v>
      </c>
      <c r="AS36" t="e">
        <f>AND('Yamazumi Data'!AB113,"AAAAAHf/ySw=")</f>
        <v>#VALUE!</v>
      </c>
      <c r="AT36" t="e">
        <f>AND('Yamazumi Data'!AC113,"AAAAAHf/yS0=")</f>
        <v>#VALUE!</v>
      </c>
      <c r="AU36" t="e">
        <f>AND('Yamazumi Data'!AD113,"AAAAAHf/yS4=")</f>
        <v>#VALUE!</v>
      </c>
      <c r="AV36" t="e">
        <f>AND('Yamazumi Data'!AE113,"AAAAAHf/yS8=")</f>
        <v>#VALUE!</v>
      </c>
      <c r="AW36" t="e">
        <f>AND('Yamazumi Data'!AF113,"AAAAAHf/yTA=")</f>
        <v>#VALUE!</v>
      </c>
      <c r="AX36" t="e">
        <f>AND('Yamazumi Data'!AG113,"AAAAAHf/yTE=")</f>
        <v>#VALUE!</v>
      </c>
      <c r="AY36" t="e">
        <f>AND('Yamazumi Data'!AH113,"AAAAAHf/yTI=")</f>
        <v>#VALUE!</v>
      </c>
      <c r="AZ36" t="e">
        <f>AND('Yamazumi Data'!AI113,"AAAAAHf/yTM=")</f>
        <v>#VALUE!</v>
      </c>
      <c r="BA36" t="e">
        <f>AND('Yamazumi Data'!AJ113,"AAAAAHf/yTQ=")</f>
        <v>#VALUE!</v>
      </c>
      <c r="BB36" t="e">
        <f>AND('Yamazumi Data'!AK113,"AAAAAHf/yTU=")</f>
        <v>#VALUE!</v>
      </c>
      <c r="BC36" t="e">
        <f>AND('Yamazumi Data'!AL113,"AAAAAHf/yTY=")</f>
        <v>#VALUE!</v>
      </c>
      <c r="BD36" t="e">
        <f>AND('Yamazumi Data'!AM113,"AAAAAHf/yTc=")</f>
        <v>#VALUE!</v>
      </c>
      <c r="BE36" t="e">
        <f>AND('Yamazumi Data'!AN113,"AAAAAHf/yTg=")</f>
        <v>#VALUE!</v>
      </c>
      <c r="BF36" t="e">
        <f>AND('Yamazumi Data'!AO113,"AAAAAHf/yTk=")</f>
        <v>#VALUE!</v>
      </c>
      <c r="BG36">
        <f>IF('Yamazumi Data'!114:114,"AAAAAHf/yTo=",0)</f>
        <v>0</v>
      </c>
      <c r="BH36" t="e">
        <f>AND('Yamazumi Data'!B114,"AAAAAHf/yTs=")</f>
        <v>#VALUE!</v>
      </c>
      <c r="BI36" t="e">
        <f>AND('Yamazumi Data'!C114,"AAAAAHf/yTw=")</f>
        <v>#VALUE!</v>
      </c>
      <c r="BJ36" t="e">
        <f>AND('Yamazumi Data'!M114,"AAAAAHf/yT0=")</f>
        <v>#VALUE!</v>
      </c>
      <c r="BK36" t="e">
        <f>AND('Yamazumi Data'!N114,"AAAAAHf/yT4=")</f>
        <v>#VALUE!</v>
      </c>
      <c r="BL36" t="e">
        <f>AND('Yamazumi Data'!O114,"AAAAAHf/yT8=")</f>
        <v>#VALUE!</v>
      </c>
      <c r="BM36" t="e">
        <f>AND('Yamazumi Data'!P114,"AAAAAHf/yUA=")</f>
        <v>#VALUE!</v>
      </c>
      <c r="BN36" t="e">
        <f>AND('Yamazumi Data'!Q114,"AAAAAHf/yUE=")</f>
        <v>#VALUE!</v>
      </c>
      <c r="BO36" t="e">
        <f>AND('Yamazumi Data'!R114,"AAAAAHf/yUI=")</f>
        <v>#VALUE!</v>
      </c>
      <c r="BP36" t="e">
        <f>AND('Yamazumi Data'!S114,"AAAAAHf/yUM=")</f>
        <v>#VALUE!</v>
      </c>
      <c r="BQ36" t="e">
        <f>AND('Yamazumi Data'!T114,"AAAAAHf/yUQ=")</f>
        <v>#VALUE!</v>
      </c>
      <c r="BR36" t="e">
        <f>AND('Yamazumi Data'!U114,"AAAAAHf/yUU=")</f>
        <v>#VALUE!</v>
      </c>
      <c r="BS36" t="e">
        <f>AND('Yamazumi Data'!V114,"AAAAAHf/yUY=")</f>
        <v>#VALUE!</v>
      </c>
      <c r="BT36" t="e">
        <f>AND('Yamazumi Data'!W114,"AAAAAHf/yUc=")</f>
        <v>#VALUE!</v>
      </c>
      <c r="BU36" t="e">
        <f>AND('Yamazumi Data'!X114,"AAAAAHf/yUg=")</f>
        <v>#VALUE!</v>
      </c>
      <c r="BV36" t="e">
        <f>AND('Yamazumi Data'!Y114,"AAAAAHf/yUk=")</f>
        <v>#VALUE!</v>
      </c>
      <c r="BW36" t="e">
        <f>AND('Yamazumi Data'!Z114,"AAAAAHf/yUo=")</f>
        <v>#VALUE!</v>
      </c>
      <c r="BX36" t="e">
        <f>AND('Yamazumi Data'!AA114,"AAAAAHf/yUs=")</f>
        <v>#VALUE!</v>
      </c>
      <c r="BY36" t="e">
        <f>AND('Yamazumi Data'!AB114,"AAAAAHf/yUw=")</f>
        <v>#VALUE!</v>
      </c>
      <c r="BZ36" t="e">
        <f>AND('Yamazumi Data'!AC114,"AAAAAHf/yU0=")</f>
        <v>#VALUE!</v>
      </c>
      <c r="CA36" t="e">
        <f>AND('Yamazumi Data'!AD114,"AAAAAHf/yU4=")</f>
        <v>#VALUE!</v>
      </c>
      <c r="CB36" t="e">
        <f>AND('Yamazumi Data'!AE114,"AAAAAHf/yU8=")</f>
        <v>#VALUE!</v>
      </c>
      <c r="CC36" t="e">
        <f>AND('Yamazumi Data'!AF114,"AAAAAHf/yVA=")</f>
        <v>#VALUE!</v>
      </c>
      <c r="CD36" t="e">
        <f>AND('Yamazumi Data'!AG114,"AAAAAHf/yVE=")</f>
        <v>#VALUE!</v>
      </c>
      <c r="CE36" t="e">
        <f>AND('Yamazumi Data'!AH114,"AAAAAHf/yVI=")</f>
        <v>#VALUE!</v>
      </c>
      <c r="CF36" t="e">
        <f>AND('Yamazumi Data'!AI114,"AAAAAHf/yVM=")</f>
        <v>#VALUE!</v>
      </c>
      <c r="CG36" t="e">
        <f>AND('Yamazumi Data'!AJ114,"AAAAAHf/yVQ=")</f>
        <v>#VALUE!</v>
      </c>
      <c r="CH36" t="e">
        <f>AND('Yamazumi Data'!AK114,"AAAAAHf/yVU=")</f>
        <v>#VALUE!</v>
      </c>
      <c r="CI36" t="e">
        <f>AND('Yamazumi Data'!AL114,"AAAAAHf/yVY=")</f>
        <v>#VALUE!</v>
      </c>
      <c r="CJ36" t="e">
        <f>AND('Yamazumi Data'!AM114,"AAAAAHf/yVc=")</f>
        <v>#VALUE!</v>
      </c>
      <c r="CK36" t="e">
        <f>AND('Yamazumi Data'!AN114,"AAAAAHf/yVg=")</f>
        <v>#VALUE!</v>
      </c>
      <c r="CL36" t="e">
        <f>AND('Yamazumi Data'!AO114,"AAAAAHf/yVk=")</f>
        <v>#VALUE!</v>
      </c>
      <c r="CM36">
        <f>IF('Yamazumi Data'!115:115,"AAAAAHf/yVo=",0)</f>
        <v>0</v>
      </c>
      <c r="CN36" t="e">
        <f>AND('Yamazumi Data'!B115,"AAAAAHf/yVs=")</f>
        <v>#VALUE!</v>
      </c>
      <c r="CO36" t="e">
        <f>AND('Yamazumi Data'!C115,"AAAAAHf/yVw=")</f>
        <v>#VALUE!</v>
      </c>
      <c r="CP36" t="e">
        <f>AND('Yamazumi Data'!M115,"AAAAAHf/yV0=")</f>
        <v>#VALUE!</v>
      </c>
      <c r="CQ36" t="e">
        <f>AND('Yamazumi Data'!N115,"AAAAAHf/yV4=")</f>
        <v>#VALUE!</v>
      </c>
      <c r="CR36" t="e">
        <f>AND('Yamazumi Data'!O115,"AAAAAHf/yV8=")</f>
        <v>#VALUE!</v>
      </c>
      <c r="CS36" t="e">
        <f>AND('Yamazumi Data'!P115,"AAAAAHf/yWA=")</f>
        <v>#VALUE!</v>
      </c>
      <c r="CT36" t="e">
        <f>AND('Yamazumi Data'!Q115,"AAAAAHf/yWE=")</f>
        <v>#VALUE!</v>
      </c>
      <c r="CU36" t="e">
        <f>AND('Yamazumi Data'!R115,"AAAAAHf/yWI=")</f>
        <v>#VALUE!</v>
      </c>
      <c r="CV36" t="e">
        <f>AND('Yamazumi Data'!S115,"AAAAAHf/yWM=")</f>
        <v>#VALUE!</v>
      </c>
      <c r="CW36" t="e">
        <f>AND('Yamazumi Data'!T115,"AAAAAHf/yWQ=")</f>
        <v>#VALUE!</v>
      </c>
      <c r="CX36" t="e">
        <f>AND('Yamazumi Data'!U115,"AAAAAHf/yWU=")</f>
        <v>#VALUE!</v>
      </c>
      <c r="CY36" t="e">
        <f>AND('Yamazumi Data'!V115,"AAAAAHf/yWY=")</f>
        <v>#VALUE!</v>
      </c>
      <c r="CZ36" t="e">
        <f>AND('Yamazumi Data'!W115,"AAAAAHf/yWc=")</f>
        <v>#VALUE!</v>
      </c>
      <c r="DA36" t="e">
        <f>AND('Yamazumi Data'!X115,"AAAAAHf/yWg=")</f>
        <v>#VALUE!</v>
      </c>
      <c r="DB36" t="e">
        <f>AND('Yamazumi Data'!Y115,"AAAAAHf/yWk=")</f>
        <v>#VALUE!</v>
      </c>
      <c r="DC36" t="e">
        <f>AND('Yamazumi Data'!Z115,"AAAAAHf/yWo=")</f>
        <v>#VALUE!</v>
      </c>
      <c r="DD36" t="e">
        <f>AND('Yamazumi Data'!AA115,"AAAAAHf/yWs=")</f>
        <v>#VALUE!</v>
      </c>
      <c r="DE36" t="e">
        <f>AND('Yamazumi Data'!AB115,"AAAAAHf/yWw=")</f>
        <v>#VALUE!</v>
      </c>
      <c r="DF36" t="e">
        <f>AND('Yamazumi Data'!AC115,"AAAAAHf/yW0=")</f>
        <v>#VALUE!</v>
      </c>
      <c r="DG36" t="e">
        <f>AND('Yamazumi Data'!AD115,"AAAAAHf/yW4=")</f>
        <v>#VALUE!</v>
      </c>
      <c r="DH36" t="e">
        <f>AND('Yamazumi Data'!AE115,"AAAAAHf/yW8=")</f>
        <v>#VALUE!</v>
      </c>
      <c r="DI36" t="e">
        <f>AND('Yamazumi Data'!AF115,"AAAAAHf/yXA=")</f>
        <v>#VALUE!</v>
      </c>
      <c r="DJ36" t="e">
        <f>AND('Yamazumi Data'!AG115,"AAAAAHf/yXE=")</f>
        <v>#VALUE!</v>
      </c>
      <c r="DK36" t="e">
        <f>AND('Yamazumi Data'!AH115,"AAAAAHf/yXI=")</f>
        <v>#VALUE!</v>
      </c>
      <c r="DL36" t="e">
        <f>AND('Yamazumi Data'!AI115,"AAAAAHf/yXM=")</f>
        <v>#VALUE!</v>
      </c>
      <c r="DM36" t="e">
        <f>AND('Yamazumi Data'!AJ115,"AAAAAHf/yXQ=")</f>
        <v>#VALUE!</v>
      </c>
      <c r="DN36" t="e">
        <f>AND('Yamazumi Data'!AK115,"AAAAAHf/yXU=")</f>
        <v>#VALUE!</v>
      </c>
      <c r="DO36" t="e">
        <f>AND('Yamazumi Data'!AL115,"AAAAAHf/yXY=")</f>
        <v>#VALUE!</v>
      </c>
      <c r="DP36" t="e">
        <f>AND('Yamazumi Data'!AM115,"AAAAAHf/yXc=")</f>
        <v>#VALUE!</v>
      </c>
      <c r="DQ36" t="e">
        <f>AND('Yamazumi Data'!AN115,"AAAAAHf/yXg=")</f>
        <v>#VALUE!</v>
      </c>
      <c r="DR36" t="e">
        <f>AND('Yamazumi Data'!AO115,"AAAAAHf/yXk=")</f>
        <v>#VALUE!</v>
      </c>
      <c r="DS36">
        <f>IF('Yamazumi Data'!117:117,"AAAAAHf/yXo=",0)</f>
        <v>0</v>
      </c>
      <c r="DT36" t="e">
        <f>AND('Yamazumi Data'!B117,"AAAAAHf/yXs=")</f>
        <v>#VALUE!</v>
      </c>
      <c r="DU36" t="e">
        <f>AND('Yamazumi Data'!C117,"AAAAAHf/yXw=")</f>
        <v>#VALUE!</v>
      </c>
      <c r="DV36" t="e">
        <f>AND('Yamazumi Data'!M117,"AAAAAHf/yX0=")</f>
        <v>#VALUE!</v>
      </c>
      <c r="DW36" t="e">
        <f>AND('Yamazumi Data'!N117,"AAAAAHf/yX4=")</f>
        <v>#VALUE!</v>
      </c>
      <c r="DX36" t="e">
        <f>AND('Yamazumi Data'!O117,"AAAAAHf/yX8=")</f>
        <v>#VALUE!</v>
      </c>
      <c r="DY36" t="e">
        <f>AND('Yamazumi Data'!P117,"AAAAAHf/yYA=")</f>
        <v>#VALUE!</v>
      </c>
      <c r="DZ36" t="e">
        <f>AND('Yamazumi Data'!Q117,"AAAAAHf/yYE=")</f>
        <v>#VALUE!</v>
      </c>
      <c r="EA36" t="e">
        <f>AND('Yamazumi Data'!R117,"AAAAAHf/yYI=")</f>
        <v>#VALUE!</v>
      </c>
      <c r="EB36" t="e">
        <f>AND('Yamazumi Data'!S117,"AAAAAHf/yYM=")</f>
        <v>#VALUE!</v>
      </c>
      <c r="EC36" t="e">
        <f>AND('Yamazumi Data'!T117,"AAAAAHf/yYQ=")</f>
        <v>#VALUE!</v>
      </c>
      <c r="ED36" t="e">
        <f>AND('Yamazumi Data'!U117,"AAAAAHf/yYU=")</f>
        <v>#VALUE!</v>
      </c>
      <c r="EE36" t="e">
        <f>AND('Yamazumi Data'!V117,"AAAAAHf/yYY=")</f>
        <v>#VALUE!</v>
      </c>
      <c r="EF36" t="e">
        <f>AND('Yamazumi Data'!W117,"AAAAAHf/yYc=")</f>
        <v>#VALUE!</v>
      </c>
      <c r="EG36" t="e">
        <f>AND('Yamazumi Data'!X117,"AAAAAHf/yYg=")</f>
        <v>#VALUE!</v>
      </c>
      <c r="EH36" t="e">
        <f>AND('Yamazumi Data'!Y117,"AAAAAHf/yYk=")</f>
        <v>#VALUE!</v>
      </c>
      <c r="EI36" t="e">
        <f>AND('Yamazumi Data'!Z117,"AAAAAHf/yYo=")</f>
        <v>#VALUE!</v>
      </c>
      <c r="EJ36" t="e">
        <f>AND('Yamazumi Data'!AA117,"AAAAAHf/yYs=")</f>
        <v>#VALUE!</v>
      </c>
      <c r="EK36" t="e">
        <f>AND('Yamazumi Data'!AB117,"AAAAAHf/yYw=")</f>
        <v>#VALUE!</v>
      </c>
      <c r="EL36" t="e">
        <f>AND('Yamazumi Data'!AC117,"AAAAAHf/yY0=")</f>
        <v>#VALUE!</v>
      </c>
      <c r="EM36" t="e">
        <f>AND('Yamazumi Data'!AD117,"AAAAAHf/yY4=")</f>
        <v>#VALUE!</v>
      </c>
      <c r="EN36" t="e">
        <f>AND('Yamazumi Data'!AE117,"AAAAAHf/yY8=")</f>
        <v>#VALUE!</v>
      </c>
      <c r="EO36" t="e">
        <f>AND('Yamazumi Data'!AF117,"AAAAAHf/yZA=")</f>
        <v>#VALUE!</v>
      </c>
      <c r="EP36" t="e">
        <f>AND('Yamazumi Data'!AG117,"AAAAAHf/yZE=")</f>
        <v>#VALUE!</v>
      </c>
      <c r="EQ36" t="e">
        <f>AND('Yamazumi Data'!AH117,"AAAAAHf/yZI=")</f>
        <v>#VALUE!</v>
      </c>
      <c r="ER36" t="e">
        <f>AND('Yamazumi Data'!AI117,"AAAAAHf/yZM=")</f>
        <v>#VALUE!</v>
      </c>
      <c r="ES36" t="e">
        <f>AND('Yamazumi Data'!AJ117,"AAAAAHf/yZQ=")</f>
        <v>#VALUE!</v>
      </c>
      <c r="ET36" t="e">
        <f>AND('Yamazumi Data'!AK117,"AAAAAHf/yZU=")</f>
        <v>#VALUE!</v>
      </c>
      <c r="EU36" t="e">
        <f>AND('Yamazumi Data'!AL117,"AAAAAHf/yZY=")</f>
        <v>#VALUE!</v>
      </c>
      <c r="EV36" t="e">
        <f>AND('Yamazumi Data'!AM117,"AAAAAHf/yZc=")</f>
        <v>#VALUE!</v>
      </c>
      <c r="EW36" t="e">
        <f>AND('Yamazumi Data'!AN117,"AAAAAHf/yZg=")</f>
        <v>#VALUE!</v>
      </c>
      <c r="EX36" t="e">
        <f>AND('Yamazumi Data'!AO117,"AAAAAHf/yZk=")</f>
        <v>#VALUE!</v>
      </c>
      <c r="EY36">
        <f>IF('Yamazumi Data'!118:118,"AAAAAHf/yZo=",0)</f>
        <v>0</v>
      </c>
      <c r="EZ36" t="e">
        <f>AND('Yamazumi Data'!B118,"AAAAAHf/yZs=")</f>
        <v>#VALUE!</v>
      </c>
      <c r="FA36" t="e">
        <f>AND('Yamazumi Data'!C118,"AAAAAHf/yZw=")</f>
        <v>#VALUE!</v>
      </c>
      <c r="FB36" t="e">
        <f>AND('Yamazumi Data'!M118,"AAAAAHf/yZ0=")</f>
        <v>#VALUE!</v>
      </c>
      <c r="FC36" t="e">
        <f>AND('Yamazumi Data'!N118,"AAAAAHf/yZ4=")</f>
        <v>#VALUE!</v>
      </c>
      <c r="FD36" t="e">
        <f>AND('Yamazumi Data'!O118,"AAAAAHf/yZ8=")</f>
        <v>#VALUE!</v>
      </c>
      <c r="FE36" t="e">
        <f>AND('Yamazumi Data'!P118,"AAAAAHf/yaA=")</f>
        <v>#VALUE!</v>
      </c>
      <c r="FF36" t="e">
        <f>AND('Yamazumi Data'!Q118,"AAAAAHf/yaE=")</f>
        <v>#VALUE!</v>
      </c>
      <c r="FG36" t="e">
        <f>AND('Yamazumi Data'!R118,"AAAAAHf/yaI=")</f>
        <v>#VALUE!</v>
      </c>
      <c r="FH36" t="e">
        <f>AND('Yamazumi Data'!S118,"AAAAAHf/yaM=")</f>
        <v>#VALUE!</v>
      </c>
      <c r="FI36" t="e">
        <f>AND('Yamazumi Data'!T118,"AAAAAHf/yaQ=")</f>
        <v>#VALUE!</v>
      </c>
      <c r="FJ36" t="e">
        <f>AND('Yamazumi Data'!U118,"AAAAAHf/yaU=")</f>
        <v>#VALUE!</v>
      </c>
      <c r="FK36" t="e">
        <f>AND('Yamazumi Data'!V118,"AAAAAHf/yaY=")</f>
        <v>#VALUE!</v>
      </c>
      <c r="FL36" t="e">
        <f>AND('Yamazumi Data'!W118,"AAAAAHf/yac=")</f>
        <v>#VALUE!</v>
      </c>
      <c r="FM36" t="e">
        <f>AND('Yamazumi Data'!X118,"AAAAAHf/yag=")</f>
        <v>#VALUE!</v>
      </c>
      <c r="FN36" t="e">
        <f>AND('Yamazumi Data'!Y118,"AAAAAHf/yak=")</f>
        <v>#VALUE!</v>
      </c>
      <c r="FO36" t="e">
        <f>AND('Yamazumi Data'!Z118,"AAAAAHf/yao=")</f>
        <v>#VALUE!</v>
      </c>
      <c r="FP36" t="e">
        <f>AND('Yamazumi Data'!AA118,"AAAAAHf/yas=")</f>
        <v>#VALUE!</v>
      </c>
      <c r="FQ36" t="e">
        <f>AND('Yamazumi Data'!AB118,"AAAAAHf/yaw=")</f>
        <v>#VALUE!</v>
      </c>
      <c r="FR36" t="e">
        <f>AND('Yamazumi Data'!AC118,"AAAAAHf/ya0=")</f>
        <v>#VALUE!</v>
      </c>
      <c r="FS36" t="e">
        <f>AND('Yamazumi Data'!AD118,"AAAAAHf/ya4=")</f>
        <v>#VALUE!</v>
      </c>
      <c r="FT36" t="e">
        <f>AND('Yamazumi Data'!AE118,"AAAAAHf/ya8=")</f>
        <v>#VALUE!</v>
      </c>
      <c r="FU36" t="e">
        <f>AND('Yamazumi Data'!AF118,"AAAAAHf/ybA=")</f>
        <v>#VALUE!</v>
      </c>
      <c r="FV36" t="e">
        <f>AND('Yamazumi Data'!AG118,"AAAAAHf/ybE=")</f>
        <v>#VALUE!</v>
      </c>
      <c r="FW36" t="e">
        <f>AND('Yamazumi Data'!AH118,"AAAAAHf/ybI=")</f>
        <v>#VALUE!</v>
      </c>
      <c r="FX36" t="e">
        <f>AND('Yamazumi Data'!AI118,"AAAAAHf/ybM=")</f>
        <v>#VALUE!</v>
      </c>
      <c r="FY36" t="e">
        <f>AND('Yamazumi Data'!AJ118,"AAAAAHf/ybQ=")</f>
        <v>#VALUE!</v>
      </c>
      <c r="FZ36" t="e">
        <f>AND('Yamazumi Data'!AK118,"AAAAAHf/ybU=")</f>
        <v>#VALUE!</v>
      </c>
      <c r="GA36" t="e">
        <f>AND('Yamazumi Data'!AL118,"AAAAAHf/ybY=")</f>
        <v>#VALUE!</v>
      </c>
      <c r="GB36" t="e">
        <f>AND('Yamazumi Data'!AM118,"AAAAAHf/ybc=")</f>
        <v>#VALUE!</v>
      </c>
      <c r="GC36" t="e">
        <f>AND('Yamazumi Data'!AN118,"AAAAAHf/ybg=")</f>
        <v>#VALUE!</v>
      </c>
      <c r="GD36" t="e">
        <f>AND('Yamazumi Data'!AO118,"AAAAAHf/ybk=")</f>
        <v>#VALUE!</v>
      </c>
      <c r="GE36">
        <f>IF('Yamazumi Data'!119:119,"AAAAAHf/ybo=",0)</f>
        <v>0</v>
      </c>
      <c r="GF36">
        <f>IF('Yamazumi Data'!120:120,"AAAAAHf/ybs=",0)</f>
        <v>0</v>
      </c>
      <c r="GG36">
        <f>IF('Yamazumi Data'!121:121,"AAAAAHf/ybw=",0)</f>
        <v>0</v>
      </c>
      <c r="GH36">
        <f>IF('Yamazumi Data'!122:122,"AAAAAHf/yb0=",0)</f>
        <v>0</v>
      </c>
      <c r="GI36">
        <f>IF('Yamazumi Data'!123:123,"AAAAAHf/yb4=",0)</f>
        <v>0</v>
      </c>
      <c r="GJ36">
        <f>IF('Yamazumi Data'!124:124,"AAAAAHf/yb8=",0)</f>
        <v>0</v>
      </c>
      <c r="GK36">
        <f>IF('Yamazumi Data'!125:125,"AAAAAHf/ycA=",0)</f>
        <v>0</v>
      </c>
      <c r="GL36">
        <f>IF('Yamazumi Data'!126:126,"AAAAAHf/ycE=",0)</f>
        <v>0</v>
      </c>
      <c r="GM36">
        <f>IF('Yamazumi Data'!127:127,"AAAAAHf/ycI=",0)</f>
        <v>0</v>
      </c>
      <c r="GN36">
        <f>IF('Yamazumi Data'!128:128,"AAAAAHf/ycM=",0)</f>
        <v>0</v>
      </c>
      <c r="GO36">
        <f>IF('Yamazumi Data'!129:129,"AAAAAHf/ycQ=",0)</f>
        <v>0</v>
      </c>
      <c r="GP36">
        <f>IF('Yamazumi Data'!130:130,"AAAAAHf/ycU=",0)</f>
        <v>0</v>
      </c>
      <c r="GQ36">
        <f>IF('Yamazumi Data'!131:131,"AAAAAHf/ycY=",0)</f>
        <v>0</v>
      </c>
      <c r="GR36">
        <f>IF('Yamazumi Data'!132:132,"AAAAAHf/ycc=",0)</f>
        <v>0</v>
      </c>
      <c r="GS36">
        <f>IF('Yamazumi Data'!133:133,"AAAAAHf/ycg=",0)</f>
        <v>0</v>
      </c>
      <c r="GT36">
        <f>IF('Yamazumi Data'!134:134,"AAAAAHf/yck=",0)</f>
        <v>0</v>
      </c>
      <c r="GU36">
        <f>IF('Yamazumi Data'!135:135,"AAAAAHf/yco=",0)</f>
        <v>0</v>
      </c>
      <c r="GV36">
        <f>IF('Yamazumi Data'!136:136,"AAAAAHf/ycs=",0)</f>
        <v>0</v>
      </c>
      <c r="GW36">
        <f>IF('Yamazumi Data'!137:137,"AAAAAHf/ycw=",0)</f>
        <v>0</v>
      </c>
      <c r="GX36">
        <f>IF('Yamazumi Data'!138:138,"AAAAAHf/yc0=",0)</f>
        <v>0</v>
      </c>
      <c r="GY36">
        <f>IF('Yamazumi Data'!139:139,"AAAAAHf/yc4=",0)</f>
        <v>0</v>
      </c>
      <c r="GZ36">
        <f>IF('Yamazumi Data'!140:140,"AAAAAHf/yc8=",0)</f>
        <v>0</v>
      </c>
      <c r="HA36">
        <f>IF('Yamazumi Data'!141:141,"AAAAAHf/ydA=",0)</f>
        <v>0</v>
      </c>
      <c r="HB36">
        <f>IF('Yamazumi Data'!142:142,"AAAAAHf/ydE=",0)</f>
        <v>0</v>
      </c>
      <c r="HC36">
        <f>IF('Yamazumi Data'!143:143,"AAAAAHf/ydI=",0)</f>
        <v>0</v>
      </c>
      <c r="HD36">
        <f>IF('Yamazumi Data'!144:144,"AAAAAHf/ydM=",0)</f>
        <v>0</v>
      </c>
      <c r="HE36">
        <f>IF('Yamazumi Data'!145:145,"AAAAAHf/ydQ=",0)</f>
        <v>0</v>
      </c>
      <c r="HF36">
        <f>IF('Yamazumi Data'!146:146,"AAAAAHf/ydU=",0)</f>
        <v>0</v>
      </c>
      <c r="HG36">
        <f>IF('Yamazumi Data'!147:147,"AAAAAHf/ydY=",0)</f>
        <v>0</v>
      </c>
      <c r="HH36">
        <f>IF('Yamazumi Data'!148:148,"AAAAAHf/ydc=",0)</f>
        <v>0</v>
      </c>
      <c r="HI36">
        <f>IF('Yamazumi Data'!149:149,"AAAAAHf/ydg=",0)</f>
        <v>0</v>
      </c>
      <c r="HJ36">
        <f>IF('Yamazumi Data'!150:150,"AAAAAHf/ydk=",0)</f>
        <v>0</v>
      </c>
      <c r="HK36">
        <f>IF('Yamazumi Data'!151:151,"AAAAAHf/ydo=",0)</f>
        <v>0</v>
      </c>
      <c r="HL36">
        <f>IF('Yamazumi Data'!152:152,"AAAAAHf/yds=",0)</f>
        <v>0</v>
      </c>
      <c r="HM36">
        <f>IF('Yamazumi Data'!153:153,"AAAAAHf/ydw=",0)</f>
        <v>0</v>
      </c>
      <c r="HN36">
        <f>IF('Yamazumi Data'!154:154,"AAAAAHf/yd0=",0)</f>
        <v>0</v>
      </c>
      <c r="HO36">
        <f>IF('Yamazumi Data'!155:155,"AAAAAHf/yd4=",0)</f>
        <v>0</v>
      </c>
      <c r="HP36">
        <f>IF('Yamazumi Data'!156:156,"AAAAAHf/yd8=",0)</f>
        <v>0</v>
      </c>
      <c r="HQ36">
        <f>IF('Yamazumi Data'!157:157,"AAAAAHf/yeA=",0)</f>
        <v>0</v>
      </c>
      <c r="HR36">
        <f>IF('Yamazumi Data'!158:158,"AAAAAHf/yeE=",0)</f>
        <v>0</v>
      </c>
      <c r="HS36">
        <f>IF('Yamazumi Data'!159:159,"AAAAAHf/yeI=",0)</f>
        <v>0</v>
      </c>
      <c r="HT36">
        <f>IF('Yamazumi Data'!160:160,"AAAAAHf/yeM=",0)</f>
        <v>0</v>
      </c>
      <c r="HU36">
        <f>IF('Yamazumi Data'!161:161,"AAAAAHf/yeQ=",0)</f>
        <v>0</v>
      </c>
      <c r="HV36">
        <f>IF('Yamazumi Data'!162:162,"AAAAAHf/yeU=",0)</f>
        <v>0</v>
      </c>
      <c r="HW36">
        <f>IF('Yamazumi Data'!W:W,"AAAAAHf/yeY=",0)</f>
        <v>0</v>
      </c>
      <c r="HX36">
        <f>IF('Yamazumi Data'!X:X,"AAAAAHf/yec=",0)</f>
        <v>0</v>
      </c>
      <c r="HY36">
        <f>IF('Yamazumi Data'!Y:Y,"AAAAAHf/yeg=",0)</f>
        <v>0</v>
      </c>
      <c r="HZ36">
        <f>IF('Yamazumi Data'!Z:Z,"AAAAAHf/yek=",0)</f>
        <v>0</v>
      </c>
      <c r="IA36">
        <f>IF('Yamazumi Data'!AA:AA,"AAAAAHf/yeo=",0)</f>
        <v>0</v>
      </c>
      <c r="IB36">
        <f>IF('Yamazumi Data'!AB:AB,"AAAAAHf/yes=",0)</f>
        <v>0</v>
      </c>
      <c r="IC36">
        <f>IF('Yamazumi Data'!AC:AC,"AAAAAHf/yew=",0)</f>
        <v>0</v>
      </c>
      <c r="ID36">
        <f>IF('Yamazumi Data'!AD:AD,"AAAAAHf/ye0=",0)</f>
        <v>0</v>
      </c>
      <c r="IE36">
        <f>IF('Yamazumi Data'!AE:AE,"AAAAAHf/ye4=",0)</f>
        <v>0</v>
      </c>
      <c r="IF36">
        <f>IF('Yamazumi Data'!AF:AF,"AAAAAHf/ye8=",0)</f>
        <v>0</v>
      </c>
      <c r="IG36">
        <f>IF('Yamazumi Data'!AG:AG,"AAAAAHf/yfA=",0)</f>
        <v>0</v>
      </c>
      <c r="IH36">
        <f>IF('Yamazumi Data'!AH:AH,"AAAAAHf/yfE=",0)</f>
        <v>0</v>
      </c>
      <c r="II36">
        <f>IF('Yamazumi Data'!AI:AI,"AAAAAHf/yfI=",0)</f>
        <v>0</v>
      </c>
      <c r="IJ36">
        <f>IF('Yamazumi Data'!AJ:AJ,"AAAAAHf/yfM=",0)</f>
        <v>0</v>
      </c>
      <c r="IK36">
        <f>IF('Yamazumi Data'!AO:AO,"AAAAAHf/yfQ=",0)</f>
        <v>0</v>
      </c>
    </row>
  </sheetData>
  <pageMargins left="0.7" right="0.7" top="0.75" bottom="0.75" header="0.3" footer="0.3"/>
  <pageSetup paperSize="9" orientation="portrait" horizontalDpi="0" verticalDpi="0" r:id="rId1"/>
  <customProperties>
    <customPr name="DVSECTION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A7" sqref="A7"/>
    </sheetView>
  </sheetViews>
  <sheetFormatPr baseColWidth="10" defaultRowHeight="15" x14ac:dyDescent="0.25"/>
  <cols>
    <col min="1" max="1" width="28.7109375" bestFit="1" customWidth="1"/>
  </cols>
  <sheetData>
    <row r="1" spans="1:2" x14ac:dyDescent="0.25">
      <c r="A1" t="s">
        <v>12</v>
      </c>
      <c r="B1" s="55"/>
    </row>
    <row r="2" spans="1:2" x14ac:dyDescent="0.25">
      <c r="A2" t="s">
        <v>16</v>
      </c>
      <c r="B2" s="56"/>
    </row>
    <row r="3" spans="1:2" x14ac:dyDescent="0.25">
      <c r="A3" t="s">
        <v>21</v>
      </c>
      <c r="B3" s="57"/>
    </row>
    <row r="4" spans="1:2" x14ac:dyDescent="0.25">
      <c r="A4" t="s">
        <v>23</v>
      </c>
      <c r="B4" s="58"/>
    </row>
    <row r="5" spans="1:2" x14ac:dyDescent="0.25">
      <c r="A5" t="s">
        <v>26</v>
      </c>
      <c r="B5" s="5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WP Document" ma:contentTypeID="0x0101008C6BCE7103D4604D9D98C10C55408145003C42AE351FA4FE44A1D0AEF1826D385E" ma:contentTypeVersion="86" ma:contentTypeDescription="" ma:contentTypeScope="" ma:versionID="84875284eaeb45f69d92c5e880c62223">
  <xsd:schema xmlns:xsd="http://www.w3.org/2001/XMLSchema" xmlns:xs="http://www.w3.org/2001/XMLSchema" xmlns:p="http://schemas.microsoft.com/office/2006/metadata/properties" xmlns:ns2="213af126-92eb-4bb5-8bfd-1661103a2928" targetNamespace="http://schemas.microsoft.com/office/2006/metadata/properties" ma:root="true" ma:fieldsID="946e483369ea12db58bbca3830e13754" ns2:_="">
    <xsd:import namespace="213af126-92eb-4bb5-8bfd-1661103a2928"/>
    <xsd:element name="properties">
      <xsd:complexType>
        <xsd:sequence>
          <xsd:element name="documentManagement">
            <xsd:complexType>
              <xsd:all>
                <xsd:element ref="ns2:Co_x0020_Owner" minOccurs="0"/>
                <xsd:element ref="ns2:SemaphoreItemMetadata" minOccurs="0"/>
                <xsd:element ref="ns2:Profile_x0020_Function" minOccurs="0"/>
                <xsd:element ref="ns2:k86b4a6c32f1452eb7140edb0c474059" minOccurs="0"/>
                <xsd:element ref="ns2:d8eb0e4f3c9d44aea1b5242a98d3f8fa" minOccurs="0"/>
                <xsd:element ref="ns2:_dlc_DocId" minOccurs="0"/>
                <xsd:element ref="ns2:d9e9721bb8cb4a52ba21addbc0a89dfe" minOccurs="0"/>
                <xsd:element ref="ns2:_dlc_DocIdUrl" minOccurs="0"/>
                <xsd:element ref="ns2:_dlc_DocIdPersistId" minOccurs="0"/>
                <xsd:element ref="ns2:TaxCatchAll" minOccurs="0"/>
                <xsd:element ref="ns2:TaxCatchAllLabel" minOccurs="0"/>
                <xsd:element ref="ns2:g2a44a71b8514fe4bf3d99cbf75c14b3" minOccurs="0"/>
                <xsd:element ref="ns2:p0c7363ab63a4949aed13ac79818495c" minOccurs="0"/>
                <xsd:element ref="ns2:ha3b8c373a584cb6a336cdaae858a674" minOccurs="0"/>
                <xsd:element ref="ns2:c421f60886e0447b9101ff5385eb5b37" minOccurs="0"/>
                <xsd:element ref="ns2:Profile_x0020_Business_x0020_Group" minOccurs="0"/>
                <xsd:element ref="ns2:Metadata_x0020_Keywor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3af126-92eb-4bb5-8bfd-1661103a2928" elementFormDefault="qualified">
    <xsd:import namespace="http://schemas.microsoft.com/office/2006/documentManagement/types"/>
    <xsd:import namespace="http://schemas.microsoft.com/office/infopath/2007/PartnerControls"/>
    <xsd:element name="Co_x0020_Owner" ma:index="9" nillable="true" ma:displayName="Co Owner" ma:list="UserInfo" ma:SharePointGroup="0" ma:internalName="Co_x0020_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emaphoreItemMetadata" ma:index="10" nillable="true" ma:displayName="Semaphore Status" ma:hidden="true" ma:internalName="SemaphoreItemMetadata">
      <xsd:simpleType>
        <xsd:restriction base="dms:Note"/>
      </xsd:simpleType>
    </xsd:element>
    <xsd:element name="Profile_x0020_Function" ma:index="11" nillable="true" ma:displayName="Profile Function" ma:hidden="true" ma:internalName="Profile_x0020_Function" ma:readOnly="false">
      <xsd:simpleType>
        <xsd:restriction base="dms:Text">
          <xsd:maxLength value="255"/>
        </xsd:restriction>
      </xsd:simpleType>
    </xsd:element>
    <xsd:element name="k86b4a6c32f1452eb7140edb0c474059" ma:index="14" nillable="true" ma:taxonomy="true" ma:internalName="k86b4a6c32f1452eb7140edb0c474059" ma:taxonomyFieldName="Document_x0020_Type" ma:displayName="Content Format" ma:default="" ma:fieldId="{486b4a6c-32f1-452e-b714-0edb0c474059}" ma:taxonomyMulti="true" ma:sspId="8bc46713-8fa2-488a-ac8b-ad618560c9d6" ma:termSetId="90aa2071-da9d-4816-8727-bc22e066604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8eb0e4f3c9d44aea1b5242a98d3f8fa" ma:index="17" nillable="true" ma:taxonomy="true" ma:internalName="d8eb0e4f3c9d44aea1b5242a98d3f8fa" ma:taxonomyFieldName="Classification" ma:displayName="Classification" ma:default="" ma:fieldId="{d8eb0e4f-3c9d-44ae-a1b5-242a98d3f8fa}" ma:taxonomyMulti="true" ma:sspId="8bc46713-8fa2-488a-ac8b-ad618560c9d6" ma:termSetId="1d5a0916-ebcc-4604-827c-413c49d497b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" ma:index="1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d9e9721bb8cb4a52ba21addbc0a89dfe" ma:index="19" nillable="true" ma:taxonomy="true" ma:internalName="d9e9721bb8cb4a52ba21addbc0a89dfe" ma:taxonomyFieldName="Content_x0020_Language" ma:displayName="Content Language" ma:default="" ma:fieldId="{d9e9721b-b8cb-4a52-ba21-addbc0a89dfe}" ma:taxonomyMulti="true" ma:sspId="8bc46713-8fa2-488a-ac8b-ad618560c9d6" ma:termSetId="87642fc5-5076-4ec2-8e89-18225f3dc3b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Url" ma:index="20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1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2" nillable="true" ma:displayName="Taxonomy Catch All Column" ma:description="" ma:hidden="true" ma:list="{acdb1ca7-ddea-4ee5-80ee-ebedf5a5ef35}" ma:internalName="TaxCatchAll" ma:showField="CatchAllData" ma:web="ded6838e-a0a0-48ab-ae1f-2d0e9ce3bc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3" nillable="true" ma:displayName="Taxonomy Catch All Column1" ma:description="" ma:hidden="true" ma:list="{acdb1ca7-ddea-4ee5-80ee-ebedf5a5ef35}" ma:internalName="TaxCatchAllLabel" ma:readOnly="true" ma:showField="CatchAllDataLabel" ma:web="ded6838e-a0a0-48ab-ae1f-2d0e9ce3bc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2a44a71b8514fe4bf3d99cbf75c14b3" ma:index="24" nillable="true" ma:taxonomy="true" ma:internalName="g2a44a71b8514fe4bf3d99cbf75c14b3" ma:taxonomyFieldName="Business_x0020_Group" ma:displayName="Business Group" ma:readOnly="false" ma:default="" ma:fieldId="{02a44a71-b851-4fe4-bf3d-99cbf75c14b3}" ma:taxonomyMulti="true" ma:sspId="8bc46713-8fa2-488a-ac8b-ad618560c9d6" ma:termSetId="9f43c04a-35d1-4ece-8911-bc3d0d85a57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0c7363ab63a4949aed13ac79818495c" ma:index="26" nillable="true" ma:taxonomy="true" ma:internalName="p0c7363ab63a4949aed13ac79818495c" ma:taxonomyFieldName="Function" ma:displayName="Function" ma:default="" ma:fieldId="{90c7363a-b63a-4949-aed1-3ac79818495c}" ma:taxonomyMulti="true" ma:sspId="8bc46713-8fa2-488a-ac8b-ad618560c9d6" ma:termSetId="32bd07dc-8a43-415d-a3ec-c95638f4d17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a3b8c373a584cb6a336cdaae858a674" ma:index="28" nillable="true" ma:taxonomy="true" ma:internalName="ha3b8c373a584cb6a336cdaae858a674" ma:taxonomyFieldName="Facility" ma:displayName="Region and Facility" ma:default="" ma:fieldId="{1a3b8c37-3a58-4cb6-a336-cdaae858a674}" ma:taxonomyMulti="true" ma:sspId="8bc46713-8fa2-488a-ac8b-ad618560c9d6" ma:termSetId="289b5147-2861-4c9b-a085-9508b4767d5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421f60886e0447b9101ff5385eb5b37" ma:index="29" nillable="true" ma:taxonomy="true" ma:internalName="c421f60886e0447b9101ff5385eb5b37" ma:taxonomyFieldName="Content_x002d_Type" ma:displayName="Content Category" ma:readOnly="false" ma:default="" ma:fieldId="{c421f608-86e0-447b-9101-ff5385eb5b37}" ma:taxonomyMulti="true" ma:sspId="8bc46713-8fa2-488a-ac8b-ad618560c9d6" ma:termSetId="130ba214-dc76-49a1-afb3-688e3f61e56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rofile_x0020_Business_x0020_Group" ma:index="30" nillable="true" ma:displayName="Profile Business Group" ma:hidden="true" ma:internalName="Profile_x0020_Business_x0020_Group" ma:readOnly="false">
      <xsd:simpleType>
        <xsd:restriction base="dms:Text">
          <xsd:maxLength value="255"/>
        </xsd:restriction>
      </xsd:simpleType>
    </xsd:element>
    <xsd:element name="Metadata_x0020_Keywords" ma:index="31" nillable="true" ma:displayName="Metadata Keywords" ma:internalName="Metadata_x0020_Keyword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SharedContentType xmlns="Microsoft.SharePoint.Taxonomy.ContentTypeSync" SourceId="8bc46713-8fa2-488a-ac8b-ad618560c9d6" ContentTypeId="0x0101008C6BCE7103D4604D9D98C10C55408145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maphoreItemMetadata xmlns="213af126-92eb-4bb5-8bfd-1661103a2928" xsi:nil="true"/>
    <Profile_x0020_Function xmlns="213af126-92eb-4bb5-8bfd-1661103a2928" xsi:nil="true"/>
    <Co_x0020_Owner xmlns="213af126-92eb-4bb5-8bfd-1661103a2928">
      <UserInfo>
        <DisplayName/>
        <AccountId xsi:nil="true"/>
        <AccountType/>
      </UserInfo>
    </Co_x0020_Owner>
    <TaxCatchAll xmlns="213af126-92eb-4bb5-8bfd-1661103a2928"/>
    <Profile_x0020_Business_x0020_Group xmlns="213af126-92eb-4bb5-8bfd-1661103a2928" xsi:nil="true"/>
    <p0c7363ab63a4949aed13ac79818495c xmlns="213af126-92eb-4bb5-8bfd-1661103a2928">
      <Terms xmlns="http://schemas.microsoft.com/office/infopath/2007/PartnerControls"/>
    </p0c7363ab63a4949aed13ac79818495c>
    <c421f60886e0447b9101ff5385eb5b37 xmlns="213af126-92eb-4bb5-8bfd-1661103a2928">
      <Terms xmlns="http://schemas.microsoft.com/office/infopath/2007/PartnerControls"/>
    </c421f60886e0447b9101ff5385eb5b37>
    <k86b4a6c32f1452eb7140edb0c474059 xmlns="213af126-92eb-4bb5-8bfd-1661103a2928">
      <Terms xmlns="http://schemas.microsoft.com/office/infopath/2007/PartnerControls"/>
    </k86b4a6c32f1452eb7140edb0c474059>
    <d8eb0e4f3c9d44aea1b5242a98d3f8fa xmlns="213af126-92eb-4bb5-8bfd-1661103a2928">
      <Terms xmlns="http://schemas.microsoft.com/office/infopath/2007/PartnerControls"/>
    </d8eb0e4f3c9d44aea1b5242a98d3f8fa>
    <g2a44a71b8514fe4bf3d99cbf75c14b3 xmlns="213af126-92eb-4bb5-8bfd-1661103a2928">
      <Terms xmlns="http://schemas.microsoft.com/office/infopath/2007/PartnerControls"/>
    </g2a44a71b8514fe4bf3d99cbf75c14b3>
    <d9e9721bb8cb4a52ba21addbc0a89dfe xmlns="213af126-92eb-4bb5-8bfd-1661103a2928">
      <Terms xmlns="http://schemas.microsoft.com/office/infopath/2007/PartnerControls"/>
    </d9e9721bb8cb4a52ba21addbc0a89dfe>
    <ha3b8c373a584cb6a336cdaae858a674 xmlns="213af126-92eb-4bb5-8bfd-1661103a2928">
      <Terms xmlns="http://schemas.microsoft.com/office/infopath/2007/PartnerControls"/>
    </ha3b8c373a584cb6a336cdaae858a674>
    <Metadata_x0020_Keywords xmlns="213af126-92eb-4bb5-8bfd-1661103a2928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C71EF-F09A-4A6F-BEEA-4BA3B4F5CB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3af126-92eb-4bb5-8bfd-1661103a29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BE4D89-F53E-4DFC-9420-9B3B59492C4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F478A39-035F-45E5-9DC5-FD53CD36A4D7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2153B5A-48BF-43D3-9FBE-C8FAEC99333B}">
  <ds:schemaRefs>
    <ds:schemaRef ds:uri="http://purl.org/dc/dcmitype/"/>
    <ds:schemaRef ds:uri="213af126-92eb-4bb5-8bfd-1661103a2928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5.xml><?xml version="1.0" encoding="utf-8"?>
<ds:datastoreItem xmlns:ds="http://schemas.openxmlformats.org/officeDocument/2006/customXml" ds:itemID="{A020465B-4DE4-4A90-A0DD-BB5456A106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Yamazumi Data</vt:lpstr>
      <vt:lpstr>Yamazumi Chart</vt:lpstr>
      <vt:lpstr>Couleurs</vt:lpstr>
      <vt:lpstr>Test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Quality Tool</dc:subject>
  <dc:creator/>
  <cp:lastModifiedBy>Ben</cp:lastModifiedBy>
  <cp:revision/>
  <dcterms:created xsi:type="dcterms:W3CDTF">2006-09-16T00:00:00Z</dcterms:created>
  <dcterms:modified xsi:type="dcterms:W3CDTF">2020-03-31T19:40:56Z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DocumentId">
    <vt:lpwstr>0B4TeRwMAHoQxYjBiODQ5MDAtMTFmYi00MTQwLTk4ZjAtODExNmNhNTQzMTA2</vt:lpwstr>
  </property>
  <property fmtid="{D5CDD505-2E9C-101B-9397-08002B2CF9AE}" pid="3" name="Google.Documents.RevisionId">
    <vt:lpwstr>09023450198470164066</vt:lpwstr>
  </property>
  <property fmtid="{D5CDD505-2E9C-101B-9397-08002B2CF9AE}" pid="4" name="Google.Documents.PreviousRevisionId">
    <vt:lpwstr>04541952659065716502</vt:lpwstr>
  </property>
  <property fmtid="{D5CDD505-2E9C-101B-9397-08002B2CF9AE}" pid="5" name="Google.Documents.PluginVersion">
    <vt:lpwstr>2.0.2424.7283</vt:lpwstr>
  </property>
  <property fmtid="{D5CDD505-2E9C-101B-9397-08002B2CF9AE}" pid="6" name="Google.Documents.MergeIncapabilityFlags">
    <vt:i4>0</vt:i4>
  </property>
  <property fmtid="{D5CDD505-2E9C-101B-9397-08002B2CF9AE}" pid="7" name="Google.Documents.Tracking">
    <vt:lpwstr>true</vt:lpwstr>
  </property>
  <property fmtid="{D5CDD505-2E9C-101B-9397-08002B2CF9AE}" pid="8" name="ContentTypeId">
    <vt:lpwstr>0x0101008C6BCE7103D4604D9D98C10C55408145003C42AE351FA4FE44A1D0AEF1826D385E</vt:lpwstr>
  </property>
</Properties>
</file>