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8490" yWindow="1905" windowWidth="7170" windowHeight="8625" tabRatio="703" firstSheet="12" activeTab="12"/>
  </bookViews>
  <sheets>
    <sheet name="JANVIER 15" sheetId="36" state="hidden" r:id="rId1"/>
    <sheet name="FEVRIER 15" sheetId="37" state="hidden" r:id="rId2"/>
    <sheet name="MARS 15" sheetId="38" state="hidden" r:id="rId3"/>
    <sheet name="AVRIL 15" sheetId="39" state="hidden" r:id="rId4"/>
    <sheet name="MAI 15" sheetId="40" state="hidden" r:id="rId5"/>
    <sheet name="JUIN 15" sheetId="41" state="hidden" r:id="rId6"/>
    <sheet name="JUILLET 15" sheetId="42" state="hidden" r:id="rId7"/>
    <sheet name="AOUT 15" sheetId="43" state="hidden" r:id="rId8"/>
    <sheet name="SEPTEMBRE 15" sheetId="44" state="hidden" r:id="rId9"/>
    <sheet name="OCTOBRE 15" sheetId="45" state="hidden" r:id="rId10"/>
    <sheet name="NOVEMBRE 15" sheetId="46" state="hidden" r:id="rId11"/>
    <sheet name="DECEMBRE 15" sheetId="47" state="hidden" r:id="rId12"/>
    <sheet name="Menu" sheetId="89" r:id="rId13"/>
    <sheet name="JUILLET" sheetId="73" state="hidden" r:id="rId14"/>
    <sheet name="AOUT" sheetId="74" state="hidden" r:id="rId15"/>
    <sheet name="SEPT" sheetId="75" state="hidden" r:id="rId16"/>
    <sheet name="OCT 2015" sheetId="76" state="hidden" r:id="rId17"/>
    <sheet name="NOV 2015" sheetId="77" state="hidden" r:id="rId18"/>
    <sheet name="DEC 2015" sheetId="78" state="hidden" r:id="rId19"/>
    <sheet name="JANV 2016" sheetId="79" state="hidden" r:id="rId20"/>
    <sheet name="FEV 2016" sheetId="80" state="hidden" r:id="rId21"/>
    <sheet name="MARS 2016" sheetId="81" state="hidden" r:id="rId22"/>
    <sheet name="AVRIL 2016 " sheetId="82" state="hidden" r:id="rId23"/>
    <sheet name="MAI 2016" sheetId="87" state="hidden" r:id="rId24"/>
    <sheet name="JUIN 2016" sheetId="92" state="hidden" r:id="rId25"/>
    <sheet name="JUILLET 2016" sheetId="94" r:id="rId26"/>
  </sheets>
  <functionGroups builtInGroupCount="17"/>
  <definedNames>
    <definedName name="ListeMois">"Liste!A2:A25"</definedName>
    <definedName name="Mois">Menu!$C$2</definedName>
    <definedName name="_xlnm.Print_Area" localSheetId="1">'FEVRIER 15'!$A$1:$R$69</definedName>
    <definedName name="_xlnm.Print_Area" localSheetId="2">'MARS 15'!$A$1:$R$66</definedName>
  </definedNames>
  <calcPr calcId="145621"/>
</workbook>
</file>

<file path=xl/calcChain.xml><?xml version="1.0" encoding="utf-8"?>
<calcChain xmlns="http://schemas.openxmlformats.org/spreadsheetml/2006/main">
  <c r="L6" i="94" l="1"/>
  <c r="K6" i="94"/>
  <c r="J6" i="94"/>
  <c r="I6" i="94"/>
  <c r="H6" i="94"/>
  <c r="G6" i="94"/>
  <c r="F6" i="94"/>
  <c r="D6" i="94"/>
  <c r="D10" i="94" s="1"/>
  <c r="D17" i="94" s="1"/>
  <c r="C6" i="94"/>
  <c r="B6" i="94"/>
  <c r="J39" i="94"/>
  <c r="I39" i="94"/>
  <c r="G39" i="94"/>
  <c r="F39" i="94"/>
  <c r="L37" i="94"/>
  <c r="L39" i="94" s="1"/>
  <c r="C37" i="94"/>
  <c r="B37" i="94"/>
  <c r="M36" i="94"/>
  <c r="E36" i="94"/>
  <c r="E37" i="94" s="1"/>
  <c r="M33" i="94"/>
  <c r="K32" i="94"/>
  <c r="K34" i="94" s="1"/>
  <c r="K35" i="94" s="1"/>
  <c r="K37" i="94" s="1"/>
  <c r="K39" i="94" s="1"/>
  <c r="H32" i="94"/>
  <c r="H34" i="94" s="1"/>
  <c r="H35" i="94" s="1"/>
  <c r="E32" i="94"/>
  <c r="M30" i="94"/>
  <c r="E30" i="94"/>
  <c r="L29" i="94"/>
  <c r="L32" i="94" s="1"/>
  <c r="J29" i="94"/>
  <c r="I29" i="94"/>
  <c r="M29" i="94" s="1"/>
  <c r="M18" i="94"/>
  <c r="E18" i="94"/>
  <c r="H16" i="94"/>
  <c r="G16" i="94"/>
  <c r="F16" i="94"/>
  <c r="D16" i="94"/>
  <c r="C16" i="94"/>
  <c r="L15" i="94"/>
  <c r="L16" i="94" s="1"/>
  <c r="K15" i="94"/>
  <c r="K16" i="94" s="1"/>
  <c r="J15" i="94"/>
  <c r="J16" i="94" s="1"/>
  <c r="I15" i="94"/>
  <c r="I16" i="94" s="1"/>
  <c r="B15" i="94"/>
  <c r="B14" i="94"/>
  <c r="B13" i="94"/>
  <c r="B16" i="94" s="1"/>
  <c r="M12" i="94"/>
  <c r="E12" i="94"/>
  <c r="E16" i="94" s="1"/>
  <c r="L9" i="94"/>
  <c r="M9" i="94" s="1"/>
  <c r="K9" i="94"/>
  <c r="J9" i="94"/>
  <c r="I9" i="94"/>
  <c r="H9" i="94"/>
  <c r="G9" i="94"/>
  <c r="F9" i="94"/>
  <c r="D9" i="94"/>
  <c r="C9" i="94"/>
  <c r="B9" i="94"/>
  <c r="E9" i="94" s="1"/>
  <c r="D8" i="94"/>
  <c r="C8" i="94"/>
  <c r="M7" i="94"/>
  <c r="E7" i="94"/>
  <c r="L10" i="94"/>
  <c r="L17" i="94" s="1"/>
  <c r="K10" i="94"/>
  <c r="J10" i="94"/>
  <c r="J17" i="94" s="1"/>
  <c r="I10" i="94"/>
  <c r="H10" i="94"/>
  <c r="H17" i="94" s="1"/>
  <c r="G10" i="94"/>
  <c r="G17" i="94" s="1"/>
  <c r="F10" i="94"/>
  <c r="E6" i="94"/>
  <c r="E10" i="94" s="1"/>
  <c r="E17" i="94" s="1"/>
  <c r="C10" i="94"/>
  <c r="C17" i="94" s="1"/>
  <c r="B10" i="94"/>
  <c r="B17" i="94" s="1"/>
  <c r="B6" i="87"/>
  <c r="L39" i="92"/>
  <c r="J39" i="92"/>
  <c r="I39" i="92"/>
  <c r="G39" i="92"/>
  <c r="F39" i="92"/>
  <c r="L37" i="92"/>
  <c r="C37" i="92"/>
  <c r="B37" i="92"/>
  <c r="M36" i="92"/>
  <c r="E36" i="92"/>
  <c r="E37" i="92" s="1"/>
  <c r="M33" i="92"/>
  <c r="K32" i="92"/>
  <c r="K34" i="92" s="1"/>
  <c r="K35" i="92" s="1"/>
  <c r="K37" i="92" s="1"/>
  <c r="K39" i="92" s="1"/>
  <c r="H32" i="92"/>
  <c r="H34" i="92" s="1"/>
  <c r="H35" i="92" s="1"/>
  <c r="E32" i="92"/>
  <c r="M30" i="92"/>
  <c r="E30" i="92"/>
  <c r="L29" i="92"/>
  <c r="L32" i="92" s="1"/>
  <c r="J29" i="92"/>
  <c r="I29" i="92"/>
  <c r="M29" i="92" s="1"/>
  <c r="M18" i="92"/>
  <c r="E18" i="92"/>
  <c r="H16" i="92"/>
  <c r="G16" i="92"/>
  <c r="F16" i="92"/>
  <c r="D16" i="92"/>
  <c r="C16" i="92"/>
  <c r="L15" i="92"/>
  <c r="L16" i="92" s="1"/>
  <c r="K15" i="92"/>
  <c r="K16" i="92" s="1"/>
  <c r="J15" i="92"/>
  <c r="J16" i="92" s="1"/>
  <c r="I15" i="92"/>
  <c r="I16" i="92" s="1"/>
  <c r="B15" i="92"/>
  <c r="B14" i="92"/>
  <c r="B13" i="92"/>
  <c r="B16" i="92" s="1"/>
  <c r="M12" i="92"/>
  <c r="E12" i="92"/>
  <c r="E16" i="92" s="1"/>
  <c r="L9" i="92"/>
  <c r="M9" i="92" s="1"/>
  <c r="K9" i="92"/>
  <c r="J9" i="92"/>
  <c r="I9" i="92"/>
  <c r="H9" i="92"/>
  <c r="G9" i="92"/>
  <c r="F9" i="92"/>
  <c r="D9" i="92"/>
  <c r="C9" i="92"/>
  <c r="B9" i="92"/>
  <c r="E9" i="92" s="1"/>
  <c r="D8" i="92"/>
  <c r="C8" i="92"/>
  <c r="M7" i="92"/>
  <c r="E7" i="92"/>
  <c r="L6" i="92"/>
  <c r="L10" i="92" s="1"/>
  <c r="L17" i="92" s="1"/>
  <c r="K6" i="92"/>
  <c r="K10" i="92" s="1"/>
  <c r="J6" i="92"/>
  <c r="J10" i="92" s="1"/>
  <c r="J17" i="92" s="1"/>
  <c r="I6" i="92"/>
  <c r="I10" i="92" s="1"/>
  <c r="H6" i="92"/>
  <c r="H10" i="92" s="1"/>
  <c r="H17" i="92" s="1"/>
  <c r="G6" i="92"/>
  <c r="G10" i="92" s="1"/>
  <c r="G17" i="92" s="1"/>
  <c r="F6" i="92"/>
  <c r="F10" i="92" s="1"/>
  <c r="E6" i="92"/>
  <c r="E10" i="92" s="1"/>
  <c r="E17" i="92" s="1"/>
  <c r="D6" i="92"/>
  <c r="D10" i="92" s="1"/>
  <c r="D17" i="92" s="1"/>
  <c r="C6" i="92"/>
  <c r="C10" i="92" s="1"/>
  <c r="C17" i="92" s="1"/>
  <c r="B6" i="92"/>
  <c r="B10" i="92" s="1"/>
  <c r="B17" i="92" s="1"/>
  <c r="D23" i="94" l="1"/>
  <c r="D19" i="94"/>
  <c r="D25" i="94" s="1"/>
  <c r="J23" i="94"/>
  <c r="J19" i="94"/>
  <c r="J25" i="94" s="1"/>
  <c r="C23" i="94"/>
  <c r="C19" i="94"/>
  <c r="C25" i="94" s="1"/>
  <c r="E23" i="94"/>
  <c r="E19" i="94"/>
  <c r="G23" i="94"/>
  <c r="G19" i="94"/>
  <c r="G25" i="94" s="1"/>
  <c r="I17" i="94"/>
  <c r="K17" i="94"/>
  <c r="M16" i="94"/>
  <c r="H37" i="94"/>
  <c r="H39" i="94" s="1"/>
  <c r="M35" i="94"/>
  <c r="M37" i="94" s="1"/>
  <c r="B23" i="94"/>
  <c r="B19" i="94"/>
  <c r="B25" i="94" s="1"/>
  <c r="M10" i="94"/>
  <c r="F17" i="94"/>
  <c r="H23" i="94"/>
  <c r="H19" i="94"/>
  <c r="H25" i="94" s="1"/>
  <c r="L23" i="94"/>
  <c r="L19" i="94"/>
  <c r="L25" i="94" s="1"/>
  <c r="M15" i="94"/>
  <c r="B23" i="92"/>
  <c r="B19" i="92"/>
  <c r="B25" i="92" s="1"/>
  <c r="M10" i="92"/>
  <c r="F17" i="92"/>
  <c r="J23" i="92"/>
  <c r="J19" i="92"/>
  <c r="J25" i="92" s="1"/>
  <c r="D23" i="92"/>
  <c r="D19" i="92"/>
  <c r="D25" i="92" s="1"/>
  <c r="H23" i="92"/>
  <c r="H19" i="92"/>
  <c r="H25" i="92" s="1"/>
  <c r="L23" i="92"/>
  <c r="L19" i="92"/>
  <c r="L25" i="92" s="1"/>
  <c r="C23" i="92"/>
  <c r="C19" i="92"/>
  <c r="C25" i="92" s="1"/>
  <c r="E23" i="92"/>
  <c r="E19" i="92"/>
  <c r="G23" i="92"/>
  <c r="G19" i="92"/>
  <c r="G25" i="92" s="1"/>
  <c r="I17" i="92"/>
  <c r="K17" i="92"/>
  <c r="M16" i="92"/>
  <c r="H37" i="92"/>
  <c r="H39" i="92" s="1"/>
  <c r="M35" i="92"/>
  <c r="M37" i="92" s="1"/>
  <c r="M15" i="92"/>
  <c r="M17" i="94" l="1"/>
  <c r="F23" i="94"/>
  <c r="F19" i="94"/>
  <c r="F25" i="94" s="1"/>
  <c r="K23" i="94"/>
  <c r="K19" i="94"/>
  <c r="K25" i="94" s="1"/>
  <c r="E25" i="94"/>
  <c r="B21" i="94"/>
  <c r="M39" i="94"/>
  <c r="E39" i="94"/>
  <c r="I23" i="94"/>
  <c r="I19" i="94"/>
  <c r="I25" i="94" s="1"/>
  <c r="K23" i="92"/>
  <c r="K19" i="92"/>
  <c r="K25" i="92" s="1"/>
  <c r="E25" i="92"/>
  <c r="B21" i="92"/>
  <c r="M17" i="92"/>
  <c r="F23" i="92"/>
  <c r="F19" i="92"/>
  <c r="F25" i="92" s="1"/>
  <c r="M39" i="92"/>
  <c r="E39" i="92"/>
  <c r="I23" i="92"/>
  <c r="I19" i="92"/>
  <c r="I25" i="92" s="1"/>
  <c r="E6" i="87"/>
  <c r="E7" i="87"/>
  <c r="E39" i="87"/>
  <c r="M39" i="87"/>
  <c r="L39" i="87"/>
  <c r="K39" i="87"/>
  <c r="J39" i="87"/>
  <c r="I39" i="87"/>
  <c r="H39" i="87"/>
  <c r="G39" i="87"/>
  <c r="F39" i="87"/>
  <c r="M29" i="87"/>
  <c r="M30" i="87"/>
  <c r="M33" i="87"/>
  <c r="M35" i="87"/>
  <c r="M23" i="94" l="1"/>
  <c r="M19" i="94"/>
  <c r="M23" i="92"/>
  <c r="M19" i="92"/>
  <c r="M36" i="87"/>
  <c r="K34" i="87"/>
  <c r="K35" i="87"/>
  <c r="K37" i="87"/>
  <c r="L37" i="87"/>
  <c r="M25" i="94" l="1"/>
  <c r="F21" i="94"/>
  <c r="M25" i="92"/>
  <c r="F21" i="92"/>
  <c r="H35" i="87"/>
  <c r="D19" i="82" l="1"/>
  <c r="B17" i="82"/>
  <c r="J25" i="87"/>
  <c r="F25" i="87"/>
  <c r="E18" i="87" l="1"/>
  <c r="E16" i="87"/>
  <c r="E15" i="82"/>
  <c r="E12" i="82"/>
  <c r="B13" i="87"/>
  <c r="B16" i="87" s="1"/>
  <c r="M18" i="87" l="1"/>
  <c r="H34" i="87"/>
  <c r="K32" i="87"/>
  <c r="H37" i="87"/>
  <c r="B16" i="82"/>
  <c r="C16" i="82"/>
  <c r="C9" i="82"/>
  <c r="J19" i="82"/>
  <c r="M17" i="82"/>
  <c r="M19" i="82" s="1"/>
  <c r="F21" i="82" s="1"/>
  <c r="F19" i="82"/>
  <c r="G19" i="82"/>
  <c r="H19" i="82"/>
  <c r="I19" i="82"/>
  <c r="K19" i="82"/>
  <c r="L19" i="82"/>
  <c r="M18" i="82"/>
  <c r="E18" i="82"/>
  <c r="C37" i="82"/>
  <c r="B37" i="82"/>
  <c r="C10" i="82" l="1"/>
  <c r="C17" i="82" s="1"/>
  <c r="C19" i="82" s="1"/>
  <c r="E9" i="82"/>
  <c r="E10" i="82" s="1"/>
  <c r="E17" i="82"/>
  <c r="B19" i="82"/>
  <c r="E19" i="82" l="1"/>
  <c r="B21" i="82" s="1"/>
  <c r="E30" i="87"/>
  <c r="E36" i="87"/>
  <c r="E37" i="87" s="1"/>
  <c r="C37" i="87"/>
  <c r="B37" i="87"/>
  <c r="D23" i="82" l="1"/>
  <c r="C25" i="82"/>
  <c r="B25" i="82"/>
  <c r="F17" i="82"/>
  <c r="B23" i="82" l="1"/>
  <c r="C23" i="82"/>
  <c r="B39" i="82"/>
  <c r="E23" i="82" l="1"/>
  <c r="E25" i="82" l="1"/>
  <c r="B9" i="87"/>
  <c r="C8" i="87" l="1"/>
  <c r="D8" i="87"/>
  <c r="B15" i="87"/>
  <c r="M7" i="87" l="1"/>
  <c r="B14" i="87"/>
  <c r="M12" i="87" l="1"/>
  <c r="E12" i="87"/>
  <c r="L15" i="87" l="1"/>
  <c r="J15" i="87"/>
  <c r="K15" i="87"/>
  <c r="I15" i="87"/>
  <c r="M37" i="87" l="1"/>
  <c r="I29" i="87" l="1"/>
  <c r="J29" i="87"/>
  <c r="L29" i="87"/>
  <c r="F6" i="87"/>
  <c r="C6" i="87"/>
  <c r="D6" i="87"/>
  <c r="G6" i="87"/>
  <c r="H6" i="87"/>
  <c r="I6" i="87"/>
  <c r="J6" i="87"/>
  <c r="K6" i="87"/>
  <c r="L6" i="87"/>
  <c r="B10" i="87"/>
  <c r="B17" i="87" s="1"/>
  <c r="L32" i="87"/>
  <c r="H32" i="87"/>
  <c r="E32" i="87"/>
  <c r="L16" i="87"/>
  <c r="K16" i="87"/>
  <c r="F16" i="87"/>
  <c r="D16" i="87"/>
  <c r="C16" i="87"/>
  <c r="J16" i="87"/>
  <c r="I16" i="87"/>
  <c r="H16" i="87"/>
  <c r="G16" i="87"/>
  <c r="L9" i="87"/>
  <c r="L10" i="87" s="1"/>
  <c r="L17" i="87" s="1"/>
  <c r="K9" i="87"/>
  <c r="K10" i="87" s="1"/>
  <c r="K17" i="87" s="1"/>
  <c r="K23" i="87" s="1"/>
  <c r="J9" i="87"/>
  <c r="J10" i="87" s="1"/>
  <c r="J17" i="87" s="1"/>
  <c r="I9" i="87"/>
  <c r="I10" i="87" s="1"/>
  <c r="H9" i="87"/>
  <c r="H10" i="87" s="1"/>
  <c r="G9" i="87"/>
  <c r="G10" i="87" s="1"/>
  <c r="F9" i="87"/>
  <c r="F10" i="87" s="1"/>
  <c r="D9" i="87"/>
  <c r="D10" i="87" s="1"/>
  <c r="D17" i="87" s="1"/>
  <c r="D19" i="87" s="1"/>
  <c r="D25" i="87" s="1"/>
  <c r="C9" i="87"/>
  <c r="E9" i="87" s="1"/>
  <c r="E10" i="87" s="1"/>
  <c r="B19" i="87" l="1"/>
  <c r="B25" i="87" s="1"/>
  <c r="B23" i="87"/>
  <c r="E17" i="87"/>
  <c r="E19" i="87" s="1"/>
  <c r="L23" i="87"/>
  <c r="L19" i="87"/>
  <c r="L25" i="87" s="1"/>
  <c r="H17" i="87"/>
  <c r="H19" i="87" s="1"/>
  <c r="H25" i="87" s="1"/>
  <c r="D23" i="87"/>
  <c r="C10" i="87"/>
  <c r="C17" i="87" s="1"/>
  <c r="C19" i="87" s="1"/>
  <c r="C25" i="87" s="1"/>
  <c r="F17" i="87"/>
  <c r="F23" i="87" s="1"/>
  <c r="M10" i="87"/>
  <c r="J19" i="87"/>
  <c r="G17" i="87"/>
  <c r="I17" i="87"/>
  <c r="K19" i="87"/>
  <c r="K25" i="87" s="1"/>
  <c r="M16" i="87"/>
  <c r="M9" i="87"/>
  <c r="M15" i="87"/>
  <c r="E8" i="82"/>
  <c r="F23" i="82"/>
  <c r="G23" i="82"/>
  <c r="H23" i="82"/>
  <c r="K23" i="82"/>
  <c r="L23" i="82"/>
  <c r="E25" i="87" l="1"/>
  <c r="B21" i="87"/>
  <c r="H23" i="87"/>
  <c r="G23" i="87"/>
  <c r="M17" i="87"/>
  <c r="M19" i="87" s="1"/>
  <c r="E23" i="87"/>
  <c r="C23" i="87"/>
  <c r="G19" i="87"/>
  <c r="G25" i="87" s="1"/>
  <c r="I19" i="87"/>
  <c r="I25" i="87" s="1"/>
  <c r="F19" i="87"/>
  <c r="M25" i="87" l="1"/>
  <c r="F21" i="87"/>
  <c r="J34" i="82"/>
  <c r="I34" i="82"/>
  <c r="L32" i="82" l="1"/>
  <c r="L34" i="82" s="1"/>
  <c r="L37" i="82" s="1"/>
  <c r="H32" i="82"/>
  <c r="H34" i="82" s="1"/>
  <c r="H37" i="82" s="1"/>
  <c r="B14" i="82"/>
  <c r="J15" i="82" l="1"/>
  <c r="I15" i="82"/>
  <c r="H15" i="82"/>
  <c r="G15" i="82"/>
  <c r="B15" i="82"/>
  <c r="K29" i="82"/>
  <c r="K32" i="82" s="1"/>
  <c r="K34" i="82" s="1"/>
  <c r="L9" i="82" l="1"/>
  <c r="D8" i="82"/>
  <c r="C8" i="82"/>
  <c r="B8" i="82"/>
  <c r="B9" i="81"/>
  <c r="B9" i="82" l="1"/>
  <c r="B10" i="82" s="1"/>
  <c r="M8" i="82"/>
  <c r="E7" i="82"/>
  <c r="M36" i="82"/>
  <c r="E39" i="82" s="1"/>
  <c r="E36" i="82"/>
  <c r="E37" i="82" s="1"/>
  <c r="E32" i="82"/>
  <c r="E30" i="82"/>
  <c r="K16" i="82"/>
  <c r="I16" i="82"/>
  <c r="G16" i="82"/>
  <c r="F16" i="82"/>
  <c r="D16" i="82"/>
  <c r="L16" i="82"/>
  <c r="J16" i="82"/>
  <c r="M15" i="82"/>
  <c r="L10" i="82"/>
  <c r="K9" i="82"/>
  <c r="K10" i="82" s="1"/>
  <c r="J9" i="82"/>
  <c r="J10" i="82" s="1"/>
  <c r="I9" i="82"/>
  <c r="I10" i="82" s="1"/>
  <c r="H9" i="82"/>
  <c r="H10" i="82" s="1"/>
  <c r="G9" i="82"/>
  <c r="G10" i="82" s="1"/>
  <c r="G17" i="82" s="1"/>
  <c r="F9" i="82"/>
  <c r="F10" i="82" s="1"/>
  <c r="D9" i="82"/>
  <c r="D10" i="82" s="1"/>
  <c r="J23" i="87" l="1"/>
  <c r="J23" i="82"/>
  <c r="I23" i="82"/>
  <c r="I23" i="87"/>
  <c r="D17" i="82"/>
  <c r="L17" i="82"/>
  <c r="E16" i="82"/>
  <c r="K17" i="82"/>
  <c r="M10" i="82"/>
  <c r="J25" i="82"/>
  <c r="L25" i="82"/>
  <c r="D25" i="82"/>
  <c r="G25" i="82"/>
  <c r="I25" i="82"/>
  <c r="K25" i="82"/>
  <c r="M7" i="82"/>
  <c r="M9" i="82"/>
  <c r="H16" i="82"/>
  <c r="M16" i="82" s="1"/>
  <c r="D8" i="81"/>
  <c r="E8" i="81"/>
  <c r="H17" i="82" l="1"/>
  <c r="F25" i="82"/>
  <c r="C9" i="81"/>
  <c r="B14" i="81"/>
  <c r="B15" i="81"/>
  <c r="M23" i="82" l="1"/>
  <c r="M23" i="87"/>
  <c r="H25" i="82"/>
  <c r="E16" i="81"/>
  <c r="M16" i="81"/>
  <c r="L16" i="81"/>
  <c r="J16" i="81"/>
  <c r="H16" i="81"/>
  <c r="B16" i="81"/>
  <c r="M25" i="82" l="1"/>
  <c r="E9" i="81"/>
  <c r="M7" i="81"/>
  <c r="L36" i="81" l="1"/>
  <c r="C36" i="81"/>
  <c r="B36" i="81"/>
  <c r="M35" i="81"/>
  <c r="E38" i="81" s="1"/>
  <c r="E35" i="81"/>
  <c r="E36" i="81" s="1"/>
  <c r="K34" i="81"/>
  <c r="K36" i="81" s="1"/>
  <c r="H36" i="81"/>
  <c r="E32" i="81"/>
  <c r="E31" i="81"/>
  <c r="M19" i="81"/>
  <c r="E19" i="81"/>
  <c r="L17" i="81"/>
  <c r="D17" i="81"/>
  <c r="K17" i="81"/>
  <c r="J17" i="81"/>
  <c r="I17" i="81"/>
  <c r="H17" i="81"/>
  <c r="G17" i="81"/>
  <c r="F17" i="81"/>
  <c r="C17" i="81"/>
  <c r="B17" i="81"/>
  <c r="E13" i="81"/>
  <c r="E17" i="81" s="1"/>
  <c r="L10" i="81"/>
  <c r="L11" i="81" s="1"/>
  <c r="D10" i="81"/>
  <c r="D11" i="81" s="1"/>
  <c r="K10" i="81"/>
  <c r="K11" i="81" s="1"/>
  <c r="J10" i="81"/>
  <c r="J11" i="81" s="1"/>
  <c r="I10" i="81"/>
  <c r="I11" i="81" s="1"/>
  <c r="H10" i="81"/>
  <c r="H11" i="81" s="1"/>
  <c r="G10" i="81"/>
  <c r="G11" i="81" s="1"/>
  <c r="F10" i="81"/>
  <c r="F11" i="81" s="1"/>
  <c r="C10" i="81"/>
  <c r="C11" i="81" s="1"/>
  <c r="B10" i="81"/>
  <c r="B11" i="81" s="1"/>
  <c r="M9" i="81"/>
  <c r="M8" i="81"/>
  <c r="E7" i="81"/>
  <c r="C18" i="81" l="1"/>
  <c r="L18" i="81"/>
  <c r="D18" i="81"/>
  <c r="D20" i="81" s="1"/>
  <c r="D26" i="81" s="1"/>
  <c r="K18" i="81"/>
  <c r="K20" i="81" s="1"/>
  <c r="K26" i="81" s="1"/>
  <c r="J18" i="81"/>
  <c r="I18" i="81"/>
  <c r="I20" i="81" s="1"/>
  <c r="I26" i="81" s="1"/>
  <c r="H18" i="81"/>
  <c r="H24" i="81" s="1"/>
  <c r="G18" i="81"/>
  <c r="M17" i="81"/>
  <c r="L20" i="81"/>
  <c r="L26" i="81" s="1"/>
  <c r="L24" i="81"/>
  <c r="D24" i="81"/>
  <c r="K24" i="81"/>
  <c r="J20" i="81"/>
  <c r="J26" i="81" s="1"/>
  <c r="J24" i="81"/>
  <c r="I24" i="81"/>
  <c r="H20" i="81"/>
  <c r="H26" i="81" s="1"/>
  <c r="G20" i="81"/>
  <c r="G26" i="81" s="1"/>
  <c r="G24" i="81"/>
  <c r="C20" i="81"/>
  <c r="C26" i="81" s="1"/>
  <c r="C24" i="81"/>
  <c r="B18" i="81"/>
  <c r="B24" i="81" s="1"/>
  <c r="F18" i="81"/>
  <c r="F24" i="81" s="1"/>
  <c r="M11" i="81"/>
  <c r="E10" i="81"/>
  <c r="E11" i="81" s="1"/>
  <c r="M10" i="81"/>
  <c r="C24" i="80"/>
  <c r="D24" i="80"/>
  <c r="E24" i="80"/>
  <c r="F24" i="80"/>
  <c r="G24" i="80"/>
  <c r="H24" i="80"/>
  <c r="I24" i="80"/>
  <c r="J24" i="80"/>
  <c r="K24" i="80"/>
  <c r="L24" i="80"/>
  <c r="M24" i="80"/>
  <c r="E26" i="79"/>
  <c r="F26" i="79"/>
  <c r="G26" i="79"/>
  <c r="H26" i="79"/>
  <c r="I26" i="79"/>
  <c r="J26" i="79"/>
  <c r="K26" i="79"/>
  <c r="L26" i="79"/>
  <c r="M26" i="79"/>
  <c r="C26" i="79"/>
  <c r="D26" i="79"/>
  <c r="B26" i="79"/>
  <c r="B20" i="81" l="1"/>
  <c r="B26" i="81" s="1"/>
  <c r="E18" i="81"/>
  <c r="F20" i="81"/>
  <c r="F26" i="81" s="1"/>
  <c r="M18" i="81"/>
  <c r="B24" i="80"/>
  <c r="M20" i="81" l="1"/>
  <c r="F22" i="81" s="1"/>
  <c r="M24" i="81"/>
  <c r="E20" i="81"/>
  <c r="B22" i="81" s="1"/>
  <c r="E24" i="81"/>
  <c r="M20" i="80"/>
  <c r="M19" i="80"/>
  <c r="M18" i="80"/>
  <c r="F26" i="80"/>
  <c r="G26" i="80"/>
  <c r="H26" i="80"/>
  <c r="I26" i="80"/>
  <c r="J26" i="80"/>
  <c r="K26" i="80"/>
  <c r="L26" i="80"/>
  <c r="E26" i="80"/>
  <c r="E26" i="81" l="1"/>
  <c r="M26" i="81"/>
  <c r="J34" i="80"/>
  <c r="G34" i="80"/>
  <c r="G36" i="80" s="1"/>
  <c r="B36" i="80"/>
  <c r="L17" i="80"/>
  <c r="K17" i="80"/>
  <c r="J17" i="80"/>
  <c r="I17" i="80"/>
  <c r="H17" i="80"/>
  <c r="G17" i="80"/>
  <c r="F17" i="80"/>
  <c r="E17" i="80"/>
  <c r="M17" i="80" l="1"/>
  <c r="D13" i="80"/>
  <c r="M9" i="80"/>
  <c r="B15" i="80" l="1"/>
  <c r="M8" i="80" l="1"/>
  <c r="D8" i="80"/>
  <c r="C17" i="80"/>
  <c r="C10" i="80"/>
  <c r="C11" i="80" s="1"/>
  <c r="B10" i="80"/>
  <c r="C18" i="80" l="1"/>
  <c r="C20" i="80" s="1"/>
  <c r="D19" i="80"/>
  <c r="B14" i="80" l="1"/>
  <c r="E10" i="80" l="1"/>
  <c r="E11" i="80" s="1"/>
  <c r="L10" i="80"/>
  <c r="L11" i="80" s="1"/>
  <c r="K10" i="80"/>
  <c r="K11" i="80" s="1"/>
  <c r="J10" i="80"/>
  <c r="J11" i="80" s="1"/>
  <c r="I10" i="80"/>
  <c r="I11" i="80" s="1"/>
  <c r="H10" i="80"/>
  <c r="H11" i="80" s="1"/>
  <c r="G10" i="80"/>
  <c r="G11" i="80" s="1"/>
  <c r="F10" i="80"/>
  <c r="F11" i="80" s="1"/>
  <c r="D10" i="80"/>
  <c r="B11" i="80"/>
  <c r="D9" i="80"/>
  <c r="C9" i="80"/>
  <c r="M10" i="80" l="1"/>
  <c r="M11" i="80"/>
  <c r="D7" i="80" l="1"/>
  <c r="D11" i="80" s="1"/>
  <c r="M7" i="80"/>
  <c r="C36" i="80"/>
  <c r="M35" i="80"/>
  <c r="D35" i="80"/>
  <c r="D36" i="80" s="1"/>
  <c r="L36" i="80"/>
  <c r="J36" i="80"/>
  <c r="D32" i="80"/>
  <c r="D31" i="80"/>
  <c r="B17" i="80"/>
  <c r="B18" i="80" s="1"/>
  <c r="B20" i="80" s="1"/>
  <c r="D17" i="80"/>
  <c r="L18" i="80"/>
  <c r="J18" i="80"/>
  <c r="I18" i="80"/>
  <c r="H18" i="80"/>
  <c r="G18" i="80"/>
  <c r="F18" i="80"/>
  <c r="E18" i="80"/>
  <c r="K18" i="80" l="1"/>
  <c r="K20" i="80" s="1"/>
  <c r="C26" i="80"/>
  <c r="F20" i="80"/>
  <c r="H20" i="80"/>
  <c r="J20" i="80"/>
  <c r="L20" i="80"/>
  <c r="E38" i="80"/>
  <c r="B26" i="80"/>
  <c r="D18" i="80"/>
  <c r="E20" i="80"/>
  <c r="M26" i="80"/>
  <c r="G20" i="80"/>
  <c r="I20" i="80"/>
  <c r="C19" i="79"/>
  <c r="C20" i="79" s="1"/>
  <c r="C22" i="79" s="1"/>
  <c r="B20" i="79"/>
  <c r="D20" i="80" l="1"/>
  <c r="M30" i="79"/>
  <c r="D38" i="79"/>
  <c r="C42" i="79"/>
  <c r="B42" i="79"/>
  <c r="D40" i="79"/>
  <c r="D37" i="79"/>
  <c r="M41" i="79"/>
  <c r="E22" i="80" l="1"/>
  <c r="D26" i="80"/>
  <c r="B22" i="80"/>
  <c r="L40" i="79"/>
  <c r="L42" i="79" s="1"/>
  <c r="L38" i="79"/>
  <c r="J38" i="79"/>
  <c r="J40" i="79" s="1"/>
  <c r="J42" i="79" s="1"/>
  <c r="G40" i="79" l="1"/>
  <c r="M40" i="79" s="1"/>
  <c r="E44" i="79" s="1"/>
  <c r="G38" i="79"/>
  <c r="D12" i="79" l="1"/>
  <c r="B13" i="79"/>
  <c r="B22" i="79" s="1"/>
  <c r="C13" i="79"/>
  <c r="D7" i="79" l="1"/>
  <c r="B17" i="79"/>
  <c r="K20" i="79" l="1"/>
  <c r="K22" i="79"/>
  <c r="K13" i="79"/>
  <c r="K19" i="79"/>
  <c r="M15" i="79" l="1"/>
  <c r="L13" i="79"/>
  <c r="J13" i="79"/>
  <c r="I13" i="79"/>
  <c r="H13" i="79"/>
  <c r="G13" i="79"/>
  <c r="F13" i="79"/>
  <c r="E13" i="79"/>
  <c r="M12" i="79"/>
  <c r="M13" i="79" s="1"/>
  <c r="M7" i="79"/>
  <c r="M8" i="79"/>
  <c r="D41" i="79"/>
  <c r="M21" i="79"/>
  <c r="D21" i="79"/>
  <c r="L19" i="79"/>
  <c r="J19" i="79"/>
  <c r="I19" i="79"/>
  <c r="H19" i="79"/>
  <c r="G19" i="79"/>
  <c r="F19" i="79"/>
  <c r="E19" i="79"/>
  <c r="B19" i="79"/>
  <c r="M19" i="79"/>
  <c r="D15" i="79"/>
  <c r="I20" i="79"/>
  <c r="G20" i="79"/>
  <c r="E20" i="79"/>
  <c r="M11" i="79"/>
  <c r="D11" i="79"/>
  <c r="M10" i="79"/>
  <c r="D10" i="79"/>
  <c r="M9" i="79"/>
  <c r="D9" i="79"/>
  <c r="D8" i="79"/>
  <c r="D13" i="79" s="1"/>
  <c r="D20" i="79" l="1"/>
  <c r="D22" i="79" s="1"/>
  <c r="B24" i="79" s="1"/>
  <c r="D42" i="79"/>
  <c r="B44" i="79" s="1"/>
  <c r="L20" i="79"/>
  <c r="J20" i="79"/>
  <c r="H20" i="79"/>
  <c r="F20" i="79"/>
  <c r="B28" i="79"/>
  <c r="E22" i="79"/>
  <c r="E28" i="79" s="1"/>
  <c r="I22" i="79"/>
  <c r="I28" i="79" s="1"/>
  <c r="K28" i="79"/>
  <c r="J22" i="79"/>
  <c r="J28" i="79" s="1"/>
  <c r="C28" i="79"/>
  <c r="G22" i="79"/>
  <c r="G28" i="79" s="1"/>
  <c r="D17" i="79"/>
  <c r="D19" i="79" s="1"/>
  <c r="E38" i="78"/>
  <c r="M35" i="78"/>
  <c r="M34" i="78"/>
  <c r="L36" i="78"/>
  <c r="J34" i="78"/>
  <c r="L22" i="79" l="1"/>
  <c r="L28" i="79"/>
  <c r="H22" i="79"/>
  <c r="H28" i="79" s="1"/>
  <c r="M20" i="79"/>
  <c r="F22" i="79"/>
  <c r="F28" i="79" s="1"/>
  <c r="B16" i="78"/>
  <c r="F22" i="78"/>
  <c r="F20" i="78"/>
  <c r="L22" i="78"/>
  <c r="C20" i="78"/>
  <c r="E20" i="78"/>
  <c r="G20" i="78"/>
  <c r="H20" i="78"/>
  <c r="J20" i="78"/>
  <c r="K20" i="78"/>
  <c r="G22" i="78"/>
  <c r="D21" i="78"/>
  <c r="M22" i="79" l="1"/>
  <c r="E24" i="79" s="1"/>
  <c r="D28" i="79"/>
  <c r="M28" i="79"/>
  <c r="B17" i="78"/>
  <c r="M15" i="78"/>
  <c r="M13" i="78"/>
  <c r="M12" i="78"/>
  <c r="M8" i="78"/>
  <c r="L13" i="78"/>
  <c r="H13" i="78"/>
  <c r="F13" i="78"/>
  <c r="E13" i="78"/>
  <c r="B13" i="78"/>
  <c r="C13" i="78"/>
  <c r="D13" i="78"/>
  <c r="D8" i="78"/>
  <c r="D15" i="78"/>
  <c r="M7" i="78" l="1"/>
  <c r="D7" i="78"/>
  <c r="Q36" i="78" l="1"/>
  <c r="Q35" i="78"/>
  <c r="Q34" i="78"/>
  <c r="J36" i="78"/>
  <c r="D35" i="78"/>
  <c r="D34" i="78"/>
  <c r="B36" i="78"/>
  <c r="C36" i="78"/>
  <c r="M21" i="78"/>
  <c r="M19" i="78"/>
  <c r="L19" i="78"/>
  <c r="L20" i="78" s="1"/>
  <c r="K19" i="78"/>
  <c r="J19" i="78"/>
  <c r="I19" i="78"/>
  <c r="I20" i="78" s="1"/>
  <c r="H19" i="78"/>
  <c r="G19" i="78"/>
  <c r="F19" i="78"/>
  <c r="B19" i="78"/>
  <c r="B20" i="78" s="1"/>
  <c r="C19" i="78"/>
  <c r="E19" i="78"/>
  <c r="K13" i="78"/>
  <c r="J13" i="78"/>
  <c r="I13" i="78"/>
  <c r="G13" i="78"/>
  <c r="D17" i="78"/>
  <c r="D19" i="78" s="1"/>
  <c r="M11" i="78"/>
  <c r="D11" i="78"/>
  <c r="M10" i="78"/>
  <c r="D10" i="78"/>
  <c r="M9" i="78"/>
  <c r="D9" i="78"/>
  <c r="D36" i="78" l="1"/>
  <c r="B38" i="78" s="1"/>
  <c r="K26" i="78"/>
  <c r="K29" i="78" s="1"/>
  <c r="C26" i="78"/>
  <c r="C29" i="78" s="1"/>
  <c r="C22" i="78"/>
  <c r="C28" i="78" s="1"/>
  <c r="F26" i="78"/>
  <c r="F29" i="78" s="1"/>
  <c r="F28" i="78"/>
  <c r="H26" i="78"/>
  <c r="H29" i="78" s="1"/>
  <c r="H22" i="78"/>
  <c r="H28" i="78" s="1"/>
  <c r="J26" i="78"/>
  <c r="J29" i="78" s="1"/>
  <c r="J22" i="78"/>
  <c r="J28" i="78" s="1"/>
  <c r="L26" i="78"/>
  <c r="L29" i="78" s="1"/>
  <c r="L28" i="78"/>
  <c r="D20" i="78"/>
  <c r="B26" i="78"/>
  <c r="B29" i="78" s="1"/>
  <c r="B22" i="78"/>
  <c r="B28" i="78" s="1"/>
  <c r="M20" i="78"/>
  <c r="E26" i="78"/>
  <c r="E29" i="78" s="1"/>
  <c r="E22" i="78"/>
  <c r="E28" i="78" s="1"/>
  <c r="G26" i="78"/>
  <c r="G29" i="78" s="1"/>
  <c r="G28" i="78"/>
  <c r="I26" i="78"/>
  <c r="I29" i="78" s="1"/>
  <c r="I22" i="78"/>
  <c r="I28" i="78" s="1"/>
  <c r="K22" i="78"/>
  <c r="K28" i="78" s="1"/>
  <c r="D21" i="77"/>
  <c r="D19" i="77"/>
  <c r="E20" i="77"/>
  <c r="B20" i="77"/>
  <c r="B22" i="77" s="1"/>
  <c r="C20" i="77"/>
  <c r="C22" i="77" s="1"/>
  <c r="B20" i="76"/>
  <c r="D26" i="78" l="1"/>
  <c r="D29" i="78" s="1"/>
  <c r="D22" i="78"/>
  <c r="M26" i="78"/>
  <c r="M29" i="78" s="1"/>
  <c r="M22" i="78"/>
  <c r="D20" i="77"/>
  <c r="D22" i="77" s="1"/>
  <c r="B24" i="77" s="1"/>
  <c r="M35" i="77"/>
  <c r="L34" i="77"/>
  <c r="L36" i="77" s="1"/>
  <c r="J34" i="77"/>
  <c r="J36" i="77" s="1"/>
  <c r="G34" i="77"/>
  <c r="M34" i="77" s="1"/>
  <c r="E38" i="77" s="1"/>
  <c r="Q36" i="77"/>
  <c r="Q35" i="77"/>
  <c r="Q34" i="77"/>
  <c r="D35" i="77"/>
  <c r="D34" i="77"/>
  <c r="C36" i="77"/>
  <c r="B36" i="77"/>
  <c r="B19" i="77"/>
  <c r="B13" i="77"/>
  <c r="M21" i="77"/>
  <c r="M18" i="77"/>
  <c r="M15" i="77"/>
  <c r="M19" i="77" s="1"/>
  <c r="M12" i="77"/>
  <c r="M8" i="77"/>
  <c r="M7" i="77"/>
  <c r="B13" i="75"/>
  <c r="B19" i="75"/>
  <c r="B20" i="75" s="1"/>
  <c r="C19" i="77"/>
  <c r="F19" i="77"/>
  <c r="E19" i="77"/>
  <c r="L22" i="77"/>
  <c r="J20" i="77"/>
  <c r="K20" i="77"/>
  <c r="K22" i="77" s="1"/>
  <c r="J22" i="77"/>
  <c r="H22" i="77"/>
  <c r="I22" i="77"/>
  <c r="G19" i="77"/>
  <c r="E13" i="77"/>
  <c r="M13" i="77" s="1"/>
  <c r="F13" i="77"/>
  <c r="G13" i="77"/>
  <c r="G20" i="77" s="1"/>
  <c r="D15" i="77"/>
  <c r="D12" i="77"/>
  <c r="D8" i="77"/>
  <c r="D7" i="77"/>
  <c r="D13" i="77" s="1"/>
  <c r="C13" i="77"/>
  <c r="D36" i="77"/>
  <c r="B38" i="77" s="1"/>
  <c r="L19" i="77"/>
  <c r="K19" i="77"/>
  <c r="J19" i="77"/>
  <c r="I19" i="77"/>
  <c r="H19" i="77"/>
  <c r="D18" i="77"/>
  <c r="D17" i="77"/>
  <c r="D16" i="77"/>
  <c r="L13" i="77"/>
  <c r="L20" i="77" s="1"/>
  <c r="K13" i="77"/>
  <c r="J13" i="77"/>
  <c r="I13" i="77"/>
  <c r="I20" i="77" s="1"/>
  <c r="H13" i="77"/>
  <c r="H20" i="77" s="1"/>
  <c r="F20" i="77"/>
  <c r="M11" i="77"/>
  <c r="D11" i="77"/>
  <c r="M10" i="77"/>
  <c r="D10" i="77"/>
  <c r="M9" i="77"/>
  <c r="D9" i="77"/>
  <c r="M28" i="78" l="1"/>
  <c r="E24" i="78"/>
  <c r="D28" i="78"/>
  <c r="B24" i="78"/>
  <c r="M20" i="77"/>
  <c r="M22" i="77" s="1"/>
  <c r="E24" i="77" s="1"/>
  <c r="G22" i="77"/>
  <c r="G36" i="77"/>
  <c r="E22" i="77"/>
  <c r="E28" i="77" s="1"/>
  <c r="E26" i="77"/>
  <c r="E29" i="77" s="1"/>
  <c r="G26" i="77"/>
  <c r="G29" i="77" s="1"/>
  <c r="G28" i="77"/>
  <c r="I26" i="77"/>
  <c r="I29" i="77" s="1"/>
  <c r="I28" i="77"/>
  <c r="K26" i="77"/>
  <c r="K29" i="77" s="1"/>
  <c r="K28" i="77"/>
  <c r="B26" i="77"/>
  <c r="B29" i="77" s="1"/>
  <c r="B28" i="77"/>
  <c r="F22" i="77"/>
  <c r="F28" i="77" s="1"/>
  <c r="F26" i="77"/>
  <c r="F29" i="77" s="1"/>
  <c r="H26" i="77"/>
  <c r="H29" i="77" s="1"/>
  <c r="H28" i="77"/>
  <c r="J26" i="77"/>
  <c r="J29" i="77" s="1"/>
  <c r="J28" i="77"/>
  <c r="L26" i="77"/>
  <c r="L29" i="77" s="1"/>
  <c r="L28" i="77"/>
  <c r="C28" i="77"/>
  <c r="C26" i="77"/>
  <c r="C29" i="77" s="1"/>
  <c r="D22" i="76"/>
  <c r="B24" i="76" s="1"/>
  <c r="B22" i="76"/>
  <c r="C22" i="76"/>
  <c r="B13" i="76"/>
  <c r="D26" i="77" l="1"/>
  <c r="D29" i="77" s="1"/>
  <c r="M26" i="77"/>
  <c r="M29" i="77" s="1"/>
  <c r="D34" i="76"/>
  <c r="D21" i="76"/>
  <c r="E22" i="76"/>
  <c r="B19" i="76"/>
  <c r="G13" i="76"/>
  <c r="G20" i="76" s="1"/>
  <c r="G22" i="76" s="1"/>
  <c r="G8" i="76"/>
  <c r="K8" i="76"/>
  <c r="K12" i="76" s="1"/>
  <c r="K13" i="76" s="1"/>
  <c r="K20" i="76" s="1"/>
  <c r="K22" i="76" s="1"/>
  <c r="L19" i="76"/>
  <c r="L13" i="76"/>
  <c r="L20" i="76" s="1"/>
  <c r="L22" i="76" s="1"/>
  <c r="J22" i="76"/>
  <c r="I22" i="76"/>
  <c r="H22" i="76"/>
  <c r="G19" i="76"/>
  <c r="E19" i="76"/>
  <c r="F19" i="76"/>
  <c r="H19" i="76"/>
  <c r="I19" i="76"/>
  <c r="J19" i="76"/>
  <c r="M35" i="76"/>
  <c r="L36" i="76"/>
  <c r="J36" i="76"/>
  <c r="G34" i="76"/>
  <c r="G36" i="76" s="1"/>
  <c r="Q36" i="76"/>
  <c r="Q35" i="76"/>
  <c r="Q34" i="76"/>
  <c r="D35" i="76"/>
  <c r="D36" i="76" s="1"/>
  <c r="B38" i="76" s="1"/>
  <c r="C36" i="76"/>
  <c r="C13" i="76"/>
  <c r="C19" i="76"/>
  <c r="C20" i="76" s="1"/>
  <c r="C28" i="76" s="1"/>
  <c r="M21" i="76"/>
  <c r="M28" i="77" l="1"/>
  <c r="D28" i="77"/>
  <c r="D20" i="76"/>
  <c r="B28" i="76"/>
  <c r="M34" i="76"/>
  <c r="E38" i="76" s="1"/>
  <c r="D15" i="76" l="1"/>
  <c r="D19" i="76" s="1"/>
  <c r="D18" i="76"/>
  <c r="D17" i="76"/>
  <c r="D16" i="76"/>
  <c r="I13" i="76"/>
  <c r="F13" i="75"/>
  <c r="E13" i="75"/>
  <c r="K19" i="76"/>
  <c r="D8" i="76"/>
  <c r="D7" i="76"/>
  <c r="M7" i="76"/>
  <c r="J12" i="76"/>
  <c r="J13" i="76" s="1"/>
  <c r="I12" i="76"/>
  <c r="H12" i="76"/>
  <c r="H13" i="76" s="1"/>
  <c r="F12" i="76"/>
  <c r="F13" i="76" s="1"/>
  <c r="E12" i="76"/>
  <c r="E13" i="76" s="1"/>
  <c r="M8" i="76"/>
  <c r="M18" i="76"/>
  <c r="M15" i="76"/>
  <c r="M19" i="76" s="1"/>
  <c r="M11" i="76"/>
  <c r="D11" i="76"/>
  <c r="M10" i="76"/>
  <c r="D10" i="76"/>
  <c r="M9" i="76"/>
  <c r="D9" i="76"/>
  <c r="E20" i="76" l="1"/>
  <c r="H20" i="76"/>
  <c r="J20" i="76"/>
  <c r="I20" i="76"/>
  <c r="F20" i="76"/>
  <c r="F22" i="76" s="1"/>
  <c r="F28" i="76" s="1"/>
  <c r="E28" i="76"/>
  <c r="E26" i="76"/>
  <c r="E29" i="76" s="1"/>
  <c r="I26" i="76"/>
  <c r="I29" i="76" s="1"/>
  <c r="I28" i="76"/>
  <c r="D12" i="76"/>
  <c r="D13" i="76" s="1"/>
  <c r="C26" i="76"/>
  <c r="C29" i="76" s="1"/>
  <c r="F26" i="76"/>
  <c r="F29" i="76" s="1"/>
  <c r="H26" i="76"/>
  <c r="H29" i="76" s="1"/>
  <c r="H28" i="76"/>
  <c r="J26" i="76"/>
  <c r="J29" i="76" s="1"/>
  <c r="J28" i="76"/>
  <c r="G26" i="76"/>
  <c r="G29" i="76" s="1"/>
  <c r="G28" i="76"/>
  <c r="L26" i="76"/>
  <c r="L29" i="76" s="1"/>
  <c r="L28" i="76"/>
  <c r="C22" i="75"/>
  <c r="B22" i="75"/>
  <c r="K28" i="76" l="1"/>
  <c r="K26" i="76"/>
  <c r="K29" i="76" s="1"/>
  <c r="M12" i="76"/>
  <c r="B26" i="76"/>
  <c r="B29" i="76" s="1"/>
  <c r="M35" i="75"/>
  <c r="J34" i="75"/>
  <c r="M34" i="75" s="1"/>
  <c r="E38" i="75" s="1"/>
  <c r="L36" i="75"/>
  <c r="G36" i="75"/>
  <c r="Q36" i="75"/>
  <c r="Q35" i="75"/>
  <c r="Q34" i="75"/>
  <c r="D34" i="75"/>
  <c r="D36" i="75" s="1"/>
  <c r="C36" i="75"/>
  <c r="D35" i="75"/>
  <c r="D21" i="75"/>
  <c r="K22" i="75"/>
  <c r="G22" i="75"/>
  <c r="F22" i="75"/>
  <c r="F19" i="75"/>
  <c r="M21" i="75"/>
  <c r="L19" i="75"/>
  <c r="K19" i="75"/>
  <c r="J19" i="75"/>
  <c r="I19" i="75"/>
  <c r="H19" i="75"/>
  <c r="G19" i="75"/>
  <c r="M18" i="75"/>
  <c r="M19" i="75" s="1"/>
  <c r="M15" i="75"/>
  <c r="C19" i="75"/>
  <c r="C20" i="75" s="1"/>
  <c r="L13" i="75"/>
  <c r="L20" i="75" s="1"/>
  <c r="L22" i="75" s="1"/>
  <c r="K13" i="75"/>
  <c r="K20" i="75" s="1"/>
  <c r="J13" i="75"/>
  <c r="J20" i="75" s="1"/>
  <c r="J22" i="75" s="1"/>
  <c r="I13" i="75"/>
  <c r="I20" i="75" s="1"/>
  <c r="I22" i="75" s="1"/>
  <c r="H13" i="75"/>
  <c r="H20" i="75" s="1"/>
  <c r="H22" i="75" s="1"/>
  <c r="G13" i="75"/>
  <c r="G20" i="75" s="1"/>
  <c r="G12" i="75"/>
  <c r="F12" i="75"/>
  <c r="F20" i="75" s="1"/>
  <c r="E12" i="75"/>
  <c r="C12" i="75"/>
  <c r="C13" i="75" s="1"/>
  <c r="B12" i="75"/>
  <c r="M8" i="75"/>
  <c r="D8" i="75"/>
  <c r="M20" i="76" l="1"/>
  <c r="M26" i="76" s="1"/>
  <c r="M29" i="76" s="1"/>
  <c r="M22" i="76"/>
  <c r="D26" i="76"/>
  <c r="D29" i="76" s="1"/>
  <c r="J36" i="75"/>
  <c r="D20" i="75"/>
  <c r="D22" i="75" s="1"/>
  <c r="B24" i="75" s="1"/>
  <c r="D12" i="75"/>
  <c r="D13" i="75" s="1"/>
  <c r="M12" i="75"/>
  <c r="M13" i="75" s="1"/>
  <c r="M7" i="75"/>
  <c r="D7" i="75"/>
  <c r="B36" i="75"/>
  <c r="B38" i="75"/>
  <c r="E19" i="75"/>
  <c r="E20" i="75" s="1"/>
  <c r="D18" i="75"/>
  <c r="D17" i="75"/>
  <c r="D16" i="75"/>
  <c r="D15" i="75"/>
  <c r="D19" i="75" s="1"/>
  <c r="M11" i="75"/>
  <c r="D11" i="75"/>
  <c r="M10" i="75"/>
  <c r="D10" i="75"/>
  <c r="M9" i="75"/>
  <c r="D9" i="75"/>
  <c r="D28" i="76" l="1"/>
  <c r="M28" i="76"/>
  <c r="E24" i="76"/>
  <c r="M20" i="75"/>
  <c r="M22" i="75" s="1"/>
  <c r="E24" i="75" s="1"/>
  <c r="E22" i="75"/>
  <c r="E26" i="75"/>
  <c r="E29" i="75" s="1"/>
  <c r="E28" i="75"/>
  <c r="H26" i="75"/>
  <c r="H29" i="75" s="1"/>
  <c r="H28" i="75"/>
  <c r="J26" i="75"/>
  <c r="J29" i="75" s="1"/>
  <c r="J28" i="75"/>
  <c r="L26" i="75"/>
  <c r="L29" i="75" s="1"/>
  <c r="L28" i="75"/>
  <c r="C26" i="75"/>
  <c r="C29" i="75" s="1"/>
  <c r="C28" i="75"/>
  <c r="F26" i="75"/>
  <c r="F29" i="75" s="1"/>
  <c r="F28" i="75"/>
  <c r="K26" i="75"/>
  <c r="K29" i="75" s="1"/>
  <c r="K28" i="75"/>
  <c r="M21" i="74"/>
  <c r="M35" i="74"/>
  <c r="M34" i="74"/>
  <c r="E38" i="74" s="1"/>
  <c r="Q35" i="74"/>
  <c r="L36" i="74"/>
  <c r="Q34" i="74"/>
  <c r="J36" i="74"/>
  <c r="Q36" i="74"/>
  <c r="G36" i="74"/>
  <c r="I26" i="75" l="1"/>
  <c r="I29" i="75" s="1"/>
  <c r="I28" i="75"/>
  <c r="B26" i="75"/>
  <c r="B29" i="75" s="1"/>
  <c r="B28" i="75"/>
  <c r="G26" i="75"/>
  <c r="G29" i="75" s="1"/>
  <c r="G28" i="75"/>
  <c r="B19" i="74"/>
  <c r="D34" i="74"/>
  <c r="D35" i="74"/>
  <c r="D36" i="74" s="1"/>
  <c r="C36" i="74"/>
  <c r="D26" i="75" l="1"/>
  <c r="D29" i="75" s="1"/>
  <c r="M26" i="75"/>
  <c r="M29" i="75" s="1"/>
  <c r="B20" i="74"/>
  <c r="B22" i="74" s="1"/>
  <c r="C22" i="74"/>
  <c r="E19" i="74"/>
  <c r="F19" i="74"/>
  <c r="K19" i="74"/>
  <c r="L18" i="74"/>
  <c r="L19" i="74" s="1"/>
  <c r="J18" i="74"/>
  <c r="J19" i="74" s="1"/>
  <c r="I18" i="74"/>
  <c r="I19" i="74" s="1"/>
  <c r="H18" i="74"/>
  <c r="H19" i="74" s="1"/>
  <c r="G18" i="74"/>
  <c r="G19" i="74" s="1"/>
  <c r="D21" i="74"/>
  <c r="M28" i="75" l="1"/>
  <c r="D28" i="75"/>
  <c r="L13" i="74"/>
  <c r="L20" i="74" s="1"/>
  <c r="L22" i="74" s="1"/>
  <c r="K13" i="74"/>
  <c r="J13" i="74"/>
  <c r="J20" i="74" s="1"/>
  <c r="J22" i="74" s="1"/>
  <c r="I13" i="74"/>
  <c r="H13" i="74"/>
  <c r="G13" i="74"/>
  <c r="B13" i="74"/>
  <c r="M8" i="74"/>
  <c r="D8" i="74"/>
  <c r="C12" i="74"/>
  <c r="C13" i="74" s="1"/>
  <c r="B12" i="74"/>
  <c r="D12" i="74" s="1"/>
  <c r="M15" i="74" l="1"/>
  <c r="D15" i="74"/>
  <c r="M7" i="74"/>
  <c r="D7" i="74"/>
  <c r="B36" i="74"/>
  <c r="B38" i="74"/>
  <c r="C19" i="74"/>
  <c r="M18" i="74"/>
  <c r="M19" i="74" s="1"/>
  <c r="D18" i="74"/>
  <c r="D17" i="74"/>
  <c r="D16" i="74"/>
  <c r="K20" i="74"/>
  <c r="K22" i="74" s="1"/>
  <c r="I20" i="74"/>
  <c r="I22" i="74" s="1"/>
  <c r="H20" i="74"/>
  <c r="H22" i="74" s="1"/>
  <c r="G20" i="74"/>
  <c r="G22" i="74" s="1"/>
  <c r="G12" i="74"/>
  <c r="F12" i="74"/>
  <c r="E12" i="74"/>
  <c r="C20" i="74"/>
  <c r="M11" i="74"/>
  <c r="D11" i="74"/>
  <c r="M10" i="74"/>
  <c r="D10" i="74"/>
  <c r="M9" i="74"/>
  <c r="D9" i="74"/>
  <c r="D19" i="74" l="1"/>
  <c r="D20" i="74"/>
  <c r="E20" i="74"/>
  <c r="E22" i="74" s="1"/>
  <c r="E28" i="74" s="1"/>
  <c r="E13" i="74"/>
  <c r="F20" i="74"/>
  <c r="F22" i="74" s="1"/>
  <c r="F28" i="74" s="1"/>
  <c r="F13" i="74"/>
  <c r="C26" i="74"/>
  <c r="C29" i="74" s="1"/>
  <c r="C28" i="74"/>
  <c r="F26" i="74"/>
  <c r="F29" i="74" s="1"/>
  <c r="G26" i="74"/>
  <c r="G29" i="74" s="1"/>
  <c r="G28" i="74"/>
  <c r="I26" i="74"/>
  <c r="I29" i="74" s="1"/>
  <c r="I28" i="74"/>
  <c r="K26" i="74"/>
  <c r="K29" i="74" s="1"/>
  <c r="K28" i="74"/>
  <c r="B26" i="74"/>
  <c r="B29" i="74" s="1"/>
  <c r="B28" i="74"/>
  <c r="E26" i="74"/>
  <c r="E29" i="74" s="1"/>
  <c r="M20" i="74"/>
  <c r="H26" i="74"/>
  <c r="H29" i="74" s="1"/>
  <c r="H28" i="74"/>
  <c r="J26" i="74"/>
  <c r="J29" i="74" s="1"/>
  <c r="J28" i="74"/>
  <c r="L26" i="74"/>
  <c r="L29" i="74" s="1"/>
  <c r="L28" i="74"/>
  <c r="D13" i="74"/>
  <c r="M12" i="74"/>
  <c r="M13" i="74" s="1"/>
  <c r="M21" i="73"/>
  <c r="I19" i="73"/>
  <c r="I20" i="73" s="1"/>
  <c r="M34" i="73"/>
  <c r="L36" i="73"/>
  <c r="J36" i="73"/>
  <c r="G36" i="73"/>
  <c r="D35" i="73"/>
  <c r="D34" i="73"/>
  <c r="D36" i="73" s="1"/>
  <c r="C36" i="73"/>
  <c r="B36" i="73"/>
  <c r="E19" i="73"/>
  <c r="L19" i="73"/>
  <c r="L13" i="73"/>
  <c r="L20" i="73" s="1"/>
  <c r="L22" i="73" s="1"/>
  <c r="D21" i="73"/>
  <c r="B19" i="73"/>
  <c r="M26" i="74" l="1"/>
  <c r="M29" i="74" s="1"/>
  <c r="M22" i="74"/>
  <c r="D26" i="74"/>
  <c r="D29" i="74" s="1"/>
  <c r="D22" i="74"/>
  <c r="I22" i="73"/>
  <c r="M20" i="73"/>
  <c r="M22" i="73" s="1"/>
  <c r="B13" i="73"/>
  <c r="B20" i="73" s="1"/>
  <c r="C19" i="73"/>
  <c r="B12" i="73"/>
  <c r="C12" i="73"/>
  <c r="C13" i="73" s="1"/>
  <c r="C20" i="73" s="1"/>
  <c r="D28" i="74" l="1"/>
  <c r="B24" i="74"/>
  <c r="M28" i="74"/>
  <c r="E24" i="74"/>
  <c r="C22" i="73"/>
  <c r="B22" i="73"/>
  <c r="D20" i="73"/>
  <c r="D22" i="73" l="1"/>
  <c r="B24" i="73" s="1"/>
  <c r="F19" i="73" l="1"/>
  <c r="K19" i="73"/>
  <c r="J19" i="73"/>
  <c r="H19" i="73"/>
  <c r="G19" i="73"/>
  <c r="M18" i="73"/>
  <c r="M19" i="73" s="1"/>
  <c r="K13" i="73"/>
  <c r="K20" i="73" s="1"/>
  <c r="K22" i="73" s="1"/>
  <c r="J13" i="73"/>
  <c r="I13" i="73"/>
  <c r="H13" i="73"/>
  <c r="G13" i="73"/>
  <c r="G20" i="73" s="1"/>
  <c r="G22" i="73" s="1"/>
  <c r="G12" i="73"/>
  <c r="F12" i="73"/>
  <c r="F13" i="73" s="1"/>
  <c r="F20" i="73" s="1"/>
  <c r="F22" i="73" s="1"/>
  <c r="E12" i="73"/>
  <c r="M12" i="73" s="1"/>
  <c r="M13" i="73" s="1"/>
  <c r="D8" i="73"/>
  <c r="E13" i="73" l="1"/>
  <c r="E20" i="73" s="1"/>
  <c r="H20" i="73"/>
  <c r="H22" i="73" s="1"/>
  <c r="J20" i="73"/>
  <c r="J22" i="73" s="1"/>
  <c r="M8" i="73"/>
  <c r="D15" i="73"/>
  <c r="D19" i="73" s="1"/>
  <c r="D7" i="73"/>
  <c r="M35" i="73"/>
  <c r="E38" i="73" s="1"/>
  <c r="B38" i="73"/>
  <c r="D18" i="73"/>
  <c r="D17" i="73"/>
  <c r="D16" i="73"/>
  <c r="M11" i="73"/>
  <c r="D11" i="73"/>
  <c r="M10" i="73"/>
  <c r="D10" i="73"/>
  <c r="M9" i="73"/>
  <c r="D9" i="73"/>
  <c r="M7" i="73"/>
  <c r="E22" i="73" l="1"/>
  <c r="E28" i="73" s="1"/>
  <c r="E24" i="73"/>
  <c r="B29" i="73"/>
  <c r="B28" i="73"/>
  <c r="E29" i="73"/>
  <c r="G29" i="73"/>
  <c r="G28" i="73"/>
  <c r="I29" i="73"/>
  <c r="I28" i="73"/>
  <c r="K29" i="73"/>
  <c r="K28" i="73"/>
  <c r="C29" i="73"/>
  <c r="C28" i="73"/>
  <c r="F29" i="73"/>
  <c r="F28" i="73"/>
  <c r="H29" i="73"/>
  <c r="H28" i="73"/>
  <c r="J29" i="73"/>
  <c r="J28" i="73"/>
  <c r="L29" i="73"/>
  <c r="L28" i="73"/>
  <c r="D12" i="73"/>
  <c r="D13" i="73" s="1"/>
  <c r="M29" i="73" l="1"/>
  <c r="D29" i="73"/>
  <c r="D28" i="73" l="1"/>
  <c r="M28" i="73"/>
  <c r="C7" i="47" l="1"/>
  <c r="K7" i="47"/>
  <c r="D7" i="47"/>
  <c r="G16" i="47"/>
  <c r="G31" i="47"/>
  <c r="C31" i="47"/>
  <c r="N16" i="47"/>
  <c r="H16" i="47"/>
  <c r="L16" i="47"/>
  <c r="K16" i="47"/>
  <c r="C16" i="47"/>
  <c r="D16" i="47"/>
  <c r="C5" i="47"/>
  <c r="D5" i="47"/>
  <c r="G5" i="47"/>
  <c r="H5" i="47"/>
  <c r="J5" i="47"/>
  <c r="K5" i="47"/>
  <c r="K13" i="47" s="1"/>
  <c r="K30" i="47" s="1"/>
  <c r="K32" i="47" s="1"/>
  <c r="L5" i="47"/>
  <c r="N5" i="47"/>
  <c r="C9" i="47"/>
  <c r="C11" i="47" s="1"/>
  <c r="D9" i="47"/>
  <c r="D11" i="47" s="1"/>
  <c r="G9" i="47"/>
  <c r="G11" i="47" s="1"/>
  <c r="H9" i="47"/>
  <c r="H11" i="47" s="1"/>
  <c r="H13" i="47" s="1"/>
  <c r="J9" i="47"/>
  <c r="J11" i="47" s="1"/>
  <c r="K11" i="47"/>
  <c r="L9" i="47"/>
  <c r="L11" i="47" s="1"/>
  <c r="L13" i="47" s="1"/>
  <c r="N11" i="47"/>
  <c r="E7" i="47"/>
  <c r="I7" i="47"/>
  <c r="M7" i="47"/>
  <c r="O7" i="47"/>
  <c r="Q7" i="47" s="1"/>
  <c r="E8" i="47"/>
  <c r="I8" i="47"/>
  <c r="M8" i="47"/>
  <c r="E10" i="47"/>
  <c r="O10" i="47"/>
  <c r="Q10" i="47"/>
  <c r="E16" i="47"/>
  <c r="E28" i="47" s="1"/>
  <c r="I16" i="47"/>
  <c r="M16" i="47"/>
  <c r="O16" i="47" s="1"/>
  <c r="Q16" i="47" s="1"/>
  <c r="E19" i="47"/>
  <c r="I19" i="47"/>
  <c r="M19" i="47"/>
  <c r="O19" i="47" s="1"/>
  <c r="E18" i="47"/>
  <c r="I18" i="47"/>
  <c r="M18" i="47"/>
  <c r="O18" i="47"/>
  <c r="Q18" i="47" s="1"/>
  <c r="E26" i="47"/>
  <c r="I26" i="47"/>
  <c r="M26" i="47"/>
  <c r="E20" i="47"/>
  <c r="I20" i="47"/>
  <c r="M20" i="47"/>
  <c r="O20" i="47" s="1"/>
  <c r="Q20" i="47" s="1"/>
  <c r="R20" i="47" s="1"/>
  <c r="E21" i="47"/>
  <c r="I21" i="47"/>
  <c r="M21" i="47"/>
  <c r="O21" i="47" s="1"/>
  <c r="Q21" i="47" s="1"/>
  <c r="R21" i="47" s="1"/>
  <c r="E22" i="47"/>
  <c r="I22" i="47"/>
  <c r="M22" i="47"/>
  <c r="O22" i="47"/>
  <c r="Q22" i="47" s="1"/>
  <c r="R22" i="47" s="1"/>
  <c r="E23" i="47"/>
  <c r="I23" i="47"/>
  <c r="M23" i="47"/>
  <c r="E24" i="47"/>
  <c r="I24" i="47"/>
  <c r="M24" i="47"/>
  <c r="O24" i="47" s="1"/>
  <c r="Q24" i="47" s="1"/>
  <c r="R24" i="47" s="1"/>
  <c r="E25" i="47"/>
  <c r="I25" i="47"/>
  <c r="M25" i="47"/>
  <c r="O25" i="47" s="1"/>
  <c r="Q25" i="47" s="1"/>
  <c r="R25" i="47" s="1"/>
  <c r="C28" i="47"/>
  <c r="D28" i="47"/>
  <c r="G28" i="47"/>
  <c r="H28" i="47"/>
  <c r="J28" i="47"/>
  <c r="K28" i="47"/>
  <c r="L28" i="47"/>
  <c r="N28" i="47"/>
  <c r="R30" i="47"/>
  <c r="R79" i="47" s="1"/>
  <c r="R80" i="47" s="1"/>
  <c r="E31" i="47"/>
  <c r="I31" i="47"/>
  <c r="M31" i="47"/>
  <c r="O31" i="47"/>
  <c r="Q31" i="47" s="1"/>
  <c r="C55" i="47" s="1"/>
  <c r="R31" i="47"/>
  <c r="C44" i="47"/>
  <c r="R82" i="47"/>
  <c r="R83" i="47"/>
  <c r="C5" i="46"/>
  <c r="D5" i="46"/>
  <c r="G5" i="46"/>
  <c r="H5" i="46"/>
  <c r="J5" i="46"/>
  <c r="K5" i="46"/>
  <c r="L5" i="46"/>
  <c r="N5" i="46"/>
  <c r="C9" i="46"/>
  <c r="C11" i="46" s="1"/>
  <c r="D9" i="46"/>
  <c r="D11" i="46" s="1"/>
  <c r="D13" i="46" s="1"/>
  <c r="G9" i="46"/>
  <c r="G11" i="46" s="1"/>
  <c r="H9" i="46"/>
  <c r="H11" i="46" s="1"/>
  <c r="J9" i="46"/>
  <c r="J11" i="46" s="1"/>
  <c r="K9" i="46"/>
  <c r="K11" i="46" s="1"/>
  <c r="K13" i="46" s="1"/>
  <c r="L9" i="46"/>
  <c r="L11" i="46" s="1"/>
  <c r="N9" i="46"/>
  <c r="N11" i="46" s="1"/>
  <c r="E7" i="46"/>
  <c r="I7" i="46"/>
  <c r="M7" i="46"/>
  <c r="O7" i="46" s="1"/>
  <c r="Q7" i="46" s="1"/>
  <c r="E8" i="46"/>
  <c r="I8" i="46"/>
  <c r="M8" i="46"/>
  <c r="O8" i="46"/>
  <c r="Q8" i="46" s="1"/>
  <c r="E10" i="46"/>
  <c r="I10" i="46"/>
  <c r="M10" i="46"/>
  <c r="O10" i="46"/>
  <c r="Q10" i="46" s="1"/>
  <c r="E16" i="46"/>
  <c r="I16" i="46"/>
  <c r="M16" i="46"/>
  <c r="E18" i="46"/>
  <c r="E28" i="46" s="1"/>
  <c r="I18" i="46"/>
  <c r="M18" i="46"/>
  <c r="O18" i="46" s="1"/>
  <c r="Q18" i="46" s="1"/>
  <c r="R18" i="46" s="1"/>
  <c r="E19" i="46"/>
  <c r="I19" i="46"/>
  <c r="M19" i="46"/>
  <c r="E20" i="46"/>
  <c r="I20" i="46"/>
  <c r="M20" i="46"/>
  <c r="O20" i="46" s="1"/>
  <c r="Q20" i="46" s="1"/>
  <c r="R20" i="46" s="1"/>
  <c r="E21" i="46"/>
  <c r="I21" i="46"/>
  <c r="M21" i="46"/>
  <c r="E22" i="46"/>
  <c r="I22" i="46"/>
  <c r="M22" i="46"/>
  <c r="O22" i="46" s="1"/>
  <c r="Q22" i="46" s="1"/>
  <c r="R22" i="46" s="1"/>
  <c r="E23" i="46"/>
  <c r="I23" i="46"/>
  <c r="M23" i="46"/>
  <c r="E24" i="46"/>
  <c r="I24" i="46"/>
  <c r="M24" i="46"/>
  <c r="O24" i="46" s="1"/>
  <c r="Q24" i="46" s="1"/>
  <c r="R24" i="46" s="1"/>
  <c r="E25" i="46"/>
  <c r="I25" i="46"/>
  <c r="M25" i="46"/>
  <c r="E26" i="46"/>
  <c r="I26" i="46"/>
  <c r="M26" i="46"/>
  <c r="O26" i="46" s="1"/>
  <c r="Q26" i="46" s="1"/>
  <c r="R26" i="46" s="1"/>
  <c r="C28" i="46"/>
  <c r="D28" i="46"/>
  <c r="G28" i="46"/>
  <c r="H28" i="46"/>
  <c r="I28" i="46"/>
  <c r="J28" i="46"/>
  <c r="K28" i="46"/>
  <c r="L28" i="46"/>
  <c r="N28" i="46"/>
  <c r="R30" i="46"/>
  <c r="E31" i="46"/>
  <c r="I31" i="46"/>
  <c r="M31" i="46"/>
  <c r="O31" i="46" s="1"/>
  <c r="Q31" i="46" s="1"/>
  <c r="C54" i="46" s="1"/>
  <c r="R31" i="46"/>
  <c r="C44" i="46"/>
  <c r="R79" i="46"/>
  <c r="R80" i="46"/>
  <c r="R82" i="46"/>
  <c r="R83" i="46"/>
  <c r="C5" i="45"/>
  <c r="D5" i="45"/>
  <c r="G5" i="45"/>
  <c r="H5" i="45"/>
  <c r="J5" i="45"/>
  <c r="K5" i="45"/>
  <c r="L5" i="45"/>
  <c r="N5" i="45"/>
  <c r="C9" i="45"/>
  <c r="C11" i="45" s="1"/>
  <c r="D9" i="45"/>
  <c r="D11" i="45" s="1"/>
  <c r="G9" i="45"/>
  <c r="G11" i="45" s="1"/>
  <c r="H9" i="45"/>
  <c r="H11" i="45" s="1"/>
  <c r="J9" i="45"/>
  <c r="J11" i="45" s="1"/>
  <c r="K9" i="45"/>
  <c r="K11" i="45" s="1"/>
  <c r="L9" i="45"/>
  <c r="L11" i="45" s="1"/>
  <c r="N9" i="45"/>
  <c r="N11" i="45" s="1"/>
  <c r="N13" i="45" s="1"/>
  <c r="E7" i="45"/>
  <c r="I7" i="45"/>
  <c r="M7" i="45"/>
  <c r="O7" i="45"/>
  <c r="Q7" i="45" s="1"/>
  <c r="E8" i="45"/>
  <c r="I8" i="45"/>
  <c r="M8" i="45"/>
  <c r="E10" i="45"/>
  <c r="I10" i="45"/>
  <c r="M10" i="45"/>
  <c r="E16" i="45"/>
  <c r="I16" i="45"/>
  <c r="M16" i="45"/>
  <c r="E18" i="45"/>
  <c r="I18" i="45"/>
  <c r="M18" i="45"/>
  <c r="O18" i="45" s="1"/>
  <c r="Q18" i="45" s="1"/>
  <c r="R18" i="45" s="1"/>
  <c r="E19" i="45"/>
  <c r="I19" i="45"/>
  <c r="M19" i="45"/>
  <c r="O19" i="45" s="1"/>
  <c r="Q19" i="45" s="1"/>
  <c r="R19" i="45" s="1"/>
  <c r="E20" i="45"/>
  <c r="I20" i="45"/>
  <c r="M20" i="45"/>
  <c r="O20" i="45" s="1"/>
  <c r="Q20" i="45" s="1"/>
  <c r="R20" i="45" s="1"/>
  <c r="E21" i="45"/>
  <c r="I21" i="45"/>
  <c r="M21" i="45"/>
  <c r="O21" i="45" s="1"/>
  <c r="Q21" i="45" s="1"/>
  <c r="R21" i="45" s="1"/>
  <c r="E22" i="45"/>
  <c r="I22" i="45"/>
  <c r="M22" i="45"/>
  <c r="O22" i="45" s="1"/>
  <c r="Q22" i="45" s="1"/>
  <c r="R22" i="45" s="1"/>
  <c r="E23" i="45"/>
  <c r="I23" i="45"/>
  <c r="M23" i="45"/>
  <c r="O23" i="45" s="1"/>
  <c r="Q23" i="45" s="1"/>
  <c r="R23" i="45" s="1"/>
  <c r="E24" i="45"/>
  <c r="I24" i="45"/>
  <c r="M24" i="45"/>
  <c r="O24" i="45" s="1"/>
  <c r="Q24" i="45" s="1"/>
  <c r="R24" i="45" s="1"/>
  <c r="E25" i="45"/>
  <c r="I25" i="45"/>
  <c r="M25" i="45"/>
  <c r="O25" i="45" s="1"/>
  <c r="Q25" i="45" s="1"/>
  <c r="R25" i="45" s="1"/>
  <c r="E26" i="45"/>
  <c r="I26" i="45"/>
  <c r="M26" i="45"/>
  <c r="O26" i="45" s="1"/>
  <c r="Q26" i="45" s="1"/>
  <c r="R26" i="45" s="1"/>
  <c r="C28" i="45"/>
  <c r="D28" i="45"/>
  <c r="E28" i="45"/>
  <c r="G28" i="45"/>
  <c r="H28" i="45"/>
  <c r="I28" i="45"/>
  <c r="J28" i="45"/>
  <c r="K28" i="45"/>
  <c r="L28" i="45"/>
  <c r="N28" i="45"/>
  <c r="R30" i="45"/>
  <c r="E31" i="45"/>
  <c r="I31" i="45"/>
  <c r="M31" i="45"/>
  <c r="O31" i="45"/>
  <c r="Q31" i="45" s="1"/>
  <c r="C53" i="45" s="1"/>
  <c r="R31" i="45"/>
  <c r="C44" i="45"/>
  <c r="R79" i="45"/>
  <c r="R80" i="45" s="1"/>
  <c r="R82" i="45"/>
  <c r="R83" i="45" s="1"/>
  <c r="C5" i="44"/>
  <c r="D5" i="44"/>
  <c r="E5" i="44" s="1"/>
  <c r="G5" i="44"/>
  <c r="H5" i="44"/>
  <c r="J5" i="44"/>
  <c r="K5" i="44"/>
  <c r="L5" i="44"/>
  <c r="N5" i="44"/>
  <c r="C9" i="44"/>
  <c r="C11" i="44"/>
  <c r="D9" i="44"/>
  <c r="D11" i="44"/>
  <c r="G9" i="44"/>
  <c r="G11" i="44" s="1"/>
  <c r="H9" i="44"/>
  <c r="H11" i="44" s="1"/>
  <c r="J9" i="44"/>
  <c r="J11" i="44"/>
  <c r="K9" i="44"/>
  <c r="K11" i="44"/>
  <c r="L9" i="44"/>
  <c r="L11" i="44"/>
  <c r="N9" i="44"/>
  <c r="N11" i="44" s="1"/>
  <c r="E7" i="44"/>
  <c r="I7" i="44"/>
  <c r="M7" i="44"/>
  <c r="O7" i="44" s="1"/>
  <c r="Q7" i="44" s="1"/>
  <c r="E8" i="44"/>
  <c r="I8" i="44"/>
  <c r="M8" i="44"/>
  <c r="O8" i="44"/>
  <c r="Q8" i="44" s="1"/>
  <c r="E9" i="44"/>
  <c r="M9" i="44"/>
  <c r="E10" i="44"/>
  <c r="I10" i="44"/>
  <c r="M10" i="44"/>
  <c r="O10" i="44"/>
  <c r="Q10" i="44" s="1"/>
  <c r="E16" i="44"/>
  <c r="I16" i="44"/>
  <c r="M16" i="44"/>
  <c r="E18" i="44"/>
  <c r="E28" i="44" s="1"/>
  <c r="I18" i="44"/>
  <c r="M18" i="44"/>
  <c r="O18" i="44" s="1"/>
  <c r="Q18" i="44" s="1"/>
  <c r="R18" i="44" s="1"/>
  <c r="E19" i="44"/>
  <c r="I19" i="44"/>
  <c r="M19" i="44"/>
  <c r="E20" i="44"/>
  <c r="I20" i="44"/>
  <c r="M20" i="44"/>
  <c r="O20" i="44" s="1"/>
  <c r="Q20" i="44" s="1"/>
  <c r="R20" i="44" s="1"/>
  <c r="E21" i="44"/>
  <c r="I21" i="44"/>
  <c r="M21" i="44"/>
  <c r="E22" i="44"/>
  <c r="I22" i="44"/>
  <c r="M22" i="44"/>
  <c r="O22" i="44" s="1"/>
  <c r="Q22" i="44" s="1"/>
  <c r="R22" i="44" s="1"/>
  <c r="E23" i="44"/>
  <c r="I23" i="44"/>
  <c r="M23" i="44"/>
  <c r="E24" i="44"/>
  <c r="I24" i="44"/>
  <c r="M24" i="44"/>
  <c r="O24" i="44" s="1"/>
  <c r="Q24" i="44" s="1"/>
  <c r="R24" i="44" s="1"/>
  <c r="E25" i="44"/>
  <c r="I25" i="44"/>
  <c r="M25" i="44"/>
  <c r="E26" i="44"/>
  <c r="I26" i="44"/>
  <c r="M26" i="44"/>
  <c r="O26" i="44" s="1"/>
  <c r="Q26" i="44" s="1"/>
  <c r="R26" i="44" s="1"/>
  <c r="C28" i="44"/>
  <c r="D28" i="44"/>
  <c r="G28" i="44"/>
  <c r="H28" i="44"/>
  <c r="I28" i="44"/>
  <c r="J28" i="44"/>
  <c r="K28" i="44"/>
  <c r="L28" i="44"/>
  <c r="N28" i="44"/>
  <c r="R30" i="44"/>
  <c r="E31" i="44"/>
  <c r="I31" i="44"/>
  <c r="M31" i="44"/>
  <c r="O31" i="44" s="1"/>
  <c r="Q31" i="44" s="1"/>
  <c r="C52" i="44" s="1"/>
  <c r="R31" i="44"/>
  <c r="C44" i="44"/>
  <c r="R79" i="44"/>
  <c r="R80" i="44" s="1"/>
  <c r="R82" i="44"/>
  <c r="R83" i="44" s="1"/>
  <c r="C5" i="43"/>
  <c r="D5" i="43"/>
  <c r="I5" i="43"/>
  <c r="J5" i="43"/>
  <c r="K5" i="43"/>
  <c r="L5" i="43"/>
  <c r="N5" i="43"/>
  <c r="C9" i="43"/>
  <c r="C11" i="43" s="1"/>
  <c r="D9" i="43"/>
  <c r="D11" i="43" s="1"/>
  <c r="G9" i="43"/>
  <c r="G11" i="43" s="1"/>
  <c r="H9" i="43"/>
  <c r="H11" i="43" s="1"/>
  <c r="H13" i="43" s="1"/>
  <c r="J9" i="43"/>
  <c r="J11" i="43" s="1"/>
  <c r="K9" i="43"/>
  <c r="K11" i="43" s="1"/>
  <c r="K13" i="43" s="1"/>
  <c r="L9" i="43"/>
  <c r="L11" i="43" s="1"/>
  <c r="N9" i="43"/>
  <c r="N11" i="43" s="1"/>
  <c r="E7" i="43"/>
  <c r="I7" i="43"/>
  <c r="M7" i="43"/>
  <c r="O7" i="43" s="1"/>
  <c r="Q7" i="43" s="1"/>
  <c r="E8" i="43"/>
  <c r="I8" i="43"/>
  <c r="M8" i="43"/>
  <c r="O8" i="43"/>
  <c r="Q8" i="43" s="1"/>
  <c r="E10" i="43"/>
  <c r="I10" i="43"/>
  <c r="M10" i="43"/>
  <c r="O10" i="43" s="1"/>
  <c r="Q10" i="43" s="1"/>
  <c r="E16" i="43"/>
  <c r="I16" i="43"/>
  <c r="M16" i="43"/>
  <c r="O16" i="43" s="1"/>
  <c r="E18" i="43"/>
  <c r="I18" i="43"/>
  <c r="I28" i="43" s="1"/>
  <c r="M18" i="43"/>
  <c r="E19" i="43"/>
  <c r="I19" i="43"/>
  <c r="M19" i="43"/>
  <c r="O19" i="43" s="1"/>
  <c r="Q19" i="43" s="1"/>
  <c r="R19" i="43" s="1"/>
  <c r="E20" i="43"/>
  <c r="I20" i="43"/>
  <c r="M20" i="43"/>
  <c r="E21" i="43"/>
  <c r="I21" i="43"/>
  <c r="M21" i="43"/>
  <c r="O21" i="43" s="1"/>
  <c r="Q21" i="43" s="1"/>
  <c r="R21" i="43" s="1"/>
  <c r="E22" i="43"/>
  <c r="I22" i="43"/>
  <c r="M22" i="43"/>
  <c r="E23" i="43"/>
  <c r="I23" i="43"/>
  <c r="M23" i="43"/>
  <c r="O23" i="43" s="1"/>
  <c r="Q23" i="43" s="1"/>
  <c r="R23" i="43" s="1"/>
  <c r="E24" i="43"/>
  <c r="I24" i="43"/>
  <c r="M24" i="43"/>
  <c r="E25" i="43"/>
  <c r="I25" i="43"/>
  <c r="M25" i="43"/>
  <c r="O25" i="43" s="1"/>
  <c r="Q25" i="43" s="1"/>
  <c r="R25" i="43" s="1"/>
  <c r="E26" i="43"/>
  <c r="I26" i="43"/>
  <c r="M26" i="43"/>
  <c r="C28" i="43"/>
  <c r="D28" i="43"/>
  <c r="E28" i="43"/>
  <c r="G28" i="43"/>
  <c r="H28" i="43"/>
  <c r="J28" i="43"/>
  <c r="K28" i="43"/>
  <c r="L28" i="43"/>
  <c r="N28" i="43"/>
  <c r="R30" i="43"/>
  <c r="E31" i="43"/>
  <c r="I31" i="43"/>
  <c r="M31" i="43"/>
  <c r="R31" i="43"/>
  <c r="D35" i="43"/>
  <c r="G35" i="43"/>
  <c r="H35" i="43"/>
  <c r="J35" i="43"/>
  <c r="K35" i="43"/>
  <c r="N35" i="43"/>
  <c r="C44" i="43"/>
  <c r="R79" i="43"/>
  <c r="R80" i="43" s="1"/>
  <c r="R82" i="43"/>
  <c r="R83" i="43" s="1"/>
  <c r="C5" i="42"/>
  <c r="D5" i="42"/>
  <c r="G5" i="42"/>
  <c r="H5" i="42"/>
  <c r="J5" i="42"/>
  <c r="K5" i="42"/>
  <c r="L5" i="42"/>
  <c r="N5" i="42"/>
  <c r="C9" i="42"/>
  <c r="D9" i="42"/>
  <c r="D11" i="42" s="1"/>
  <c r="G9" i="42"/>
  <c r="G11" i="42" s="1"/>
  <c r="H9" i="42"/>
  <c r="H11" i="42" s="1"/>
  <c r="H13" i="42" s="1"/>
  <c r="H30" i="42" s="1"/>
  <c r="J9" i="42"/>
  <c r="K9" i="42"/>
  <c r="K11" i="42" s="1"/>
  <c r="L9" i="42"/>
  <c r="L11" i="42" s="1"/>
  <c r="N9" i="42"/>
  <c r="N11" i="42" s="1"/>
  <c r="N13" i="42" s="1"/>
  <c r="E7" i="42"/>
  <c r="I7" i="42"/>
  <c r="M7" i="42"/>
  <c r="O7" i="42" s="1"/>
  <c r="Q7" i="42" s="1"/>
  <c r="E8" i="42"/>
  <c r="I8" i="42"/>
  <c r="M8" i="42"/>
  <c r="O8" i="42" s="1"/>
  <c r="E10" i="42"/>
  <c r="I10" i="42"/>
  <c r="M10" i="42"/>
  <c r="O10" i="42" s="1"/>
  <c r="E16" i="42"/>
  <c r="I16" i="42"/>
  <c r="M16" i="42"/>
  <c r="O16" i="42" s="1"/>
  <c r="Q16" i="42" s="1"/>
  <c r="R16" i="42" s="1"/>
  <c r="E18" i="42"/>
  <c r="I18" i="42"/>
  <c r="M18" i="42"/>
  <c r="O18" i="42" s="1"/>
  <c r="Q18" i="42" s="1"/>
  <c r="R18" i="42" s="1"/>
  <c r="E19" i="42"/>
  <c r="I19" i="42"/>
  <c r="M19" i="42"/>
  <c r="O19" i="42"/>
  <c r="Q19" i="42" s="1"/>
  <c r="R19" i="42" s="1"/>
  <c r="E20" i="42"/>
  <c r="I20" i="42"/>
  <c r="M20" i="42"/>
  <c r="O20" i="42"/>
  <c r="Q20" i="42" s="1"/>
  <c r="R20" i="42" s="1"/>
  <c r="E21" i="42"/>
  <c r="I21" i="42"/>
  <c r="M21" i="42"/>
  <c r="O21" i="42" s="1"/>
  <c r="Q21" i="42" s="1"/>
  <c r="R21" i="42" s="1"/>
  <c r="E22" i="42"/>
  <c r="I22" i="42"/>
  <c r="M22" i="42"/>
  <c r="O22" i="42" s="1"/>
  <c r="Q22" i="42" s="1"/>
  <c r="R22" i="42" s="1"/>
  <c r="E23" i="42"/>
  <c r="I23" i="42"/>
  <c r="M23" i="42"/>
  <c r="O23" i="42"/>
  <c r="Q23" i="42" s="1"/>
  <c r="R23" i="42" s="1"/>
  <c r="E24" i="42"/>
  <c r="I24" i="42"/>
  <c r="M24" i="42"/>
  <c r="E25" i="42"/>
  <c r="I25" i="42"/>
  <c r="M25" i="42"/>
  <c r="O25" i="42" s="1"/>
  <c r="Q25" i="42" s="1"/>
  <c r="R25" i="42" s="1"/>
  <c r="E26" i="42"/>
  <c r="I26" i="42"/>
  <c r="M26" i="42"/>
  <c r="C28" i="42"/>
  <c r="D28" i="42"/>
  <c r="E28" i="42"/>
  <c r="G28" i="42"/>
  <c r="H28" i="42"/>
  <c r="J28" i="42"/>
  <c r="K28" i="42"/>
  <c r="L28" i="42"/>
  <c r="N28" i="42"/>
  <c r="R30" i="42"/>
  <c r="R79" i="42" s="1"/>
  <c r="R80" i="42" s="1"/>
  <c r="E31" i="42"/>
  <c r="I31" i="42"/>
  <c r="M31" i="42"/>
  <c r="R31" i="42"/>
  <c r="C44" i="42"/>
  <c r="R82" i="42"/>
  <c r="R83" i="42"/>
  <c r="C5" i="41"/>
  <c r="D5" i="41"/>
  <c r="G5" i="41"/>
  <c r="H5" i="41"/>
  <c r="J5" i="41"/>
  <c r="K5" i="41"/>
  <c r="L5" i="41"/>
  <c r="N5" i="41"/>
  <c r="C9" i="41"/>
  <c r="C11" i="41" s="1"/>
  <c r="D9" i="41"/>
  <c r="D11" i="41" s="1"/>
  <c r="G9" i="41"/>
  <c r="G11" i="41" s="1"/>
  <c r="H9" i="41"/>
  <c r="H11" i="41" s="1"/>
  <c r="J9" i="41"/>
  <c r="J11" i="41" s="1"/>
  <c r="K9" i="41"/>
  <c r="K11" i="41" s="1"/>
  <c r="L9" i="41"/>
  <c r="L11" i="41" s="1"/>
  <c r="L13" i="41" s="1"/>
  <c r="N9" i="41"/>
  <c r="N11" i="41" s="1"/>
  <c r="E7" i="41"/>
  <c r="I7" i="41"/>
  <c r="M7" i="41"/>
  <c r="O7" i="41" s="1"/>
  <c r="Q7" i="41" s="1"/>
  <c r="E8" i="41"/>
  <c r="I8" i="41"/>
  <c r="M8" i="41"/>
  <c r="O8" i="41" s="1"/>
  <c r="Q8" i="41" s="1"/>
  <c r="E10" i="41"/>
  <c r="I10" i="41"/>
  <c r="M10" i="41"/>
  <c r="O10" i="41" s="1"/>
  <c r="Q10" i="41" s="1"/>
  <c r="E16" i="41"/>
  <c r="I16" i="41"/>
  <c r="M16" i="41"/>
  <c r="O16" i="41"/>
  <c r="Q16" i="41" s="1"/>
  <c r="E18" i="41"/>
  <c r="I18" i="41"/>
  <c r="M18" i="41"/>
  <c r="O18" i="41"/>
  <c r="Q18" i="41" s="1"/>
  <c r="R18" i="41" s="1"/>
  <c r="E19" i="41"/>
  <c r="I19" i="41"/>
  <c r="M19" i="41"/>
  <c r="O19" i="41"/>
  <c r="Q19" i="41" s="1"/>
  <c r="R19" i="41" s="1"/>
  <c r="E20" i="41"/>
  <c r="I20" i="41"/>
  <c r="M20" i="41"/>
  <c r="O20" i="41"/>
  <c r="Q20" i="41" s="1"/>
  <c r="R20" i="41" s="1"/>
  <c r="E21" i="41"/>
  <c r="I21" i="41"/>
  <c r="M21" i="41"/>
  <c r="O21" i="41"/>
  <c r="Q21" i="41" s="1"/>
  <c r="R21" i="41" s="1"/>
  <c r="E22" i="41"/>
  <c r="I22" i="41"/>
  <c r="M22" i="41"/>
  <c r="O22" i="41"/>
  <c r="Q22" i="41" s="1"/>
  <c r="R22" i="41" s="1"/>
  <c r="E23" i="41"/>
  <c r="I23" i="41"/>
  <c r="M23" i="41"/>
  <c r="O23" i="41"/>
  <c r="Q23" i="41" s="1"/>
  <c r="R23" i="41" s="1"/>
  <c r="E24" i="41"/>
  <c r="I24" i="41"/>
  <c r="M24" i="41"/>
  <c r="O24" i="41"/>
  <c r="Q24" i="41" s="1"/>
  <c r="R24" i="41" s="1"/>
  <c r="E25" i="41"/>
  <c r="I25" i="41"/>
  <c r="M25" i="41"/>
  <c r="O25" i="41"/>
  <c r="Q25" i="41" s="1"/>
  <c r="R25" i="41" s="1"/>
  <c r="E26" i="41"/>
  <c r="I26" i="41"/>
  <c r="M26" i="41"/>
  <c r="O26" i="41"/>
  <c r="Q26" i="41" s="1"/>
  <c r="R26" i="41" s="1"/>
  <c r="C28" i="41"/>
  <c r="D28" i="41"/>
  <c r="E28" i="41"/>
  <c r="G28" i="41"/>
  <c r="H28" i="41"/>
  <c r="I28" i="41"/>
  <c r="J28" i="41"/>
  <c r="K28" i="41"/>
  <c r="L28" i="41"/>
  <c r="M28" i="41"/>
  <c r="N28" i="41"/>
  <c r="O28" i="41"/>
  <c r="R30" i="41"/>
  <c r="E31" i="41"/>
  <c r="I31" i="41"/>
  <c r="M31" i="41"/>
  <c r="O31" i="41" s="1"/>
  <c r="Q31" i="41" s="1"/>
  <c r="C49" i="41" s="1"/>
  <c r="R31" i="41"/>
  <c r="D35" i="41"/>
  <c r="H35" i="41"/>
  <c r="J35" i="41"/>
  <c r="K35" i="41"/>
  <c r="N35" i="41"/>
  <c r="C44" i="41"/>
  <c r="R79" i="41"/>
  <c r="R80" i="41" s="1"/>
  <c r="R82" i="41"/>
  <c r="R83" i="41" s="1"/>
  <c r="C5" i="40"/>
  <c r="D5" i="40"/>
  <c r="G5" i="40"/>
  <c r="H5" i="40"/>
  <c r="J5" i="40"/>
  <c r="K5" i="40"/>
  <c r="L5" i="40"/>
  <c r="N5" i="40"/>
  <c r="C9" i="40"/>
  <c r="C11" i="40" s="1"/>
  <c r="D9" i="40"/>
  <c r="D11" i="40" s="1"/>
  <c r="D13" i="40" s="1"/>
  <c r="G9" i="40"/>
  <c r="G11" i="40" s="1"/>
  <c r="H9" i="40"/>
  <c r="H11" i="40" s="1"/>
  <c r="J9" i="40"/>
  <c r="J11" i="40" s="1"/>
  <c r="K9" i="40"/>
  <c r="K11" i="40" s="1"/>
  <c r="K13" i="40" s="1"/>
  <c r="L9" i="40"/>
  <c r="L11" i="40" s="1"/>
  <c r="N9" i="40"/>
  <c r="N11" i="40" s="1"/>
  <c r="E7" i="40"/>
  <c r="I7" i="40"/>
  <c r="M7" i="40"/>
  <c r="O7" i="40" s="1"/>
  <c r="Q7" i="40" s="1"/>
  <c r="E8" i="40"/>
  <c r="I8" i="40"/>
  <c r="M8" i="40"/>
  <c r="O8" i="40"/>
  <c r="Q8" i="40" s="1"/>
  <c r="E10" i="40"/>
  <c r="I10" i="40"/>
  <c r="M10" i="40"/>
  <c r="O10" i="40" s="1"/>
  <c r="Q10" i="40" s="1"/>
  <c r="E16" i="40"/>
  <c r="I16" i="40"/>
  <c r="M16" i="40"/>
  <c r="O16" i="40" s="1"/>
  <c r="E18" i="40"/>
  <c r="I18" i="40"/>
  <c r="I28" i="40" s="1"/>
  <c r="M18" i="40"/>
  <c r="E19" i="40"/>
  <c r="I19" i="40"/>
  <c r="M19" i="40"/>
  <c r="O19" i="40" s="1"/>
  <c r="Q19" i="40" s="1"/>
  <c r="R19" i="40" s="1"/>
  <c r="E20" i="40"/>
  <c r="I20" i="40"/>
  <c r="M20" i="40"/>
  <c r="E21" i="40"/>
  <c r="I21" i="40"/>
  <c r="M21" i="40"/>
  <c r="O21" i="40" s="1"/>
  <c r="Q21" i="40" s="1"/>
  <c r="R21" i="40" s="1"/>
  <c r="E22" i="40"/>
  <c r="I22" i="40"/>
  <c r="M22" i="40"/>
  <c r="E23" i="40"/>
  <c r="I23" i="40"/>
  <c r="M23" i="40"/>
  <c r="O23" i="40" s="1"/>
  <c r="Q23" i="40" s="1"/>
  <c r="R23" i="40" s="1"/>
  <c r="E24" i="40"/>
  <c r="I24" i="40"/>
  <c r="M24" i="40"/>
  <c r="E25" i="40"/>
  <c r="I25" i="40"/>
  <c r="M25" i="40"/>
  <c r="O25" i="40" s="1"/>
  <c r="Q25" i="40" s="1"/>
  <c r="R25" i="40" s="1"/>
  <c r="E26" i="40"/>
  <c r="I26" i="40"/>
  <c r="M26" i="40"/>
  <c r="C28" i="40"/>
  <c r="D28" i="40"/>
  <c r="E28" i="40"/>
  <c r="G28" i="40"/>
  <c r="H28" i="40"/>
  <c r="J28" i="40"/>
  <c r="K28" i="40"/>
  <c r="L28" i="40"/>
  <c r="N28" i="40"/>
  <c r="R30" i="40"/>
  <c r="E31" i="40"/>
  <c r="I31" i="40"/>
  <c r="M31" i="40"/>
  <c r="R31" i="40"/>
  <c r="D35" i="40"/>
  <c r="G35" i="40"/>
  <c r="J35" i="40"/>
  <c r="K35" i="40"/>
  <c r="N35" i="40"/>
  <c r="C44" i="40"/>
  <c r="R79" i="40"/>
  <c r="R80" i="40" s="1"/>
  <c r="R82" i="40"/>
  <c r="R83" i="40" s="1"/>
  <c r="C5" i="39"/>
  <c r="D5" i="39"/>
  <c r="G5" i="39"/>
  <c r="H5" i="39"/>
  <c r="J5" i="39"/>
  <c r="K5" i="39"/>
  <c r="L5" i="39"/>
  <c r="C9" i="39"/>
  <c r="C11" i="39" s="1"/>
  <c r="D9" i="39"/>
  <c r="D11" i="39" s="1"/>
  <c r="G9" i="39"/>
  <c r="G11" i="39" s="1"/>
  <c r="H9" i="39"/>
  <c r="H11" i="39" s="1"/>
  <c r="J9" i="39"/>
  <c r="J11" i="39" s="1"/>
  <c r="K9" i="39"/>
  <c r="K11" i="39" s="1"/>
  <c r="L9" i="39"/>
  <c r="L11" i="39" s="1"/>
  <c r="N9" i="39"/>
  <c r="N11" i="39" s="1"/>
  <c r="E7" i="39"/>
  <c r="I7" i="39"/>
  <c r="M7" i="39"/>
  <c r="O7" i="39" s="1"/>
  <c r="Q7" i="39" s="1"/>
  <c r="E8" i="39"/>
  <c r="I8" i="39"/>
  <c r="M8" i="39"/>
  <c r="O8" i="39" s="1"/>
  <c r="Q8" i="39" s="1"/>
  <c r="E10" i="39"/>
  <c r="I10" i="39"/>
  <c r="M10" i="39"/>
  <c r="O10" i="39" s="1"/>
  <c r="Q10" i="39" s="1"/>
  <c r="E16" i="39"/>
  <c r="I16" i="39"/>
  <c r="M16" i="39"/>
  <c r="O16" i="39"/>
  <c r="Q16" i="39" s="1"/>
  <c r="E18" i="39"/>
  <c r="I18" i="39"/>
  <c r="M18" i="39"/>
  <c r="O18" i="39"/>
  <c r="Q18" i="39" s="1"/>
  <c r="R18" i="39" s="1"/>
  <c r="E19" i="39"/>
  <c r="I19" i="39"/>
  <c r="M19" i="39"/>
  <c r="O19" i="39"/>
  <c r="Q19" i="39" s="1"/>
  <c r="R19" i="39" s="1"/>
  <c r="E20" i="39"/>
  <c r="I20" i="39"/>
  <c r="M20" i="39"/>
  <c r="O20" i="39"/>
  <c r="Q20" i="39" s="1"/>
  <c r="R20" i="39" s="1"/>
  <c r="E21" i="39"/>
  <c r="I21" i="39"/>
  <c r="M21" i="39"/>
  <c r="O21" i="39"/>
  <c r="Q21" i="39" s="1"/>
  <c r="R21" i="39" s="1"/>
  <c r="E22" i="39"/>
  <c r="I22" i="39"/>
  <c r="M22" i="39"/>
  <c r="O22" i="39"/>
  <c r="Q22" i="39" s="1"/>
  <c r="R22" i="39" s="1"/>
  <c r="E23" i="39"/>
  <c r="I23" i="39"/>
  <c r="M23" i="39"/>
  <c r="O23" i="39"/>
  <c r="Q23" i="39" s="1"/>
  <c r="R23" i="39" s="1"/>
  <c r="E24" i="39"/>
  <c r="I24" i="39"/>
  <c r="M24" i="39"/>
  <c r="O24" i="39"/>
  <c r="Q24" i="39" s="1"/>
  <c r="R24" i="39" s="1"/>
  <c r="E25" i="39"/>
  <c r="I25" i="39"/>
  <c r="M25" i="39"/>
  <c r="O25" i="39"/>
  <c r="Q25" i="39" s="1"/>
  <c r="R25" i="39" s="1"/>
  <c r="E26" i="39"/>
  <c r="I26" i="39"/>
  <c r="M26" i="39"/>
  <c r="O26" i="39"/>
  <c r="Q26" i="39" s="1"/>
  <c r="R26" i="39" s="1"/>
  <c r="C28" i="39"/>
  <c r="D28" i="39"/>
  <c r="E28" i="39"/>
  <c r="G28" i="39"/>
  <c r="H28" i="39"/>
  <c r="I28" i="39"/>
  <c r="J28" i="39"/>
  <c r="K28" i="39"/>
  <c r="L28" i="39"/>
  <c r="M28" i="39"/>
  <c r="N28" i="39"/>
  <c r="O28" i="39"/>
  <c r="R30" i="39"/>
  <c r="E31" i="39"/>
  <c r="I31" i="39"/>
  <c r="M31" i="39"/>
  <c r="O31" i="39" s="1"/>
  <c r="Q31" i="39" s="1"/>
  <c r="C47" i="39" s="1"/>
  <c r="R31" i="39"/>
  <c r="D35" i="39"/>
  <c r="G35" i="39"/>
  <c r="H35" i="39"/>
  <c r="J35" i="39"/>
  <c r="K35" i="39"/>
  <c r="N35" i="39"/>
  <c r="C44" i="39"/>
  <c r="R79" i="39"/>
  <c r="R80" i="39" s="1"/>
  <c r="R82" i="39"/>
  <c r="R83" i="39" s="1"/>
  <c r="C5" i="38"/>
  <c r="D5" i="38"/>
  <c r="G5" i="38"/>
  <c r="H5" i="38"/>
  <c r="J5" i="38"/>
  <c r="K5" i="38"/>
  <c r="L5" i="38"/>
  <c r="N5" i="38"/>
  <c r="C9" i="38"/>
  <c r="C11" i="38" s="1"/>
  <c r="D9" i="38"/>
  <c r="D11" i="38" s="1"/>
  <c r="D13" i="38" s="1"/>
  <c r="D30" i="38" s="1"/>
  <c r="G9" i="38"/>
  <c r="G11" i="38" s="1"/>
  <c r="H9" i="38"/>
  <c r="H11" i="38" s="1"/>
  <c r="H13" i="38" s="1"/>
  <c r="J9" i="38"/>
  <c r="J11" i="38" s="1"/>
  <c r="K9" i="38"/>
  <c r="K11" i="38" s="1"/>
  <c r="K13" i="38" s="1"/>
  <c r="K30" i="38" s="1"/>
  <c r="L9" i="38"/>
  <c r="L11" i="38" s="1"/>
  <c r="L13" i="38" s="1"/>
  <c r="N9" i="38"/>
  <c r="N11" i="38" s="1"/>
  <c r="N13" i="38" s="1"/>
  <c r="E6" i="38"/>
  <c r="E7" i="38"/>
  <c r="I7" i="38"/>
  <c r="M7" i="38"/>
  <c r="O7" i="38" s="1"/>
  <c r="Q7" i="38" s="1"/>
  <c r="E8" i="38"/>
  <c r="I8" i="38"/>
  <c r="M8" i="38"/>
  <c r="O8" i="38" s="1"/>
  <c r="Q8" i="38" s="1"/>
  <c r="E10" i="38"/>
  <c r="I10" i="38"/>
  <c r="M10" i="38"/>
  <c r="E16" i="38"/>
  <c r="I16" i="38"/>
  <c r="M16" i="38"/>
  <c r="E18" i="38"/>
  <c r="E28" i="38" s="1"/>
  <c r="I18" i="38"/>
  <c r="M18" i="38"/>
  <c r="O18" i="38" s="1"/>
  <c r="Q18" i="38" s="1"/>
  <c r="R18" i="38" s="1"/>
  <c r="E19" i="38"/>
  <c r="I19" i="38"/>
  <c r="M19" i="38"/>
  <c r="O19" i="38" s="1"/>
  <c r="Q19" i="38" s="1"/>
  <c r="R19" i="38" s="1"/>
  <c r="E20" i="38"/>
  <c r="I20" i="38"/>
  <c r="M20" i="38"/>
  <c r="O20" i="38" s="1"/>
  <c r="Q20" i="38" s="1"/>
  <c r="R20" i="38" s="1"/>
  <c r="E21" i="38"/>
  <c r="I21" i="38"/>
  <c r="M21" i="38"/>
  <c r="O21" i="38" s="1"/>
  <c r="Q21" i="38" s="1"/>
  <c r="R21" i="38" s="1"/>
  <c r="E22" i="38"/>
  <c r="I22" i="38"/>
  <c r="M22" i="38"/>
  <c r="O22" i="38" s="1"/>
  <c r="Q22" i="38" s="1"/>
  <c r="R22" i="38" s="1"/>
  <c r="E23" i="38"/>
  <c r="I23" i="38"/>
  <c r="M23" i="38"/>
  <c r="O23" i="38" s="1"/>
  <c r="Q23" i="38" s="1"/>
  <c r="R23" i="38" s="1"/>
  <c r="E24" i="38"/>
  <c r="I24" i="38"/>
  <c r="M24" i="38"/>
  <c r="O24" i="38" s="1"/>
  <c r="Q24" i="38" s="1"/>
  <c r="R24" i="38" s="1"/>
  <c r="E25" i="38"/>
  <c r="I25" i="38"/>
  <c r="M25" i="38"/>
  <c r="O25" i="38" s="1"/>
  <c r="Q25" i="38" s="1"/>
  <c r="R25" i="38" s="1"/>
  <c r="E26" i="38"/>
  <c r="I26" i="38"/>
  <c r="M26" i="38"/>
  <c r="O26" i="38" s="1"/>
  <c r="Q26" i="38" s="1"/>
  <c r="R26" i="38" s="1"/>
  <c r="C28" i="38"/>
  <c r="D28" i="38"/>
  <c r="G28" i="38"/>
  <c r="H28" i="38"/>
  <c r="I28" i="38"/>
  <c r="J28" i="38"/>
  <c r="K28" i="38"/>
  <c r="L28" i="38"/>
  <c r="N28" i="38"/>
  <c r="R30" i="38"/>
  <c r="R79" i="38" s="1"/>
  <c r="R80" i="38" s="1"/>
  <c r="E31" i="38"/>
  <c r="I31" i="38"/>
  <c r="M31" i="38"/>
  <c r="O31" i="38"/>
  <c r="Q31" i="38" s="1"/>
  <c r="C46" i="38" s="1"/>
  <c r="R31" i="38"/>
  <c r="D35" i="38"/>
  <c r="G35" i="38"/>
  <c r="H35" i="38"/>
  <c r="J35" i="38"/>
  <c r="K35" i="38"/>
  <c r="N35" i="38"/>
  <c r="C44" i="38"/>
  <c r="R82" i="38"/>
  <c r="R83" i="38" s="1"/>
  <c r="C5" i="37"/>
  <c r="D5" i="37"/>
  <c r="G5" i="37"/>
  <c r="H5" i="37"/>
  <c r="J5" i="37"/>
  <c r="J13" i="37" s="1"/>
  <c r="K5" i="37"/>
  <c r="L5" i="37"/>
  <c r="N5" i="37"/>
  <c r="C9" i="37"/>
  <c r="C11" i="37" s="1"/>
  <c r="C13" i="37" s="1"/>
  <c r="D9" i="37"/>
  <c r="D11" i="37" s="1"/>
  <c r="G9" i="37"/>
  <c r="G11" i="37" s="1"/>
  <c r="H9" i="37"/>
  <c r="J9" i="37"/>
  <c r="J11" i="37" s="1"/>
  <c r="K9" i="37"/>
  <c r="K11" i="37" s="1"/>
  <c r="L9" i="37"/>
  <c r="L11" i="37" s="1"/>
  <c r="N9" i="37"/>
  <c r="N11" i="37" s="1"/>
  <c r="N13" i="37" s="1"/>
  <c r="E7" i="37"/>
  <c r="I7" i="37"/>
  <c r="M7" i="37"/>
  <c r="O7" i="37"/>
  <c r="Q7" i="37" s="1"/>
  <c r="E8" i="37"/>
  <c r="I8" i="37"/>
  <c r="M8" i="37"/>
  <c r="E10" i="37"/>
  <c r="I10" i="37"/>
  <c r="M10" i="37"/>
  <c r="O10" i="37" s="1"/>
  <c r="E16" i="37"/>
  <c r="I16" i="37"/>
  <c r="M16" i="37"/>
  <c r="O16" i="37"/>
  <c r="M17" i="37"/>
  <c r="E18" i="37"/>
  <c r="I18" i="37"/>
  <c r="M18" i="37"/>
  <c r="E19" i="37"/>
  <c r="I19" i="37"/>
  <c r="M19" i="37"/>
  <c r="E20" i="37"/>
  <c r="I20" i="37"/>
  <c r="M20" i="37"/>
  <c r="O20" i="37" s="1"/>
  <c r="E21" i="37"/>
  <c r="I21" i="37"/>
  <c r="M21" i="37"/>
  <c r="E22" i="37"/>
  <c r="I22" i="37"/>
  <c r="M22" i="37"/>
  <c r="O22" i="37" s="1"/>
  <c r="E23" i="37"/>
  <c r="I23" i="37"/>
  <c r="M23" i="37"/>
  <c r="E24" i="37"/>
  <c r="E28" i="37" s="1"/>
  <c r="I24" i="37"/>
  <c r="M24" i="37"/>
  <c r="O24" i="37" s="1"/>
  <c r="E25" i="37"/>
  <c r="I25" i="37"/>
  <c r="M25" i="37"/>
  <c r="E26" i="37"/>
  <c r="I26" i="37"/>
  <c r="M26" i="37"/>
  <c r="O26" i="37" s="1"/>
  <c r="C28" i="37"/>
  <c r="D28" i="37"/>
  <c r="G28" i="37"/>
  <c r="H28" i="37"/>
  <c r="J28" i="37"/>
  <c r="K28" i="37"/>
  <c r="L28" i="37"/>
  <c r="N28" i="37"/>
  <c r="R30" i="37"/>
  <c r="E31" i="37"/>
  <c r="I31" i="37"/>
  <c r="M31" i="37"/>
  <c r="R31" i="37"/>
  <c r="C35" i="37"/>
  <c r="D35" i="37"/>
  <c r="G35" i="37"/>
  <c r="H35" i="37"/>
  <c r="J35" i="37"/>
  <c r="K35" i="37"/>
  <c r="L35" i="37"/>
  <c r="N35" i="37"/>
  <c r="C44" i="37"/>
  <c r="R79" i="37"/>
  <c r="R80" i="37" s="1"/>
  <c r="R82" i="37"/>
  <c r="R83" i="37" s="1"/>
  <c r="E5" i="36"/>
  <c r="I5" i="36"/>
  <c r="M5" i="36"/>
  <c r="O5" i="36" s="1"/>
  <c r="E7" i="36"/>
  <c r="I7" i="36"/>
  <c r="M7" i="36"/>
  <c r="E8" i="36"/>
  <c r="I8" i="36"/>
  <c r="M8" i="36"/>
  <c r="O8" i="36" s="1"/>
  <c r="Q8" i="36" s="1"/>
  <c r="E9" i="36"/>
  <c r="I9" i="36"/>
  <c r="M9" i="36"/>
  <c r="O9" i="36" s="1"/>
  <c r="Q9" i="36" s="1"/>
  <c r="E10" i="36"/>
  <c r="I10" i="36"/>
  <c r="M10" i="36"/>
  <c r="O10" i="36"/>
  <c r="Q10" i="36" s="1"/>
  <c r="C11" i="36"/>
  <c r="D11" i="36"/>
  <c r="E11" i="36" s="1"/>
  <c r="E13" i="36" s="1"/>
  <c r="G11" i="36"/>
  <c r="G13" i="36" s="1"/>
  <c r="G30" i="36" s="1"/>
  <c r="H11" i="36"/>
  <c r="J11" i="36"/>
  <c r="J13" i="36" s="1"/>
  <c r="J30" i="36" s="1"/>
  <c r="K11" i="36"/>
  <c r="L11" i="36"/>
  <c r="L13" i="36" s="1"/>
  <c r="L30" i="36" s="1"/>
  <c r="N11" i="36"/>
  <c r="C13" i="36"/>
  <c r="H13" i="36"/>
  <c r="K13" i="36"/>
  <c r="N13" i="36"/>
  <c r="E16" i="36"/>
  <c r="I16" i="36"/>
  <c r="M16" i="36"/>
  <c r="E18" i="36"/>
  <c r="E28" i="36" s="1"/>
  <c r="I18" i="36"/>
  <c r="M18" i="36"/>
  <c r="O18" i="36" s="1"/>
  <c r="Q18" i="36" s="1"/>
  <c r="R18" i="36" s="1"/>
  <c r="E19" i="36"/>
  <c r="I19" i="36"/>
  <c r="M19" i="36"/>
  <c r="E20" i="36"/>
  <c r="I20" i="36"/>
  <c r="M20" i="36"/>
  <c r="O20" i="36" s="1"/>
  <c r="Q20" i="36" s="1"/>
  <c r="R20" i="36" s="1"/>
  <c r="E21" i="36"/>
  <c r="I21" i="36"/>
  <c r="M21" i="36"/>
  <c r="E22" i="36"/>
  <c r="I22" i="36"/>
  <c r="M22" i="36"/>
  <c r="O22" i="36" s="1"/>
  <c r="Q22" i="36" s="1"/>
  <c r="R22" i="36" s="1"/>
  <c r="E23" i="36"/>
  <c r="I23" i="36"/>
  <c r="M23" i="36"/>
  <c r="E24" i="36"/>
  <c r="I24" i="36"/>
  <c r="M24" i="36"/>
  <c r="O24" i="36" s="1"/>
  <c r="Q24" i="36" s="1"/>
  <c r="R24" i="36" s="1"/>
  <c r="E25" i="36"/>
  <c r="I25" i="36"/>
  <c r="M25" i="36"/>
  <c r="E26" i="36"/>
  <c r="I26" i="36"/>
  <c r="M26" i="36"/>
  <c r="O26" i="36" s="1"/>
  <c r="Q26" i="36" s="1"/>
  <c r="R26" i="36" s="1"/>
  <c r="C28" i="36"/>
  <c r="D28" i="36"/>
  <c r="G28" i="36"/>
  <c r="H28" i="36"/>
  <c r="I28" i="36"/>
  <c r="J28" i="36"/>
  <c r="K28" i="36"/>
  <c r="L28" i="36"/>
  <c r="N28" i="36"/>
  <c r="C30" i="36"/>
  <c r="C34" i="36" s="1"/>
  <c r="E30" i="36"/>
  <c r="H30" i="36"/>
  <c r="H34" i="36" s="1"/>
  <c r="K30" i="36"/>
  <c r="K32" i="36" s="1"/>
  <c r="N30" i="36"/>
  <c r="N34" i="36" s="1"/>
  <c r="Q30" i="36"/>
  <c r="E44" i="36" s="1"/>
  <c r="R30" i="36"/>
  <c r="E31" i="36"/>
  <c r="I31" i="36"/>
  <c r="M31" i="36"/>
  <c r="O31" i="36" s="1"/>
  <c r="R31" i="36"/>
  <c r="C32" i="36"/>
  <c r="E32" i="36"/>
  <c r="C39" i="36" s="1"/>
  <c r="J44" i="36" s="1"/>
  <c r="H32" i="36"/>
  <c r="C35" i="36"/>
  <c r="D35" i="36"/>
  <c r="E35" i="36" s="1"/>
  <c r="G35" i="36"/>
  <c r="H35" i="36"/>
  <c r="J35" i="36"/>
  <c r="M35" i="36" s="1"/>
  <c r="K35" i="36"/>
  <c r="L35" i="36"/>
  <c r="N35" i="36"/>
  <c r="R79" i="36"/>
  <c r="R80" i="36"/>
  <c r="R82" i="36"/>
  <c r="R83" i="36"/>
  <c r="E35" i="37" l="1"/>
  <c r="I5" i="37"/>
  <c r="E11" i="46"/>
  <c r="M5" i="45"/>
  <c r="L13" i="45"/>
  <c r="L30" i="45" s="1"/>
  <c r="L32" i="45" s="1"/>
  <c r="I5" i="45"/>
  <c r="O5" i="45"/>
  <c r="I9" i="45"/>
  <c r="H13" i="45"/>
  <c r="K13" i="44"/>
  <c r="L13" i="42"/>
  <c r="L30" i="42" s="1"/>
  <c r="L32" i="42" s="1"/>
  <c r="G35" i="41"/>
  <c r="H35" i="40"/>
  <c r="C53" i="46"/>
  <c r="C52" i="45"/>
  <c r="D13" i="44"/>
  <c r="D30" i="44" s="1"/>
  <c r="I5" i="44"/>
  <c r="E5" i="43"/>
  <c r="K79" i="36"/>
  <c r="K80" i="36" s="1"/>
  <c r="L34" i="36"/>
  <c r="L32" i="36"/>
  <c r="M30" i="36"/>
  <c r="J32" i="36"/>
  <c r="I30" i="36"/>
  <c r="G79" i="36"/>
  <c r="G32" i="36"/>
  <c r="G34" i="36"/>
  <c r="I35" i="36"/>
  <c r="K34" i="36"/>
  <c r="N32" i="36"/>
  <c r="N39" i="36" s="1"/>
  <c r="N44" i="36" s="1"/>
  <c r="E79" i="36"/>
  <c r="O25" i="36"/>
  <c r="Q25" i="36" s="1"/>
  <c r="R25" i="36" s="1"/>
  <c r="O23" i="36"/>
  <c r="Q23" i="36" s="1"/>
  <c r="R23" i="36" s="1"/>
  <c r="O21" i="36"/>
  <c r="Q21" i="36" s="1"/>
  <c r="R21" i="36" s="1"/>
  <c r="O19" i="36"/>
  <c r="Q19" i="36" s="1"/>
  <c r="R19" i="36" s="1"/>
  <c r="O16" i="36"/>
  <c r="D13" i="36"/>
  <c r="D30" i="36" s="1"/>
  <c r="I11" i="36"/>
  <c r="O7" i="36"/>
  <c r="Q7" i="36" s="1"/>
  <c r="O31" i="37"/>
  <c r="Q31" i="37"/>
  <c r="C45" i="37" s="1"/>
  <c r="O25" i="37"/>
  <c r="Q25" i="37"/>
  <c r="R25" i="37" s="1"/>
  <c r="O23" i="37"/>
  <c r="Q23" i="37"/>
  <c r="R23" i="37" s="1"/>
  <c r="O21" i="37"/>
  <c r="Q21" i="37"/>
  <c r="R21" i="37" s="1"/>
  <c r="O19" i="37"/>
  <c r="Q19" i="37"/>
  <c r="R19" i="37" s="1"/>
  <c r="Q10" i="37"/>
  <c r="N30" i="38"/>
  <c r="H30" i="38"/>
  <c r="H32" i="38" s="1"/>
  <c r="H79" i="38" s="1"/>
  <c r="E80" i="36"/>
  <c r="M11" i="36"/>
  <c r="Q26" i="37"/>
  <c r="R26" i="37" s="1"/>
  <c r="Q24" i="37"/>
  <c r="R24" i="37" s="1"/>
  <c r="Q22" i="37"/>
  <c r="R22" i="37" s="1"/>
  <c r="Q20" i="37"/>
  <c r="R20" i="37" s="1"/>
  <c r="I28" i="37"/>
  <c r="J30" i="37"/>
  <c r="J32" i="37" s="1"/>
  <c r="J79" i="37" s="1"/>
  <c r="N30" i="37"/>
  <c r="H11" i="37"/>
  <c r="H13" i="37" s="1"/>
  <c r="H30" i="37" s="1"/>
  <c r="I9" i="37"/>
  <c r="O16" i="38"/>
  <c r="M28" i="38"/>
  <c r="O8" i="37"/>
  <c r="Q8" i="37" s="1"/>
  <c r="C30" i="37"/>
  <c r="O10" i="38"/>
  <c r="Q10" i="38" s="1"/>
  <c r="L30" i="38"/>
  <c r="I35" i="39"/>
  <c r="I9" i="39"/>
  <c r="L13" i="39"/>
  <c r="L30" i="39" s="1"/>
  <c r="L32" i="39" s="1"/>
  <c r="L79" i="39" s="1"/>
  <c r="I5" i="39"/>
  <c r="E5" i="39"/>
  <c r="I35" i="40"/>
  <c r="O31" i="40"/>
  <c r="Q31" i="40" s="1"/>
  <c r="C48" i="40" s="1"/>
  <c r="O26" i="40"/>
  <c r="Q26" i="40" s="1"/>
  <c r="R26" i="40" s="1"/>
  <c r="O24" i="40"/>
  <c r="Q24" i="40" s="1"/>
  <c r="R24" i="40" s="1"/>
  <c r="O22" i="40"/>
  <c r="Q22" i="40" s="1"/>
  <c r="R22" i="40" s="1"/>
  <c r="O20" i="40"/>
  <c r="Q20" i="40" s="1"/>
  <c r="R20" i="40" s="1"/>
  <c r="O18" i="40"/>
  <c r="Q18" i="40" s="1"/>
  <c r="R18" i="40" s="1"/>
  <c r="E9" i="40"/>
  <c r="K30" i="40"/>
  <c r="D30" i="40"/>
  <c r="D32" i="40" s="1"/>
  <c r="D79" i="40" s="1"/>
  <c r="E5" i="40"/>
  <c r="I35" i="41"/>
  <c r="I9" i="41"/>
  <c r="L30" i="41"/>
  <c r="L32" i="41" s="1"/>
  <c r="O31" i="42"/>
  <c r="Q31" i="42" s="1"/>
  <c r="C50" i="42" s="1"/>
  <c r="O26" i="42"/>
  <c r="Q26" i="42" s="1"/>
  <c r="R26" i="42" s="1"/>
  <c r="O24" i="42"/>
  <c r="Q24" i="42" s="1"/>
  <c r="I28" i="42"/>
  <c r="I9" i="42"/>
  <c r="N30" i="42"/>
  <c r="N32" i="42" s="1"/>
  <c r="N39" i="42" s="1"/>
  <c r="N50" i="42" s="1"/>
  <c r="O31" i="43"/>
  <c r="Q31" i="43" s="1"/>
  <c r="C51" i="43" s="1"/>
  <c r="O26" i="43"/>
  <c r="Q26" i="43" s="1"/>
  <c r="R26" i="43" s="1"/>
  <c r="O24" i="43"/>
  <c r="Q24" i="43" s="1"/>
  <c r="R24" i="43" s="1"/>
  <c r="O22" i="43"/>
  <c r="Q22" i="43" s="1"/>
  <c r="R22" i="43" s="1"/>
  <c r="O20" i="43"/>
  <c r="Q20" i="43" s="1"/>
  <c r="R20" i="43" s="1"/>
  <c r="O18" i="43"/>
  <c r="Q18" i="43" s="1"/>
  <c r="R18" i="43" s="1"/>
  <c r="E9" i="43"/>
  <c r="K30" i="43"/>
  <c r="H30" i="43"/>
  <c r="H32" i="43" s="1"/>
  <c r="H79" i="43" s="1"/>
  <c r="D13" i="43"/>
  <c r="D30" i="43" s="1"/>
  <c r="O25" i="44"/>
  <c r="Q25" i="44" s="1"/>
  <c r="R25" i="44" s="1"/>
  <c r="O23" i="44"/>
  <c r="Q23" i="44" s="1"/>
  <c r="R23" i="44" s="1"/>
  <c r="O21" i="44"/>
  <c r="Q21" i="44" s="1"/>
  <c r="R21" i="44" s="1"/>
  <c r="O19" i="44"/>
  <c r="Q19" i="44" s="1"/>
  <c r="R19" i="44" s="1"/>
  <c r="O16" i="44"/>
  <c r="Q10" i="42"/>
  <c r="Q8" i="42"/>
  <c r="K30" i="44"/>
  <c r="O16" i="45"/>
  <c r="M28" i="45"/>
  <c r="N30" i="45"/>
  <c r="H30" i="45"/>
  <c r="H32" i="45" s="1"/>
  <c r="O10" i="45"/>
  <c r="Q10" i="45" s="1"/>
  <c r="O8" i="45"/>
  <c r="Q8" i="45" s="1"/>
  <c r="O25" i="46"/>
  <c r="Q25" i="46" s="1"/>
  <c r="R25" i="46" s="1"/>
  <c r="O23" i="46"/>
  <c r="Q23" i="46" s="1"/>
  <c r="R23" i="46" s="1"/>
  <c r="O21" i="46"/>
  <c r="Q21" i="46" s="1"/>
  <c r="R21" i="46" s="1"/>
  <c r="O19" i="46"/>
  <c r="Q19" i="46" s="1"/>
  <c r="R19" i="46" s="1"/>
  <c r="O16" i="46"/>
  <c r="K30" i="46"/>
  <c r="D30" i="46"/>
  <c r="O23" i="47"/>
  <c r="Q23" i="47" s="1"/>
  <c r="R23" i="47" s="1"/>
  <c r="O26" i="47"/>
  <c r="Q26" i="47" s="1"/>
  <c r="O8" i="47"/>
  <c r="Q8" i="47" s="1"/>
  <c r="I28" i="47"/>
  <c r="N13" i="47"/>
  <c r="E5" i="38"/>
  <c r="M9" i="40"/>
  <c r="I5" i="40"/>
  <c r="M11" i="37"/>
  <c r="L13" i="37"/>
  <c r="L30" i="37" s="1"/>
  <c r="L34" i="37" s="1"/>
  <c r="L36" i="37" s="1"/>
  <c r="I5" i="42"/>
  <c r="N52" i="47"/>
  <c r="M5" i="37"/>
  <c r="O5" i="37" s="1"/>
  <c r="I11" i="45"/>
  <c r="I13" i="45" s="1"/>
  <c r="E5" i="45"/>
  <c r="Q5" i="45" s="1"/>
  <c r="E9" i="46"/>
  <c r="E5" i="46"/>
  <c r="K79" i="47"/>
  <c r="K80" i="47" s="1"/>
  <c r="E9" i="47"/>
  <c r="I5" i="47"/>
  <c r="O5" i="47" s="1"/>
  <c r="Q5" i="47" s="1"/>
  <c r="E5" i="47"/>
  <c r="I35" i="37"/>
  <c r="I35" i="38"/>
  <c r="I9" i="38"/>
  <c r="H13" i="39"/>
  <c r="H30" i="39" s="1"/>
  <c r="H32" i="39" s="1"/>
  <c r="I5" i="41"/>
  <c r="M5" i="42"/>
  <c r="M9" i="43"/>
  <c r="E11" i="43"/>
  <c r="M5" i="47"/>
  <c r="M5" i="39"/>
  <c r="L35" i="38"/>
  <c r="M35" i="38" s="1"/>
  <c r="C35" i="38"/>
  <c r="E35" i="38" s="1"/>
  <c r="N13" i="41"/>
  <c r="N30" i="41" s="1"/>
  <c r="N32" i="41" s="1"/>
  <c r="M5" i="41"/>
  <c r="H13" i="41"/>
  <c r="H30" i="41" s="1"/>
  <c r="E5" i="41"/>
  <c r="I35" i="43"/>
  <c r="O5" i="42"/>
  <c r="I11" i="47"/>
  <c r="G13" i="47"/>
  <c r="G30" i="47" s="1"/>
  <c r="I11" i="39"/>
  <c r="I11" i="41"/>
  <c r="M11" i="46"/>
  <c r="M11" i="38"/>
  <c r="J13" i="38"/>
  <c r="J30" i="38" s="1"/>
  <c r="J32" i="38" s="1"/>
  <c r="E11" i="38"/>
  <c r="C13" i="38"/>
  <c r="C30" i="38" s="1"/>
  <c r="E30" i="38" s="1"/>
  <c r="H32" i="42"/>
  <c r="N32" i="45"/>
  <c r="M11" i="43"/>
  <c r="I11" i="37"/>
  <c r="G13" i="37"/>
  <c r="G30" i="37" s="1"/>
  <c r="G32" i="37" s="1"/>
  <c r="M5" i="38"/>
  <c r="M11" i="40"/>
  <c r="E11" i="40"/>
  <c r="N13" i="40"/>
  <c r="N30" i="40" s="1"/>
  <c r="C13" i="40"/>
  <c r="C30" i="40" s="1"/>
  <c r="E30" i="40" s="1"/>
  <c r="G13" i="41"/>
  <c r="G30" i="41" s="1"/>
  <c r="G32" i="41" s="1"/>
  <c r="G79" i="41" s="1"/>
  <c r="K13" i="42"/>
  <c r="K30" i="42" s="1"/>
  <c r="G13" i="42"/>
  <c r="G30" i="42" s="1"/>
  <c r="N13" i="43"/>
  <c r="N30" i="43" s="1"/>
  <c r="L13" i="44"/>
  <c r="L30" i="44" s="1"/>
  <c r="M5" i="44"/>
  <c r="G13" i="45"/>
  <c r="G30" i="45" s="1"/>
  <c r="G32" i="45" s="1"/>
  <c r="M9" i="46"/>
  <c r="N13" i="46"/>
  <c r="N30" i="46" s="1"/>
  <c r="I5" i="46"/>
  <c r="C13" i="46"/>
  <c r="C30" i="46" s="1"/>
  <c r="C32" i="46" s="1"/>
  <c r="N30" i="47"/>
  <c r="H30" i="47"/>
  <c r="I9" i="47"/>
  <c r="D13" i="47"/>
  <c r="D30" i="47" s="1"/>
  <c r="D32" i="47" s="1"/>
  <c r="D79" i="47" s="1"/>
  <c r="E5" i="37"/>
  <c r="Q5" i="37" s="1"/>
  <c r="M9" i="38"/>
  <c r="O9" i="38" s="1"/>
  <c r="E9" i="38"/>
  <c r="I5" i="38"/>
  <c r="O5" i="38" s="1"/>
  <c r="G13" i="39"/>
  <c r="G30" i="39" s="1"/>
  <c r="G32" i="39" s="1"/>
  <c r="G79" i="39" s="1"/>
  <c r="L13" i="40"/>
  <c r="L30" i="40" s="1"/>
  <c r="L32" i="40" s="1"/>
  <c r="L79" i="40" s="1"/>
  <c r="M5" i="40"/>
  <c r="L13" i="43"/>
  <c r="L30" i="43" s="1"/>
  <c r="L32" i="43" s="1"/>
  <c r="L79" i="43" s="1"/>
  <c r="M5" i="43"/>
  <c r="C13" i="43"/>
  <c r="C30" i="43" s="1"/>
  <c r="E30" i="43" s="1"/>
  <c r="M11" i="44"/>
  <c r="E11" i="44"/>
  <c r="C13" i="44"/>
  <c r="C30" i="44" s="1"/>
  <c r="L13" i="46"/>
  <c r="L30" i="46" s="1"/>
  <c r="M5" i="46"/>
  <c r="L30" i="47"/>
  <c r="L32" i="47" s="1"/>
  <c r="O35" i="36"/>
  <c r="L36" i="36"/>
  <c r="M32" i="36"/>
  <c r="H36" i="36"/>
  <c r="E34" i="36"/>
  <c r="C36" i="36"/>
  <c r="C82" i="36"/>
  <c r="O28" i="36"/>
  <c r="Q16" i="36"/>
  <c r="O11" i="36"/>
  <c r="Q11" i="36" s="1"/>
  <c r="R11" i="36" s="1"/>
  <c r="I13" i="36"/>
  <c r="N32" i="37"/>
  <c r="N79" i="37" s="1"/>
  <c r="J34" i="37"/>
  <c r="C47" i="43"/>
  <c r="C47" i="42"/>
  <c r="C47" i="40"/>
  <c r="C47" i="45"/>
  <c r="C47" i="47"/>
  <c r="C47" i="41"/>
  <c r="C47" i="46"/>
  <c r="C47" i="44"/>
  <c r="Q31" i="36"/>
  <c r="N36" i="36"/>
  <c r="N82" i="36"/>
  <c r="O13" i="36"/>
  <c r="Q5" i="36"/>
  <c r="O18" i="37"/>
  <c r="Q18" i="37" s="1"/>
  <c r="R18" i="37" s="1"/>
  <c r="M28" i="37"/>
  <c r="L32" i="38"/>
  <c r="L34" i="38"/>
  <c r="L79" i="38"/>
  <c r="N32" i="38"/>
  <c r="N79" i="38" s="1"/>
  <c r="G13" i="38"/>
  <c r="G30" i="38" s="1"/>
  <c r="I11" i="38"/>
  <c r="O11" i="38" s="1"/>
  <c r="Q28" i="39"/>
  <c r="R28" i="39" s="1"/>
  <c r="R16" i="39"/>
  <c r="M11" i="39"/>
  <c r="J13" i="39"/>
  <c r="J30" i="39" s="1"/>
  <c r="E11" i="39"/>
  <c r="C13" i="39"/>
  <c r="C30" i="39" s="1"/>
  <c r="K32" i="40"/>
  <c r="N32" i="40"/>
  <c r="O5" i="40"/>
  <c r="C32" i="40"/>
  <c r="Q28" i="41"/>
  <c r="R28" i="41" s="1"/>
  <c r="R16" i="41"/>
  <c r="O11" i="37"/>
  <c r="O13" i="37" s="1"/>
  <c r="K13" i="37"/>
  <c r="K30" i="37" s="1"/>
  <c r="E13" i="40"/>
  <c r="K13" i="41"/>
  <c r="K30" i="41" s="1"/>
  <c r="I13" i="41"/>
  <c r="Q16" i="37"/>
  <c r="O28" i="37"/>
  <c r="K32" i="38"/>
  <c r="D32" i="38"/>
  <c r="E13" i="38"/>
  <c r="O28" i="40"/>
  <c r="Q16" i="40"/>
  <c r="I11" i="40"/>
  <c r="O11" i="40" s="1"/>
  <c r="G13" i="40"/>
  <c r="G30" i="40" s="1"/>
  <c r="H32" i="41"/>
  <c r="H79" i="41" s="1"/>
  <c r="M11" i="41"/>
  <c r="O11" i="41" s="1"/>
  <c r="J13" i="41"/>
  <c r="J30" i="41" s="1"/>
  <c r="E11" i="41"/>
  <c r="C13" i="41"/>
  <c r="C30" i="41" s="1"/>
  <c r="E13" i="41"/>
  <c r="R24" i="42"/>
  <c r="Q28" i="42"/>
  <c r="R28" i="42" s="1"/>
  <c r="N79" i="36"/>
  <c r="N80" i="36" s="1"/>
  <c r="L79" i="36"/>
  <c r="L80" i="36" s="1"/>
  <c r="J79" i="36"/>
  <c r="J80" i="36" s="1"/>
  <c r="H79" i="36"/>
  <c r="H80" i="36" s="1"/>
  <c r="C79" i="36"/>
  <c r="C80" i="36" s="1"/>
  <c r="J34" i="36"/>
  <c r="M28" i="36"/>
  <c r="M13" i="36"/>
  <c r="M35" i="37"/>
  <c r="H32" i="37"/>
  <c r="C32" i="37"/>
  <c r="E11" i="37"/>
  <c r="K13" i="39"/>
  <c r="K30" i="39" s="1"/>
  <c r="M13" i="40"/>
  <c r="J11" i="42"/>
  <c r="M9" i="42"/>
  <c r="O9" i="42" s="1"/>
  <c r="K32" i="43"/>
  <c r="K79" i="43" s="1"/>
  <c r="N32" i="43"/>
  <c r="O28" i="44"/>
  <c r="Q16" i="44"/>
  <c r="D32" i="44"/>
  <c r="D79" i="44" s="1"/>
  <c r="I11" i="44"/>
  <c r="G13" i="44"/>
  <c r="G30" i="44" s="1"/>
  <c r="L32" i="44"/>
  <c r="L79" i="44" s="1"/>
  <c r="K13" i="45"/>
  <c r="K30" i="45" s="1"/>
  <c r="C11" i="42"/>
  <c r="E9" i="42"/>
  <c r="E5" i="42"/>
  <c r="D13" i="42"/>
  <c r="D30" i="42" s="1"/>
  <c r="O28" i="43"/>
  <c r="Q16" i="43"/>
  <c r="D32" i="43"/>
  <c r="D79" i="43" s="1"/>
  <c r="I11" i="43"/>
  <c r="G13" i="43"/>
  <c r="G30" i="43" s="1"/>
  <c r="O5" i="43"/>
  <c r="C32" i="43"/>
  <c r="C79" i="43" s="1"/>
  <c r="K32" i="44"/>
  <c r="K79" i="44" s="1"/>
  <c r="O5" i="44"/>
  <c r="I13" i="44"/>
  <c r="E30" i="44"/>
  <c r="C32" i="44"/>
  <c r="M11" i="45"/>
  <c r="O11" i="45" s="1"/>
  <c r="O13" i="45" s="1"/>
  <c r="J13" i="45"/>
  <c r="J30" i="45" s="1"/>
  <c r="E11" i="45"/>
  <c r="C13" i="45"/>
  <c r="C30" i="45" s="1"/>
  <c r="D13" i="37"/>
  <c r="D30" i="37" s="1"/>
  <c r="M9" i="37"/>
  <c r="O9" i="37" s="1"/>
  <c r="E9" i="37"/>
  <c r="D13" i="39"/>
  <c r="D30" i="39" s="1"/>
  <c r="M9" i="39"/>
  <c r="E9" i="39"/>
  <c r="M28" i="40"/>
  <c r="J13" i="40"/>
  <c r="J30" i="40" s="1"/>
  <c r="H13" i="40"/>
  <c r="H30" i="40" s="1"/>
  <c r="I9" i="40"/>
  <c r="O9" i="40" s="1"/>
  <c r="D13" i="41"/>
  <c r="D30" i="41" s="1"/>
  <c r="M9" i="41"/>
  <c r="O9" i="41" s="1"/>
  <c r="E9" i="41"/>
  <c r="N79" i="42"/>
  <c r="N80" i="42" s="1"/>
  <c r="L79" i="42"/>
  <c r="L80" i="42" s="1"/>
  <c r="H79" i="42"/>
  <c r="H80" i="42" s="1"/>
  <c r="O28" i="42"/>
  <c r="M28" i="42"/>
  <c r="I11" i="42"/>
  <c r="E13" i="43"/>
  <c r="N13" i="44"/>
  <c r="N30" i="44" s="1"/>
  <c r="E13" i="44"/>
  <c r="K32" i="46"/>
  <c r="K79" i="46" s="1"/>
  <c r="N32" i="46"/>
  <c r="O5" i="46"/>
  <c r="E30" i="46"/>
  <c r="N32" i="47"/>
  <c r="H32" i="47"/>
  <c r="C52" i="47"/>
  <c r="C52" i="46"/>
  <c r="E13" i="46"/>
  <c r="O28" i="46"/>
  <c r="Q16" i="46"/>
  <c r="D32" i="46"/>
  <c r="D79" i="46" s="1"/>
  <c r="I11" i="46"/>
  <c r="O11" i="46" s="1"/>
  <c r="Q11" i="46" s="1"/>
  <c r="R11" i="46" s="1"/>
  <c r="G13" i="46"/>
  <c r="G30" i="46" s="1"/>
  <c r="L32" i="46"/>
  <c r="L79" i="46" s="1"/>
  <c r="O28" i="47"/>
  <c r="Q19" i="47"/>
  <c r="R19" i="47" s="1"/>
  <c r="M11" i="47"/>
  <c r="M13" i="47" s="1"/>
  <c r="J13" i="47"/>
  <c r="J30" i="47" s="1"/>
  <c r="E11" i="47"/>
  <c r="E13" i="47" s="1"/>
  <c r="C13" i="47"/>
  <c r="C30" i="47" s="1"/>
  <c r="C54" i="47"/>
  <c r="M28" i="43"/>
  <c r="J13" i="43"/>
  <c r="J30" i="43" s="1"/>
  <c r="I9" i="43"/>
  <c r="O9" i="43" s="1"/>
  <c r="Q9" i="43" s="1"/>
  <c r="M28" i="44"/>
  <c r="J13" i="44"/>
  <c r="J30" i="44" s="1"/>
  <c r="H13" i="44"/>
  <c r="H30" i="44" s="1"/>
  <c r="I9" i="44"/>
  <c r="O9" i="44" s="1"/>
  <c r="Q9" i="44" s="1"/>
  <c r="D13" i="45"/>
  <c r="D30" i="45" s="1"/>
  <c r="M9" i="45"/>
  <c r="E9" i="45"/>
  <c r="M13" i="46"/>
  <c r="M28" i="46"/>
  <c r="J13" i="46"/>
  <c r="J30" i="46" s="1"/>
  <c r="H13" i="46"/>
  <c r="H30" i="46" s="1"/>
  <c r="I9" i="46"/>
  <c r="O9" i="46" s="1"/>
  <c r="Q9" i="46" s="1"/>
  <c r="M28" i="47"/>
  <c r="M9" i="47"/>
  <c r="L32" i="37" l="1"/>
  <c r="M30" i="37"/>
  <c r="M32" i="37" s="1"/>
  <c r="M79" i="37" s="1"/>
  <c r="I30" i="37"/>
  <c r="O30" i="37" s="1"/>
  <c r="I13" i="37"/>
  <c r="M13" i="37"/>
  <c r="G34" i="37"/>
  <c r="I34" i="37" s="1"/>
  <c r="L82" i="37"/>
  <c r="L83" i="37" s="1"/>
  <c r="Q11" i="40"/>
  <c r="M30" i="38"/>
  <c r="M32" i="38" s="1"/>
  <c r="M79" i="38" s="1"/>
  <c r="C32" i="38"/>
  <c r="C79" i="38" s="1"/>
  <c r="I13" i="38"/>
  <c r="Q9" i="40"/>
  <c r="J34" i="38"/>
  <c r="J36" i="38" s="1"/>
  <c r="J82" i="38" s="1"/>
  <c r="Q11" i="38"/>
  <c r="R11" i="38" s="1"/>
  <c r="M13" i="38"/>
  <c r="O35" i="37"/>
  <c r="Q35" i="37" s="1"/>
  <c r="O35" i="38"/>
  <c r="N79" i="47"/>
  <c r="O9" i="47"/>
  <c r="Q9" i="47" s="1"/>
  <c r="I13" i="47"/>
  <c r="I30" i="47"/>
  <c r="O9" i="45"/>
  <c r="I30" i="45"/>
  <c r="I32" i="45" s="1"/>
  <c r="O11" i="44"/>
  <c r="Q11" i="44" s="1"/>
  <c r="R11" i="44" s="1"/>
  <c r="N52" i="45"/>
  <c r="N52" i="46"/>
  <c r="M13" i="43"/>
  <c r="I30" i="41"/>
  <c r="O5" i="41"/>
  <c r="I13" i="39"/>
  <c r="O9" i="39"/>
  <c r="Q9" i="39" s="1"/>
  <c r="M13" i="39"/>
  <c r="I30" i="39"/>
  <c r="I32" i="39" s="1"/>
  <c r="O11" i="39"/>
  <c r="Q11" i="39" s="1"/>
  <c r="K35" i="42"/>
  <c r="G35" i="42"/>
  <c r="N35" i="42"/>
  <c r="J35" i="42"/>
  <c r="D35" i="42"/>
  <c r="H35" i="42"/>
  <c r="C53" i="47"/>
  <c r="E13" i="45"/>
  <c r="C45" i="47"/>
  <c r="C45" i="46"/>
  <c r="C45" i="45"/>
  <c r="C45" i="44"/>
  <c r="C45" i="43"/>
  <c r="C45" i="42"/>
  <c r="C45" i="40"/>
  <c r="C45" i="39"/>
  <c r="C45" i="41"/>
  <c r="C45" i="38"/>
  <c r="H34" i="37"/>
  <c r="H36" i="37" s="1"/>
  <c r="C46" i="47"/>
  <c r="C46" i="46"/>
  <c r="C46" i="45"/>
  <c r="C46" i="42"/>
  <c r="C46" i="44"/>
  <c r="C46" i="43"/>
  <c r="C46" i="41"/>
  <c r="C46" i="40"/>
  <c r="C46" i="39"/>
  <c r="Q16" i="45"/>
  <c r="O28" i="45"/>
  <c r="D32" i="36"/>
  <c r="D79" i="36"/>
  <c r="D34" i="36"/>
  <c r="K82" i="36"/>
  <c r="K36" i="36"/>
  <c r="I34" i="36"/>
  <c r="G36" i="36"/>
  <c r="G82" i="36"/>
  <c r="Q16" i="38"/>
  <c r="O28" i="38"/>
  <c r="G80" i="36"/>
  <c r="O30" i="36"/>
  <c r="O32" i="36" s="1"/>
  <c r="I32" i="36"/>
  <c r="I79" i="36"/>
  <c r="Q35" i="38"/>
  <c r="C51" i="44"/>
  <c r="C51" i="47"/>
  <c r="C51" i="45"/>
  <c r="C51" i="46"/>
  <c r="C50" i="46"/>
  <c r="C50" i="43"/>
  <c r="C50" i="47"/>
  <c r="C50" i="44"/>
  <c r="C50" i="45"/>
  <c r="Q9" i="41"/>
  <c r="Q9" i="38"/>
  <c r="Q5" i="41"/>
  <c r="L35" i="39"/>
  <c r="M35" i="39" s="1"/>
  <c r="O35" i="39" s="1"/>
  <c r="C35" i="39"/>
  <c r="E35" i="39" s="1"/>
  <c r="C48" i="46"/>
  <c r="C48" i="45"/>
  <c r="C48" i="43"/>
  <c r="C48" i="42"/>
  <c r="C48" i="41"/>
  <c r="C48" i="47"/>
  <c r="C48" i="44"/>
  <c r="O13" i="41"/>
  <c r="C49" i="46"/>
  <c r="C49" i="45"/>
  <c r="C49" i="43"/>
  <c r="C49" i="42"/>
  <c r="C49" i="47"/>
  <c r="C49" i="44"/>
  <c r="G32" i="42"/>
  <c r="N39" i="45"/>
  <c r="N53" i="45" s="1"/>
  <c r="I30" i="42"/>
  <c r="I32" i="42" s="1"/>
  <c r="G39" i="42" s="1"/>
  <c r="K32" i="42"/>
  <c r="G32" i="47"/>
  <c r="M13" i="44"/>
  <c r="N79" i="45"/>
  <c r="N80" i="45" s="1"/>
  <c r="H79" i="45"/>
  <c r="H80" i="45" s="1"/>
  <c r="M30" i="46"/>
  <c r="J34" i="46"/>
  <c r="J32" i="46"/>
  <c r="J79" i="46" s="1"/>
  <c r="H32" i="44"/>
  <c r="H79" i="44" s="1"/>
  <c r="E30" i="47"/>
  <c r="C32" i="47"/>
  <c r="C79" i="47" s="1"/>
  <c r="J32" i="47"/>
  <c r="J79" i="47" s="1"/>
  <c r="M30" i="47"/>
  <c r="O30" i="47" s="1"/>
  <c r="J34" i="47"/>
  <c r="I30" i="46"/>
  <c r="G32" i="46"/>
  <c r="G79" i="46" s="1"/>
  <c r="I32" i="47"/>
  <c r="I79" i="47" s="1"/>
  <c r="N39" i="46"/>
  <c r="N54" i="46" s="1"/>
  <c r="N32" i="44"/>
  <c r="D32" i="41"/>
  <c r="H32" i="40"/>
  <c r="H79" i="40" s="1"/>
  <c r="E30" i="45"/>
  <c r="C32" i="45"/>
  <c r="J32" i="45"/>
  <c r="J79" i="45" s="1"/>
  <c r="M30" i="45"/>
  <c r="J34" i="45"/>
  <c r="E32" i="44"/>
  <c r="Q5" i="44"/>
  <c r="O13" i="44"/>
  <c r="E32" i="43"/>
  <c r="E79" i="43" s="1"/>
  <c r="O11" i="43"/>
  <c r="Q11" i="43" s="1"/>
  <c r="R11" i="43" s="1"/>
  <c r="I13" i="43"/>
  <c r="R16" i="43"/>
  <c r="Q28" i="43"/>
  <c r="R28" i="43" s="1"/>
  <c r="D32" i="42"/>
  <c r="D79" i="42" s="1"/>
  <c r="K32" i="45"/>
  <c r="K79" i="45" s="1"/>
  <c r="I30" i="44"/>
  <c r="G32" i="44"/>
  <c r="G79" i="44" s="1"/>
  <c r="N39" i="43"/>
  <c r="N51" i="43" s="1"/>
  <c r="Q11" i="37"/>
  <c r="E13" i="37"/>
  <c r="C79" i="37"/>
  <c r="C80" i="37" s="1"/>
  <c r="L79" i="37"/>
  <c r="L80" i="37" s="1"/>
  <c r="E30" i="41"/>
  <c r="C32" i="41"/>
  <c r="J32" i="41"/>
  <c r="J79" i="41" s="1"/>
  <c r="M30" i="41"/>
  <c r="J34" i="41"/>
  <c r="R16" i="40"/>
  <c r="Q28" i="40"/>
  <c r="R28" i="40" s="1"/>
  <c r="O30" i="41"/>
  <c r="I32" i="41"/>
  <c r="N39" i="41"/>
  <c r="N49" i="41" s="1"/>
  <c r="Q5" i="40"/>
  <c r="O13" i="40"/>
  <c r="N39" i="40"/>
  <c r="N48" i="40" s="1"/>
  <c r="G34" i="38"/>
  <c r="I30" i="38"/>
  <c r="G32" i="38"/>
  <c r="R5" i="36"/>
  <c r="Q13" i="36"/>
  <c r="R13" i="36" s="1"/>
  <c r="Q32" i="36"/>
  <c r="C44" i="36"/>
  <c r="R16" i="36"/>
  <c r="Q28" i="36"/>
  <c r="R28" i="36" s="1"/>
  <c r="E36" i="36"/>
  <c r="E82" i="36" s="1"/>
  <c r="J39" i="36"/>
  <c r="H44" i="36" s="1"/>
  <c r="Q35" i="36"/>
  <c r="D80" i="46"/>
  <c r="O11" i="47"/>
  <c r="O13" i="47" s="1"/>
  <c r="Q28" i="47"/>
  <c r="C79" i="46"/>
  <c r="C80" i="46" s="1"/>
  <c r="I13" i="46"/>
  <c r="Q9" i="42"/>
  <c r="I13" i="42"/>
  <c r="D80" i="44"/>
  <c r="M13" i="41"/>
  <c r="C80" i="38"/>
  <c r="L80" i="38"/>
  <c r="N5" i="39"/>
  <c r="H32" i="46"/>
  <c r="D32" i="45"/>
  <c r="M30" i="44"/>
  <c r="J34" i="44"/>
  <c r="J32" i="44"/>
  <c r="J79" i="44" s="1"/>
  <c r="M30" i="43"/>
  <c r="J34" i="43"/>
  <c r="J32" i="43"/>
  <c r="R16" i="46"/>
  <c r="Q28" i="46"/>
  <c r="R28" i="46" s="1"/>
  <c r="N80" i="47"/>
  <c r="N39" i="47"/>
  <c r="N55" i="47" s="1"/>
  <c r="E32" i="46"/>
  <c r="Q5" i="46"/>
  <c r="O13" i="46"/>
  <c r="M30" i="40"/>
  <c r="J34" i="40"/>
  <c r="J32" i="40"/>
  <c r="J79" i="40" s="1"/>
  <c r="D32" i="39"/>
  <c r="D32" i="37"/>
  <c r="D34" i="37"/>
  <c r="Q5" i="43"/>
  <c r="O13" i="43"/>
  <c r="I30" i="43"/>
  <c r="G32" i="43"/>
  <c r="Q5" i="42"/>
  <c r="E11" i="42"/>
  <c r="E13" i="42" s="1"/>
  <c r="C13" i="42"/>
  <c r="C30" i="42" s="1"/>
  <c r="R16" i="44"/>
  <c r="Q28" i="44"/>
  <c r="R28" i="44" s="1"/>
  <c r="M11" i="42"/>
  <c r="M13" i="42" s="1"/>
  <c r="J13" i="42"/>
  <c r="J30" i="42" s="1"/>
  <c r="K32" i="39"/>
  <c r="K79" i="39" s="1"/>
  <c r="H79" i="37"/>
  <c r="H80" i="37" s="1"/>
  <c r="G36" i="37"/>
  <c r="J36" i="36"/>
  <c r="M34" i="36"/>
  <c r="I30" i="40"/>
  <c r="G32" i="40"/>
  <c r="O13" i="38"/>
  <c r="Q5" i="38"/>
  <c r="Q28" i="37"/>
  <c r="R28" i="37" s="1"/>
  <c r="R16" i="37"/>
  <c r="K32" i="41"/>
  <c r="K79" i="41" s="1"/>
  <c r="K32" i="37"/>
  <c r="K79" i="37" s="1"/>
  <c r="K34" i="37"/>
  <c r="M34" i="37" s="1"/>
  <c r="E32" i="40"/>
  <c r="E79" i="40" s="1"/>
  <c r="E30" i="39"/>
  <c r="C32" i="39"/>
  <c r="J32" i="39"/>
  <c r="J79" i="39" s="1"/>
  <c r="M30" i="39"/>
  <c r="J34" i="39"/>
  <c r="N39" i="38"/>
  <c r="N46" i="38" s="1"/>
  <c r="N80" i="38"/>
  <c r="E32" i="38"/>
  <c r="L36" i="38"/>
  <c r="N40" i="36"/>
  <c r="N83" i="36"/>
  <c r="O39" i="36"/>
  <c r="L44" i="36" s="1"/>
  <c r="O79" i="36"/>
  <c r="O80" i="36" s="1"/>
  <c r="J36" i="37"/>
  <c r="J82" i="37" s="1"/>
  <c r="N39" i="37"/>
  <c r="N45" i="37" s="1"/>
  <c r="N80" i="37"/>
  <c r="Q9" i="45"/>
  <c r="Q11" i="47"/>
  <c r="Q13" i="47" s="1"/>
  <c r="L79" i="47"/>
  <c r="L80" i="47" s="1"/>
  <c r="L80" i="46"/>
  <c r="D80" i="47"/>
  <c r="H79" i="47"/>
  <c r="H80" i="47" s="1"/>
  <c r="N79" i="46"/>
  <c r="N80" i="46" s="1"/>
  <c r="K80" i="46"/>
  <c r="Q9" i="37"/>
  <c r="Q11" i="45"/>
  <c r="L79" i="45"/>
  <c r="L80" i="45" s="1"/>
  <c r="C79" i="44"/>
  <c r="C80" i="44" s="1"/>
  <c r="K80" i="44"/>
  <c r="C80" i="43"/>
  <c r="L80" i="43"/>
  <c r="D80" i="43"/>
  <c r="M13" i="45"/>
  <c r="G79" i="45"/>
  <c r="G80" i="45" s="1"/>
  <c r="L80" i="44"/>
  <c r="N79" i="43"/>
  <c r="N80" i="43" s="1"/>
  <c r="H80" i="43"/>
  <c r="K80" i="43"/>
  <c r="E30" i="37"/>
  <c r="Q11" i="41"/>
  <c r="R11" i="41" s="1"/>
  <c r="L79" i="41"/>
  <c r="L80" i="41" s="1"/>
  <c r="H80" i="41"/>
  <c r="L80" i="40"/>
  <c r="D80" i="40"/>
  <c r="G80" i="39"/>
  <c r="D79" i="38"/>
  <c r="D80" i="38" s="1"/>
  <c r="H80" i="38"/>
  <c r="K79" i="38"/>
  <c r="K80" i="38" s="1"/>
  <c r="J79" i="38"/>
  <c r="J80" i="38" s="1"/>
  <c r="G80" i="41"/>
  <c r="N79" i="41"/>
  <c r="N80" i="41" s="1"/>
  <c r="C79" i="40"/>
  <c r="C80" i="40" s="1"/>
  <c r="I13" i="40"/>
  <c r="N79" i="40"/>
  <c r="N80" i="40" s="1"/>
  <c r="K79" i="40"/>
  <c r="K80" i="40" s="1"/>
  <c r="E13" i="39"/>
  <c r="L80" i="39"/>
  <c r="H79" i="39"/>
  <c r="H80" i="39" s="1"/>
  <c r="G79" i="37"/>
  <c r="G80" i="37" s="1"/>
  <c r="J80" i="37"/>
  <c r="C83" i="36"/>
  <c r="H82" i="36"/>
  <c r="H83" i="36" s="1"/>
  <c r="M79" i="36"/>
  <c r="M80" i="36" s="1"/>
  <c r="L82" i="36"/>
  <c r="L83" i="36" s="1"/>
  <c r="I32" i="37" l="1"/>
  <c r="I79" i="37" s="1"/>
  <c r="H82" i="37"/>
  <c r="H83" i="37" s="1"/>
  <c r="O30" i="45"/>
  <c r="O32" i="45" s="1"/>
  <c r="O79" i="45" s="1"/>
  <c r="H35" i="44"/>
  <c r="D35" i="44"/>
  <c r="J35" i="44"/>
  <c r="N35" i="44"/>
  <c r="G35" i="44"/>
  <c r="I35" i="44" s="1"/>
  <c r="K35" i="44"/>
  <c r="I79" i="42"/>
  <c r="I80" i="42" s="1"/>
  <c r="I35" i="42"/>
  <c r="G34" i="39"/>
  <c r="G36" i="39" s="1"/>
  <c r="G39" i="36"/>
  <c r="I80" i="36"/>
  <c r="Q28" i="38"/>
  <c r="R28" i="38" s="1"/>
  <c r="R16" i="38"/>
  <c r="G83" i="36"/>
  <c r="K83" i="36"/>
  <c r="D82" i="36"/>
  <c r="D36" i="36"/>
  <c r="D80" i="36"/>
  <c r="Q28" i="45"/>
  <c r="R28" i="45" s="1"/>
  <c r="R16" i="45"/>
  <c r="O34" i="36"/>
  <c r="I36" i="36"/>
  <c r="N54" i="47"/>
  <c r="Q35" i="39"/>
  <c r="C35" i="41"/>
  <c r="E35" i="41" s="1"/>
  <c r="C35" i="40"/>
  <c r="E35" i="40" s="1"/>
  <c r="L35" i="41"/>
  <c r="M35" i="41" s="1"/>
  <c r="O35" i="41" s="1"/>
  <c r="L35" i="40"/>
  <c r="M35" i="40" s="1"/>
  <c r="O35" i="40" s="1"/>
  <c r="N34" i="37"/>
  <c r="N36" i="37" s="1"/>
  <c r="N40" i="37" s="1"/>
  <c r="C34" i="37"/>
  <c r="L34" i="39"/>
  <c r="L36" i="39" s="1"/>
  <c r="L82" i="39" s="1"/>
  <c r="L83" i="39" s="1"/>
  <c r="H34" i="38"/>
  <c r="H36" i="38" s="1"/>
  <c r="G79" i="47"/>
  <c r="G80" i="47" s="1"/>
  <c r="K79" i="42"/>
  <c r="K80" i="42" s="1"/>
  <c r="G79" i="42"/>
  <c r="G80" i="42" s="1"/>
  <c r="R13" i="47"/>
  <c r="R5" i="47"/>
  <c r="O32" i="37"/>
  <c r="O79" i="37" s="1"/>
  <c r="C39" i="38"/>
  <c r="J46" i="38" s="1"/>
  <c r="J36" i="39"/>
  <c r="J82" i="39" s="1"/>
  <c r="M36" i="36"/>
  <c r="M82" i="36" s="1"/>
  <c r="G39" i="45"/>
  <c r="E30" i="42"/>
  <c r="C32" i="42"/>
  <c r="D36" i="37"/>
  <c r="D82" i="37" s="1"/>
  <c r="E34" i="37"/>
  <c r="J36" i="40"/>
  <c r="J82" i="40" s="1"/>
  <c r="C39" i="46"/>
  <c r="J54" i="46" s="1"/>
  <c r="M32" i="43"/>
  <c r="M79" i="43" s="1"/>
  <c r="M32" i="44"/>
  <c r="M79" i="44" s="1"/>
  <c r="N34" i="38"/>
  <c r="O5" i="39"/>
  <c r="N13" i="39"/>
  <c r="N30" i="39" s="1"/>
  <c r="R28" i="47"/>
  <c r="R16" i="47"/>
  <c r="R26" i="47"/>
  <c r="R18" i="47"/>
  <c r="Q39" i="36"/>
  <c r="Q44" i="36" s="1"/>
  <c r="Q79" i="36"/>
  <c r="Q80" i="36" s="1"/>
  <c r="O30" i="38"/>
  <c r="I32" i="38"/>
  <c r="I34" i="38"/>
  <c r="G36" i="38"/>
  <c r="G82" i="38" s="1"/>
  <c r="Q13" i="40"/>
  <c r="G39" i="41"/>
  <c r="G39" i="39"/>
  <c r="M34" i="41"/>
  <c r="J36" i="41"/>
  <c r="J82" i="41" s="1"/>
  <c r="Q13" i="44"/>
  <c r="R13" i="44" s="1"/>
  <c r="N39" i="44"/>
  <c r="N52" i="44" s="1"/>
  <c r="G39" i="47"/>
  <c r="I80" i="47"/>
  <c r="E79" i="46"/>
  <c r="E80" i="46" s="1"/>
  <c r="G80" i="44"/>
  <c r="G80" i="46"/>
  <c r="C80" i="47"/>
  <c r="H80" i="44"/>
  <c r="J80" i="46"/>
  <c r="Q30" i="37"/>
  <c r="E32" i="37"/>
  <c r="M36" i="37"/>
  <c r="M82" i="37" s="1"/>
  <c r="G39" i="37"/>
  <c r="I80" i="37"/>
  <c r="M32" i="39"/>
  <c r="M79" i="39" s="1"/>
  <c r="E32" i="39"/>
  <c r="E79" i="39" s="1"/>
  <c r="C39" i="40"/>
  <c r="J48" i="40" s="1"/>
  <c r="E80" i="40"/>
  <c r="K36" i="37"/>
  <c r="K82" i="37" s="1"/>
  <c r="J39" i="38"/>
  <c r="M80" i="38"/>
  <c r="Q13" i="38"/>
  <c r="R13" i="38" s="1"/>
  <c r="O30" i="40"/>
  <c r="I32" i="40"/>
  <c r="I79" i="40" s="1"/>
  <c r="O34" i="37"/>
  <c r="I36" i="37"/>
  <c r="M30" i="42"/>
  <c r="J34" i="42"/>
  <c r="J32" i="42"/>
  <c r="J79" i="42" s="1"/>
  <c r="O30" i="43"/>
  <c r="I32" i="43"/>
  <c r="I79" i="43" s="1"/>
  <c r="Q13" i="43"/>
  <c r="R13" i="43" s="1"/>
  <c r="M32" i="40"/>
  <c r="M79" i="40" s="1"/>
  <c r="Q13" i="46"/>
  <c r="R13" i="46" s="1"/>
  <c r="J36" i="43"/>
  <c r="J82" i="43" s="1"/>
  <c r="J36" i="44"/>
  <c r="D34" i="38"/>
  <c r="E83" i="36"/>
  <c r="C40" i="36"/>
  <c r="O32" i="41"/>
  <c r="O79" i="41" s="1"/>
  <c r="M32" i="41"/>
  <c r="M79" i="41" s="1"/>
  <c r="Q30" i="41"/>
  <c r="E32" i="41"/>
  <c r="E79" i="41" s="1"/>
  <c r="Q13" i="37"/>
  <c r="R11" i="37" s="1"/>
  <c r="O30" i="44"/>
  <c r="I32" i="44"/>
  <c r="I79" i="44" s="1"/>
  <c r="C39" i="43"/>
  <c r="J51" i="43" s="1"/>
  <c r="E80" i="43"/>
  <c r="C39" i="44"/>
  <c r="J52" i="44" s="1"/>
  <c r="M32" i="45"/>
  <c r="M79" i="45" s="1"/>
  <c r="Q30" i="45"/>
  <c r="E32" i="45"/>
  <c r="E79" i="45" s="1"/>
  <c r="O32" i="47"/>
  <c r="O79" i="47" s="1"/>
  <c r="O30" i="46"/>
  <c r="I32" i="46"/>
  <c r="I79" i="46" s="1"/>
  <c r="M32" i="47"/>
  <c r="M79" i="47" s="1"/>
  <c r="Q30" i="47"/>
  <c r="E32" i="47"/>
  <c r="E79" i="47" s="1"/>
  <c r="N49" i="47"/>
  <c r="N49" i="46"/>
  <c r="N49" i="45"/>
  <c r="N49" i="44"/>
  <c r="N49" i="43"/>
  <c r="N49" i="42"/>
  <c r="M32" i="46"/>
  <c r="M79" i="46" s="1"/>
  <c r="M80" i="37"/>
  <c r="J39" i="37"/>
  <c r="H45" i="37" s="1"/>
  <c r="R11" i="47"/>
  <c r="J83" i="37"/>
  <c r="L82" i="38"/>
  <c r="L83" i="38" s="1"/>
  <c r="E79" i="38"/>
  <c r="E80" i="38" s="1"/>
  <c r="J80" i="39"/>
  <c r="C79" i="39"/>
  <c r="C80" i="39" s="1"/>
  <c r="K80" i="37"/>
  <c r="K80" i="41"/>
  <c r="G79" i="40"/>
  <c r="G80" i="40" s="1"/>
  <c r="Q13" i="41"/>
  <c r="J82" i="36"/>
  <c r="J83" i="36" s="1"/>
  <c r="G82" i="37"/>
  <c r="G83" i="37" s="1"/>
  <c r="K80" i="39"/>
  <c r="I79" i="45"/>
  <c r="I80" i="45" s="1"/>
  <c r="G79" i="43"/>
  <c r="G80" i="43" s="1"/>
  <c r="Q13" i="45"/>
  <c r="R11" i="45" s="1"/>
  <c r="D79" i="37"/>
  <c r="D80" i="37" s="1"/>
  <c r="D79" i="39"/>
  <c r="D80" i="39" s="1"/>
  <c r="J80" i="40"/>
  <c r="J79" i="43"/>
  <c r="J80" i="43" s="1"/>
  <c r="J80" i="44"/>
  <c r="D79" i="45"/>
  <c r="D80" i="45" s="1"/>
  <c r="H79" i="46"/>
  <c r="H80" i="46" s="1"/>
  <c r="O11" i="42"/>
  <c r="O13" i="42" s="1"/>
  <c r="G79" i="38"/>
  <c r="G80" i="38" s="1"/>
  <c r="I79" i="41"/>
  <c r="I80" i="41" s="1"/>
  <c r="J83" i="38"/>
  <c r="H82" i="38"/>
  <c r="H83" i="38" s="1"/>
  <c r="I79" i="39"/>
  <c r="I80" i="39" s="1"/>
  <c r="O30" i="39"/>
  <c r="J80" i="41"/>
  <c r="C79" i="41"/>
  <c r="C80" i="41" s="1"/>
  <c r="K80" i="45"/>
  <c r="D80" i="42"/>
  <c r="E79" i="44"/>
  <c r="E80" i="44" s="1"/>
  <c r="J80" i="45"/>
  <c r="C79" i="45"/>
  <c r="C80" i="45" s="1"/>
  <c r="H80" i="40"/>
  <c r="D79" i="41"/>
  <c r="D80" i="41" s="1"/>
  <c r="N79" i="44"/>
  <c r="N80" i="44" s="1"/>
  <c r="J80" i="47"/>
  <c r="N82" i="37" l="1"/>
  <c r="N83" i="37" s="1"/>
  <c r="K35" i="45"/>
  <c r="G35" i="45"/>
  <c r="N35" i="45"/>
  <c r="J35" i="45"/>
  <c r="J36" i="45" s="1"/>
  <c r="J82" i="45" s="1"/>
  <c r="D35" i="45"/>
  <c r="H35" i="45"/>
  <c r="G82" i="39"/>
  <c r="G83" i="39" s="1"/>
  <c r="R13" i="40"/>
  <c r="R11" i="40"/>
  <c r="G34" i="40"/>
  <c r="G36" i="40" s="1"/>
  <c r="G82" i="40" s="1"/>
  <c r="G34" i="41"/>
  <c r="G36" i="41" s="1"/>
  <c r="G82" i="41" s="1"/>
  <c r="Q34" i="36"/>
  <c r="Q36" i="36" s="1"/>
  <c r="Q82" i="36" s="1"/>
  <c r="O36" i="36"/>
  <c r="D83" i="36"/>
  <c r="I82" i="36"/>
  <c r="I83" i="36"/>
  <c r="G40" i="36"/>
  <c r="R5" i="43"/>
  <c r="Q35" i="41"/>
  <c r="Q35" i="40"/>
  <c r="N44" i="47"/>
  <c r="N44" i="44"/>
  <c r="N44" i="46"/>
  <c r="N44" i="45"/>
  <c r="N44" i="43"/>
  <c r="N44" i="42"/>
  <c r="N44" i="41"/>
  <c r="N44" i="40"/>
  <c r="N44" i="39"/>
  <c r="N44" i="38"/>
  <c r="N44" i="37"/>
  <c r="C36" i="37"/>
  <c r="C82" i="37" s="1"/>
  <c r="C83" i="37" s="1"/>
  <c r="N48" i="46"/>
  <c r="N48" i="45"/>
  <c r="N48" i="43"/>
  <c r="N48" i="42"/>
  <c r="N48" i="41"/>
  <c r="N48" i="47"/>
  <c r="N48" i="44"/>
  <c r="H34" i="39"/>
  <c r="H46" i="47"/>
  <c r="H46" i="46"/>
  <c r="H46" i="43"/>
  <c r="H46" i="42"/>
  <c r="H46" i="41"/>
  <c r="H46" i="40"/>
  <c r="H46" i="45"/>
  <c r="H46" i="44"/>
  <c r="H46" i="39"/>
  <c r="J46" i="45"/>
  <c r="J46" i="44"/>
  <c r="J46" i="39"/>
  <c r="J46" i="47"/>
  <c r="J46" i="46"/>
  <c r="J46" i="43"/>
  <c r="J46" i="42"/>
  <c r="J46" i="41"/>
  <c r="J46" i="40"/>
  <c r="J54" i="47"/>
  <c r="L34" i="41"/>
  <c r="L34" i="40"/>
  <c r="R5" i="46"/>
  <c r="R5" i="38"/>
  <c r="Q11" i="42"/>
  <c r="O32" i="39"/>
  <c r="R13" i="41"/>
  <c r="R5" i="41"/>
  <c r="Q32" i="47"/>
  <c r="Q79" i="47" s="1"/>
  <c r="E48" i="47"/>
  <c r="E55" i="47"/>
  <c r="J39" i="47"/>
  <c r="H55" i="47" s="1"/>
  <c r="M80" i="47"/>
  <c r="G39" i="46"/>
  <c r="I80" i="46"/>
  <c r="Q32" i="45"/>
  <c r="Q79" i="45" s="1"/>
  <c r="E48" i="45"/>
  <c r="E53" i="45"/>
  <c r="J39" i="45"/>
  <c r="H53" i="45" s="1"/>
  <c r="M80" i="45"/>
  <c r="G39" i="44"/>
  <c r="I80" i="44"/>
  <c r="R13" i="37"/>
  <c r="R5" i="37"/>
  <c r="C39" i="41"/>
  <c r="J49" i="41" s="1"/>
  <c r="E80" i="41"/>
  <c r="N45" i="47"/>
  <c r="N45" i="46"/>
  <c r="N45" i="45"/>
  <c r="N45" i="44"/>
  <c r="N45" i="43"/>
  <c r="N45" i="41"/>
  <c r="N45" i="39"/>
  <c r="N45" i="38"/>
  <c r="N45" i="42"/>
  <c r="N45" i="40"/>
  <c r="D36" i="38"/>
  <c r="D82" i="38" s="1"/>
  <c r="O32" i="43"/>
  <c r="O79" i="43" s="1"/>
  <c r="Q30" i="43"/>
  <c r="O39" i="45"/>
  <c r="O80" i="45"/>
  <c r="M32" i="42"/>
  <c r="M79" i="42" s="1"/>
  <c r="O30" i="42"/>
  <c r="Q30" i="42" s="1"/>
  <c r="O36" i="37"/>
  <c r="O82" i="37" s="1"/>
  <c r="O32" i="40"/>
  <c r="O79" i="40" s="1"/>
  <c r="Q30" i="40"/>
  <c r="J39" i="39"/>
  <c r="H47" i="39" s="1"/>
  <c r="M80" i="39"/>
  <c r="M83" i="37"/>
  <c r="J40" i="37"/>
  <c r="C39" i="37"/>
  <c r="J45" i="37" s="1"/>
  <c r="M36" i="41"/>
  <c r="M82" i="41" s="1"/>
  <c r="G39" i="38"/>
  <c r="O13" i="39"/>
  <c r="Q5" i="39"/>
  <c r="N36" i="38"/>
  <c r="N82" i="38" s="1"/>
  <c r="N51" i="47"/>
  <c r="N51" i="46"/>
  <c r="N51" i="45"/>
  <c r="N51" i="44"/>
  <c r="J39" i="44"/>
  <c r="H52" i="44" s="1"/>
  <c r="M80" i="44"/>
  <c r="M80" i="43"/>
  <c r="J39" i="43"/>
  <c r="H51" i="43" s="1"/>
  <c r="Q34" i="37"/>
  <c r="E36" i="37"/>
  <c r="E82" i="37" s="1"/>
  <c r="E32" i="42"/>
  <c r="J40" i="36"/>
  <c r="M83" i="36"/>
  <c r="O80" i="37"/>
  <c r="O39" i="37"/>
  <c r="L45" i="37" s="1"/>
  <c r="Q13" i="42"/>
  <c r="K83" i="37"/>
  <c r="Q30" i="39"/>
  <c r="E79" i="37"/>
  <c r="E80" i="37" s="1"/>
  <c r="R5" i="44"/>
  <c r="R5" i="40"/>
  <c r="G83" i="38"/>
  <c r="I79" i="38"/>
  <c r="I80" i="38" s="1"/>
  <c r="J83" i="40"/>
  <c r="J83" i="39"/>
  <c r="R13" i="45"/>
  <c r="R5" i="45"/>
  <c r="H50" i="47"/>
  <c r="H50" i="46"/>
  <c r="H50" i="45"/>
  <c r="H50" i="44"/>
  <c r="H50" i="43"/>
  <c r="N53" i="47"/>
  <c r="N53" i="46"/>
  <c r="J39" i="46"/>
  <c r="H54" i="46" s="1"/>
  <c r="M80" i="46"/>
  <c r="C39" i="47"/>
  <c r="J55" i="47" s="1"/>
  <c r="E80" i="47"/>
  <c r="O32" i="46"/>
  <c r="O79" i="46" s="1"/>
  <c r="Q30" i="46"/>
  <c r="O39" i="47"/>
  <c r="L55" i="47" s="1"/>
  <c r="O80" i="47"/>
  <c r="C39" i="45"/>
  <c r="J53" i="45" s="1"/>
  <c r="E80" i="45"/>
  <c r="O32" i="44"/>
  <c r="O79" i="44" s="1"/>
  <c r="Q30" i="44"/>
  <c r="Q32" i="41"/>
  <c r="Q79" i="41" s="1"/>
  <c r="E48" i="41"/>
  <c r="E49" i="41"/>
  <c r="J39" i="41"/>
  <c r="H49" i="41" s="1"/>
  <c r="M80" i="41"/>
  <c r="O39" i="41"/>
  <c r="L49" i="41" s="1"/>
  <c r="O80" i="41"/>
  <c r="D34" i="39"/>
  <c r="M80" i="40"/>
  <c r="J39" i="40"/>
  <c r="H48" i="40" s="1"/>
  <c r="G39" i="43"/>
  <c r="I80" i="43"/>
  <c r="M34" i="42"/>
  <c r="J36" i="42"/>
  <c r="G40" i="37"/>
  <c r="G39" i="40"/>
  <c r="I80" i="40"/>
  <c r="C39" i="39"/>
  <c r="J47" i="39" s="1"/>
  <c r="E80" i="39"/>
  <c r="Q32" i="37"/>
  <c r="Q79" i="37" s="1"/>
  <c r="E45" i="37"/>
  <c r="I36" i="38"/>
  <c r="I82" i="38" s="1"/>
  <c r="O32" i="38"/>
  <c r="O79" i="38" s="1"/>
  <c r="Q30" i="38"/>
  <c r="Q40" i="36"/>
  <c r="Q83" i="36"/>
  <c r="N32" i="39"/>
  <c r="N79" i="39" s="1"/>
  <c r="N34" i="39"/>
  <c r="N50" i="46"/>
  <c r="N50" i="47"/>
  <c r="N50" i="44"/>
  <c r="N50" i="43"/>
  <c r="J82" i="44"/>
  <c r="J83" i="44" s="1"/>
  <c r="J83" i="43"/>
  <c r="J80" i="42"/>
  <c r="I82" i="37"/>
  <c r="I83" i="37" s="1"/>
  <c r="J83" i="41"/>
  <c r="D83" i="37"/>
  <c r="C79" i="42"/>
  <c r="C80" i="42" s="1"/>
  <c r="J83" i="45" l="1"/>
  <c r="H35" i="46"/>
  <c r="D35" i="47"/>
  <c r="D35" i="46"/>
  <c r="J35" i="46"/>
  <c r="J36" i="46" s="1"/>
  <c r="J82" i="46" s="1"/>
  <c r="J83" i="46" s="1"/>
  <c r="N35" i="46"/>
  <c r="I35" i="45"/>
  <c r="G35" i="46"/>
  <c r="I35" i="46" s="1"/>
  <c r="K35" i="46"/>
  <c r="G83" i="40"/>
  <c r="G83" i="41"/>
  <c r="O40" i="36"/>
  <c r="O82" i="36"/>
  <c r="O83" i="36" s="1"/>
  <c r="R11" i="42"/>
  <c r="C35" i="42"/>
  <c r="E35" i="42" s="1"/>
  <c r="L35" i="42"/>
  <c r="M35" i="42" s="1"/>
  <c r="O35" i="42" s="1"/>
  <c r="H34" i="40"/>
  <c r="H34" i="41"/>
  <c r="L36" i="40"/>
  <c r="L82" i="40" s="1"/>
  <c r="L36" i="41"/>
  <c r="L82" i="41" s="1"/>
  <c r="I34" i="39"/>
  <c r="H36" i="39"/>
  <c r="H51" i="46"/>
  <c r="H51" i="47"/>
  <c r="H51" i="44"/>
  <c r="H51" i="45"/>
  <c r="Q32" i="38"/>
  <c r="E46" i="38"/>
  <c r="Q79" i="38"/>
  <c r="I83" i="38"/>
  <c r="G40" i="38"/>
  <c r="L50" i="47"/>
  <c r="L50" i="46"/>
  <c r="L50" i="44"/>
  <c r="L50" i="43"/>
  <c r="J52" i="46"/>
  <c r="J52" i="47"/>
  <c r="J52" i="45"/>
  <c r="D36" i="39"/>
  <c r="D82" i="39" s="1"/>
  <c r="E50" i="46"/>
  <c r="E50" i="47"/>
  <c r="E50" i="44"/>
  <c r="E50" i="43"/>
  <c r="E50" i="45"/>
  <c r="N34" i="40"/>
  <c r="N34" i="41"/>
  <c r="Q80" i="41"/>
  <c r="Q39" i="41"/>
  <c r="Q49" i="41" s="1"/>
  <c r="E54" i="46"/>
  <c r="Q32" i="46"/>
  <c r="Q79" i="46" s="1"/>
  <c r="E48" i="46"/>
  <c r="O39" i="46"/>
  <c r="L54" i="46" s="1"/>
  <c r="O80" i="46"/>
  <c r="J48" i="46"/>
  <c r="J48" i="47"/>
  <c r="J48" i="44"/>
  <c r="J48" i="43"/>
  <c r="J48" i="45"/>
  <c r="J48" i="42"/>
  <c r="J48" i="41"/>
  <c r="Q32" i="39"/>
  <c r="Q79" i="39" s="1"/>
  <c r="E47" i="39"/>
  <c r="R13" i="42"/>
  <c r="R5" i="42"/>
  <c r="E50" i="42"/>
  <c r="Q32" i="42"/>
  <c r="Q79" i="42" s="1"/>
  <c r="E48" i="42"/>
  <c r="Q36" i="37"/>
  <c r="Q82" i="37" s="1"/>
  <c r="Q13" i="39"/>
  <c r="O83" i="37"/>
  <c r="O40" i="37"/>
  <c r="O32" i="42"/>
  <c r="O79" i="42" s="1"/>
  <c r="J39" i="42"/>
  <c r="H50" i="42" s="1"/>
  <c r="M80" i="42"/>
  <c r="L50" i="45"/>
  <c r="N50" i="45"/>
  <c r="L53" i="45"/>
  <c r="H52" i="47"/>
  <c r="H52" i="46"/>
  <c r="H52" i="45"/>
  <c r="E53" i="47"/>
  <c r="E53" i="46"/>
  <c r="O39" i="39"/>
  <c r="L47" i="39" s="1"/>
  <c r="J82" i="42"/>
  <c r="J83" i="42" s="1"/>
  <c r="N36" i="39"/>
  <c r="N82" i="39" s="1"/>
  <c r="N80" i="39"/>
  <c r="N39" i="39"/>
  <c r="N47" i="39" s="1"/>
  <c r="O39" i="38"/>
  <c r="L46" i="38" s="1"/>
  <c r="O80" i="38"/>
  <c r="Q39" i="37"/>
  <c r="Q45" i="37" s="1"/>
  <c r="Q80" i="37"/>
  <c r="J53" i="47"/>
  <c r="J53" i="46"/>
  <c r="D34" i="40"/>
  <c r="D34" i="41"/>
  <c r="E52" i="44"/>
  <c r="Q32" i="44"/>
  <c r="Q79" i="44" s="1"/>
  <c r="E48" i="44"/>
  <c r="O39" i="44"/>
  <c r="L52" i="44" s="1"/>
  <c r="O80" i="44"/>
  <c r="C39" i="42"/>
  <c r="J50" i="42" s="1"/>
  <c r="C40" i="37"/>
  <c r="E83" i="37"/>
  <c r="J49" i="47"/>
  <c r="J49" i="46"/>
  <c r="J49" i="45"/>
  <c r="J49" i="44"/>
  <c r="J49" i="43"/>
  <c r="J49" i="42"/>
  <c r="N40" i="38"/>
  <c r="N83" i="38"/>
  <c r="N46" i="46"/>
  <c r="N46" i="47"/>
  <c r="N46" i="44"/>
  <c r="N46" i="43"/>
  <c r="N46" i="45"/>
  <c r="N46" i="42"/>
  <c r="N46" i="40"/>
  <c r="N46" i="41"/>
  <c r="N46" i="39"/>
  <c r="H49" i="46"/>
  <c r="H49" i="47"/>
  <c r="H49" i="44"/>
  <c r="H49" i="43"/>
  <c r="H49" i="45"/>
  <c r="H49" i="42"/>
  <c r="M83" i="41"/>
  <c r="J40" i="41"/>
  <c r="H54" i="47"/>
  <c r="J51" i="47"/>
  <c r="J51" i="46"/>
  <c r="J51" i="45"/>
  <c r="J51" i="44"/>
  <c r="J47" i="47"/>
  <c r="J47" i="41"/>
  <c r="J47" i="46"/>
  <c r="J47" i="44"/>
  <c r="J47" i="43"/>
  <c r="J47" i="42"/>
  <c r="J47" i="40"/>
  <c r="J47" i="45"/>
  <c r="H53" i="46"/>
  <c r="H53" i="47"/>
  <c r="Q32" i="40"/>
  <c r="E48" i="40"/>
  <c r="Q79" i="40"/>
  <c r="O80" i="40"/>
  <c r="O39" i="40"/>
  <c r="L48" i="40" s="1"/>
  <c r="Q32" i="43"/>
  <c r="Q79" i="43" s="1"/>
  <c r="E48" i="43"/>
  <c r="E51" i="43"/>
  <c r="O80" i="43"/>
  <c r="O39" i="43"/>
  <c r="L51" i="43" s="1"/>
  <c r="J50" i="46"/>
  <c r="J50" i="47"/>
  <c r="J50" i="44"/>
  <c r="J50" i="43"/>
  <c r="J50" i="45"/>
  <c r="H47" i="47"/>
  <c r="H47" i="46"/>
  <c r="H47" i="45"/>
  <c r="H47" i="44"/>
  <c r="H47" i="43"/>
  <c r="H47" i="41"/>
  <c r="H47" i="42"/>
  <c r="H47" i="40"/>
  <c r="Q80" i="45"/>
  <c r="Q39" i="45"/>
  <c r="Q53" i="45" s="1"/>
  <c r="Q80" i="47"/>
  <c r="Q39" i="47"/>
  <c r="Q55" i="47" s="1"/>
  <c r="E79" i="42"/>
  <c r="E80" i="42" s="1"/>
  <c r="D83" i="38"/>
  <c r="O79" i="39"/>
  <c r="O80" i="39" s="1"/>
  <c r="K35" i="47" l="1"/>
  <c r="N35" i="47"/>
  <c r="J35" i="47"/>
  <c r="J36" i="47" s="1"/>
  <c r="G35" i="47"/>
  <c r="H35" i="47"/>
  <c r="M36" i="42"/>
  <c r="M82" i="42" s="1"/>
  <c r="R13" i="39"/>
  <c r="R11" i="39"/>
  <c r="G34" i="42"/>
  <c r="G36" i="42" s="1"/>
  <c r="G82" i="42" s="1"/>
  <c r="C35" i="43"/>
  <c r="E35" i="43" s="1"/>
  <c r="Q35" i="42"/>
  <c r="L35" i="43"/>
  <c r="M35" i="43" s="1"/>
  <c r="J44" i="46"/>
  <c r="J44" i="43"/>
  <c r="J44" i="42"/>
  <c r="J44" i="41"/>
  <c r="J44" i="38"/>
  <c r="J44" i="47"/>
  <c r="J44" i="44"/>
  <c r="J44" i="45"/>
  <c r="J44" i="40"/>
  <c r="J44" i="37"/>
  <c r="J44" i="39"/>
  <c r="H82" i="39"/>
  <c r="H83" i="39" s="1"/>
  <c r="I34" i="41"/>
  <c r="H36" i="41"/>
  <c r="H36" i="40"/>
  <c r="I34" i="40"/>
  <c r="I36" i="39"/>
  <c r="L34" i="42"/>
  <c r="L36" i="42" s="1"/>
  <c r="L82" i="42" s="1"/>
  <c r="R5" i="39"/>
  <c r="L83" i="41"/>
  <c r="L83" i="40"/>
  <c r="H48" i="43"/>
  <c r="H48" i="47"/>
  <c r="H48" i="42"/>
  <c r="H48" i="41"/>
  <c r="H48" i="46"/>
  <c r="H48" i="45"/>
  <c r="H48" i="44"/>
  <c r="Q53" i="46"/>
  <c r="Q53" i="47"/>
  <c r="Q39" i="40"/>
  <c r="Q48" i="40" s="1"/>
  <c r="Q80" i="40"/>
  <c r="L49" i="46"/>
  <c r="L49" i="47"/>
  <c r="L49" i="44"/>
  <c r="L49" i="43"/>
  <c r="L49" i="45"/>
  <c r="L49" i="42"/>
  <c r="L48" i="47"/>
  <c r="L48" i="46"/>
  <c r="L48" i="45"/>
  <c r="L48" i="44"/>
  <c r="L48" i="43"/>
  <c r="L48" i="41"/>
  <c r="L48" i="42"/>
  <c r="L44" i="47"/>
  <c r="L44" i="46"/>
  <c r="L44" i="45"/>
  <c r="L44" i="44"/>
  <c r="L44" i="43"/>
  <c r="L44" i="41"/>
  <c r="L44" i="39"/>
  <c r="L44" i="38"/>
  <c r="L44" i="42"/>
  <c r="L44" i="40"/>
  <c r="L44" i="37"/>
  <c r="E52" i="46"/>
  <c r="E52" i="47"/>
  <c r="E52" i="45"/>
  <c r="Q39" i="44"/>
  <c r="Q52" i="44" s="1"/>
  <c r="Q80" i="44"/>
  <c r="N47" i="47"/>
  <c r="N47" i="46"/>
  <c r="N47" i="45"/>
  <c r="N47" i="44"/>
  <c r="N47" i="43"/>
  <c r="N47" i="41"/>
  <c r="N47" i="42"/>
  <c r="N47" i="40"/>
  <c r="D36" i="41"/>
  <c r="D82" i="41" s="1"/>
  <c r="L51" i="46"/>
  <c r="L51" i="47"/>
  <c r="L51" i="44"/>
  <c r="L51" i="45"/>
  <c r="N83" i="39"/>
  <c r="N40" i="39"/>
  <c r="E51" i="47"/>
  <c r="E51" i="46"/>
  <c r="E51" i="45"/>
  <c r="E51" i="44"/>
  <c r="L47" i="46"/>
  <c r="L47" i="47"/>
  <c r="L47" i="44"/>
  <c r="L47" i="43"/>
  <c r="L47" i="45"/>
  <c r="L47" i="42"/>
  <c r="L47" i="40"/>
  <c r="L47" i="41"/>
  <c r="O39" i="42"/>
  <c r="L50" i="42" s="1"/>
  <c r="O80" i="42"/>
  <c r="L53" i="46"/>
  <c r="L53" i="47"/>
  <c r="N36" i="41"/>
  <c r="N82" i="41" s="1"/>
  <c r="E54" i="47"/>
  <c r="L54" i="47"/>
  <c r="E46" i="46"/>
  <c r="E46" i="47"/>
  <c r="E46" i="44"/>
  <c r="E46" i="43"/>
  <c r="E46" i="45"/>
  <c r="E46" i="42"/>
  <c r="E46" i="40"/>
  <c r="E46" i="41"/>
  <c r="E46" i="39"/>
  <c r="E49" i="47"/>
  <c r="E49" i="46"/>
  <c r="E49" i="45"/>
  <c r="E49" i="44"/>
  <c r="E49" i="43"/>
  <c r="E49" i="42"/>
  <c r="D83" i="39"/>
  <c r="Q39" i="43"/>
  <c r="Q80" i="43"/>
  <c r="Q50" i="47"/>
  <c r="Q50" i="46"/>
  <c r="Q50" i="45"/>
  <c r="Q50" i="44"/>
  <c r="D36" i="40"/>
  <c r="D82" i="40" s="1"/>
  <c r="L46" i="47"/>
  <c r="L46" i="46"/>
  <c r="L46" i="45"/>
  <c r="L46" i="44"/>
  <c r="L46" i="43"/>
  <c r="L46" i="41"/>
  <c r="L46" i="39"/>
  <c r="L46" i="42"/>
  <c r="L46" i="40"/>
  <c r="E47" i="46"/>
  <c r="E47" i="47"/>
  <c r="E47" i="44"/>
  <c r="E47" i="43"/>
  <c r="E47" i="45"/>
  <c r="E47" i="42"/>
  <c r="E47" i="40"/>
  <c r="E47" i="41"/>
  <c r="Q48" i="47"/>
  <c r="Q48" i="46"/>
  <c r="Q48" i="45"/>
  <c r="Q48" i="44"/>
  <c r="Q48" i="43"/>
  <c r="Q48" i="41"/>
  <c r="Q48" i="42"/>
  <c r="L52" i="47"/>
  <c r="L52" i="46"/>
  <c r="L52" i="45"/>
  <c r="E44" i="46"/>
  <c r="E44" i="47"/>
  <c r="E44" i="44"/>
  <c r="E44" i="43"/>
  <c r="E44" i="45"/>
  <c r="E44" i="42"/>
  <c r="E44" i="40"/>
  <c r="E44" i="37"/>
  <c r="E44" i="41"/>
  <c r="E44" i="39"/>
  <c r="E44" i="38"/>
  <c r="Q40" i="37"/>
  <c r="Q83" i="37"/>
  <c r="Q39" i="42"/>
  <c r="Q50" i="42" s="1"/>
  <c r="Q80" i="42"/>
  <c r="Q80" i="39"/>
  <c r="Q39" i="39"/>
  <c r="Q47" i="39" s="1"/>
  <c r="Q39" i="46"/>
  <c r="Q54" i="46" s="1"/>
  <c r="Q80" i="46"/>
  <c r="N36" i="40"/>
  <c r="N82" i="40" s="1"/>
  <c r="Q39" i="38"/>
  <c r="Q46" i="38" s="1"/>
  <c r="Q80" i="38"/>
  <c r="H44" i="47"/>
  <c r="H44" i="46"/>
  <c r="H44" i="45"/>
  <c r="H44" i="44"/>
  <c r="H44" i="43"/>
  <c r="H44" i="41"/>
  <c r="H44" i="39"/>
  <c r="H44" i="38"/>
  <c r="H44" i="42"/>
  <c r="H44" i="40"/>
  <c r="H44" i="37"/>
  <c r="L83" i="42"/>
  <c r="I35" i="47" l="1"/>
  <c r="J82" i="47"/>
  <c r="J83" i="47" s="1"/>
  <c r="J40" i="42"/>
  <c r="G83" i="42"/>
  <c r="M83" i="42"/>
  <c r="G34" i="43"/>
  <c r="L35" i="44"/>
  <c r="M35" i="44" s="1"/>
  <c r="O35" i="44" s="1"/>
  <c r="O35" i="43"/>
  <c r="Q35" i="43" s="1"/>
  <c r="C35" i="44"/>
  <c r="E35" i="44" s="1"/>
  <c r="L34" i="43"/>
  <c r="L36" i="43" s="1"/>
  <c r="L82" i="43" s="1"/>
  <c r="H34" i="42"/>
  <c r="G40" i="39"/>
  <c r="I36" i="40"/>
  <c r="I82" i="40" s="1"/>
  <c r="O34" i="41"/>
  <c r="I36" i="41"/>
  <c r="G40" i="41" s="1"/>
  <c r="H82" i="40"/>
  <c r="H83" i="40" s="1"/>
  <c r="I82" i="39"/>
  <c r="I83" i="39" s="1"/>
  <c r="H82" i="41"/>
  <c r="H83" i="41" s="1"/>
  <c r="Q49" i="46"/>
  <c r="Q49" i="47"/>
  <c r="Q49" i="44"/>
  <c r="Q49" i="43"/>
  <c r="Q49" i="45"/>
  <c r="Q49" i="42"/>
  <c r="Q46" i="47"/>
  <c r="Q46" i="46"/>
  <c r="Q46" i="45"/>
  <c r="Q46" i="44"/>
  <c r="Q46" i="43"/>
  <c r="Q46" i="41"/>
  <c r="Q46" i="39"/>
  <c r="Q46" i="42"/>
  <c r="Q46" i="40"/>
  <c r="Q51" i="46"/>
  <c r="Q51" i="47"/>
  <c r="Q51" i="44"/>
  <c r="Q51" i="45"/>
  <c r="Q47" i="43"/>
  <c r="Q47" i="42"/>
  <c r="Q47" i="40"/>
  <c r="Q47" i="45"/>
  <c r="Q47" i="47"/>
  <c r="Q47" i="41"/>
  <c r="Q47" i="46"/>
  <c r="Q47" i="44"/>
  <c r="D83" i="40"/>
  <c r="Q54" i="47"/>
  <c r="N83" i="40"/>
  <c r="N40" i="40"/>
  <c r="Q52" i="47"/>
  <c r="Q52" i="46"/>
  <c r="Q52" i="45"/>
  <c r="Q51" i="43"/>
  <c r="Q50" i="43"/>
  <c r="N34" i="42"/>
  <c r="N40" i="41"/>
  <c r="N83" i="41"/>
  <c r="Q44" i="47"/>
  <c r="Q44" i="46"/>
  <c r="Q44" i="45"/>
  <c r="Q44" i="44"/>
  <c r="Q44" i="43"/>
  <c r="Q44" i="41"/>
  <c r="Q44" i="39"/>
  <c r="Q44" i="38"/>
  <c r="Q44" i="42"/>
  <c r="Q44" i="40"/>
  <c r="Q44" i="37"/>
  <c r="D34" i="42"/>
  <c r="L83" i="43"/>
  <c r="D83" i="41"/>
  <c r="I34" i="43" l="1"/>
  <c r="G36" i="43"/>
  <c r="G34" i="44"/>
  <c r="G36" i="44" s="1"/>
  <c r="G82" i="44" s="1"/>
  <c r="Q35" i="44"/>
  <c r="L35" i="45"/>
  <c r="M35" i="45" s="1"/>
  <c r="O35" i="45" s="1"/>
  <c r="C35" i="45"/>
  <c r="E35" i="45" s="1"/>
  <c r="C34" i="38"/>
  <c r="I82" i="41"/>
  <c r="I83" i="41" s="1"/>
  <c r="I34" i="42"/>
  <c r="H36" i="42"/>
  <c r="L34" i="44"/>
  <c r="O36" i="41"/>
  <c r="O82" i="41" s="1"/>
  <c r="I83" i="40"/>
  <c r="G40" i="40"/>
  <c r="H34" i="43"/>
  <c r="D34" i="43"/>
  <c r="N36" i="42"/>
  <c r="N82" i="42" s="1"/>
  <c r="D36" i="42"/>
  <c r="D82" i="42" s="1"/>
  <c r="N34" i="43"/>
  <c r="K34" i="38"/>
  <c r="Q35" i="45" l="1"/>
  <c r="G83" i="44"/>
  <c r="G34" i="45"/>
  <c r="G36" i="45" s="1"/>
  <c r="G82" i="45" s="1"/>
  <c r="G83" i="45" s="1"/>
  <c r="G82" i="43"/>
  <c r="G83" i="43" s="1"/>
  <c r="I36" i="43"/>
  <c r="O34" i="43"/>
  <c r="O36" i="43" s="1"/>
  <c r="O82" i="43" s="1"/>
  <c r="C35" i="46"/>
  <c r="E35" i="46" s="1"/>
  <c r="L35" i="46"/>
  <c r="M35" i="46" s="1"/>
  <c r="O35" i="46" s="1"/>
  <c r="C34" i="39"/>
  <c r="E34" i="38"/>
  <c r="C36" i="38"/>
  <c r="H36" i="43"/>
  <c r="H82" i="43" s="1"/>
  <c r="L36" i="44"/>
  <c r="L82" i="44" s="1"/>
  <c r="O34" i="42"/>
  <c r="I36" i="42"/>
  <c r="I82" i="42" s="1"/>
  <c r="H34" i="44"/>
  <c r="O40" i="41"/>
  <c r="O83" i="41"/>
  <c r="L34" i="45"/>
  <c r="L36" i="45" s="1"/>
  <c r="H82" i="42"/>
  <c r="H83" i="42" s="1"/>
  <c r="K36" i="38"/>
  <c r="M34" i="38"/>
  <c r="K34" i="39"/>
  <c r="N34" i="44"/>
  <c r="D34" i="44"/>
  <c r="N36" i="43"/>
  <c r="N82" i="43" s="1"/>
  <c r="N40" i="42"/>
  <c r="N83" i="42"/>
  <c r="D36" i="43"/>
  <c r="D82" i="43" s="1"/>
  <c r="D83" i="42"/>
  <c r="O40" i="43" l="1"/>
  <c r="O83" i="43"/>
  <c r="I82" i="43"/>
  <c r="I83" i="43" s="1"/>
  <c r="G40" i="43"/>
  <c r="G34" i="46"/>
  <c r="G36" i="46" s="1"/>
  <c r="G82" i="46" s="1"/>
  <c r="L82" i="45"/>
  <c r="L83" i="45" s="1"/>
  <c r="C35" i="47"/>
  <c r="E35" i="47" s="1"/>
  <c r="Q35" i="46"/>
  <c r="L35" i="47"/>
  <c r="M35" i="47" s="1"/>
  <c r="O35" i="47" s="1"/>
  <c r="J45" i="47"/>
  <c r="J45" i="45"/>
  <c r="J45" i="44"/>
  <c r="J45" i="41"/>
  <c r="J45" i="38"/>
  <c r="J45" i="40"/>
  <c r="J45" i="46"/>
  <c r="J45" i="43"/>
  <c r="J45" i="39"/>
  <c r="J45" i="42"/>
  <c r="E36" i="38"/>
  <c r="E82" i="38" s="1"/>
  <c r="C34" i="41"/>
  <c r="C34" i="40"/>
  <c r="C82" i="38"/>
  <c r="C83" i="38" s="1"/>
  <c r="E34" i="39"/>
  <c r="C36" i="39"/>
  <c r="C82" i="39" s="1"/>
  <c r="C83" i="39" s="1"/>
  <c r="L34" i="46"/>
  <c r="L36" i="46" s="1"/>
  <c r="O36" i="42"/>
  <c r="O82" i="42" s="1"/>
  <c r="L83" i="44"/>
  <c r="H36" i="44"/>
  <c r="I34" i="44"/>
  <c r="H34" i="45"/>
  <c r="G40" i="42"/>
  <c r="I83" i="42"/>
  <c r="H83" i="43"/>
  <c r="D36" i="44"/>
  <c r="N36" i="44"/>
  <c r="K36" i="39"/>
  <c r="K82" i="39" s="1"/>
  <c r="M34" i="39"/>
  <c r="K34" i="40"/>
  <c r="K34" i="41"/>
  <c r="M36" i="38"/>
  <c r="O34" i="38"/>
  <c r="N83" i="43"/>
  <c r="N40" i="43"/>
  <c r="D34" i="45"/>
  <c r="H45" i="46"/>
  <c r="H45" i="47"/>
  <c r="H45" i="44"/>
  <c r="H45" i="43"/>
  <c r="H45" i="45"/>
  <c r="H45" i="42"/>
  <c r="H45" i="40"/>
  <c r="H45" i="41"/>
  <c r="H45" i="39"/>
  <c r="H45" i="38"/>
  <c r="N34" i="45"/>
  <c r="D83" i="43"/>
  <c r="L82" i="46"/>
  <c r="L83" i="46" s="1"/>
  <c r="K82" i="38"/>
  <c r="K83" i="38" s="1"/>
  <c r="G83" i="46" l="1"/>
  <c r="G34" i="47"/>
  <c r="G36" i="47" s="1"/>
  <c r="G82" i="47" s="1"/>
  <c r="Q35" i="47"/>
  <c r="E36" i="39"/>
  <c r="C40" i="39" s="1"/>
  <c r="C36" i="40"/>
  <c r="E34" i="40"/>
  <c r="E36" i="40" s="1"/>
  <c r="C36" i="41"/>
  <c r="E34" i="41"/>
  <c r="E83" i="38"/>
  <c r="C40" i="38"/>
  <c r="I34" i="45"/>
  <c r="H36" i="45"/>
  <c r="H82" i="45" s="1"/>
  <c r="H82" i="44"/>
  <c r="H83" i="44" s="1"/>
  <c r="L34" i="47"/>
  <c r="H34" i="46"/>
  <c r="I36" i="44"/>
  <c r="I82" i="44" s="1"/>
  <c r="O83" i="42"/>
  <c r="O40" i="42"/>
  <c r="N36" i="45"/>
  <c r="N34" i="46"/>
  <c r="D34" i="46"/>
  <c r="L45" i="46"/>
  <c r="L45" i="47"/>
  <c r="L45" i="44"/>
  <c r="L45" i="43"/>
  <c r="L45" i="45"/>
  <c r="L45" i="42"/>
  <c r="L45" i="40"/>
  <c r="L45" i="41"/>
  <c r="L45" i="39"/>
  <c r="L45" i="38"/>
  <c r="O36" i="38"/>
  <c r="Q34" i="38"/>
  <c r="J40" i="38"/>
  <c r="H46" i="38"/>
  <c r="K36" i="41"/>
  <c r="N40" i="44"/>
  <c r="D36" i="45"/>
  <c r="D82" i="45" s="1"/>
  <c r="E45" i="47"/>
  <c r="E45" i="46"/>
  <c r="E45" i="45"/>
  <c r="E45" i="44"/>
  <c r="E45" i="43"/>
  <c r="E45" i="41"/>
  <c r="E45" i="39"/>
  <c r="E45" i="38"/>
  <c r="E45" i="42"/>
  <c r="E45" i="40"/>
  <c r="K36" i="40"/>
  <c r="K82" i="40" s="1"/>
  <c r="M34" i="40"/>
  <c r="M36" i="39"/>
  <c r="M82" i="39" s="1"/>
  <c r="O34" i="39"/>
  <c r="M82" i="38"/>
  <c r="M83" i="38" s="1"/>
  <c r="K83" i="39"/>
  <c r="N82" i="44"/>
  <c r="N83" i="44" s="1"/>
  <c r="D82" i="44"/>
  <c r="D83" i="44" s="1"/>
  <c r="G83" i="47" l="1"/>
  <c r="C82" i="41"/>
  <c r="C83" i="41" s="1"/>
  <c r="C82" i="40"/>
  <c r="C83" i="40" s="1"/>
  <c r="C34" i="42"/>
  <c r="E36" i="41"/>
  <c r="Q34" i="41"/>
  <c r="Q36" i="41" s="1"/>
  <c r="E82" i="40"/>
  <c r="E83" i="40" s="1"/>
  <c r="C40" i="40"/>
  <c r="E82" i="39"/>
  <c r="E83" i="39" s="1"/>
  <c r="H34" i="47"/>
  <c r="L36" i="47"/>
  <c r="L82" i="47" s="1"/>
  <c r="I36" i="45"/>
  <c r="I82" i="45" s="1"/>
  <c r="G40" i="44"/>
  <c r="I83" i="44"/>
  <c r="H36" i="46"/>
  <c r="H82" i="46" s="1"/>
  <c r="H83" i="46" s="1"/>
  <c r="I34" i="46"/>
  <c r="H83" i="45"/>
  <c r="M36" i="40"/>
  <c r="M82" i="40" s="1"/>
  <c r="O34" i="40"/>
  <c r="K34" i="42"/>
  <c r="Q36" i="38"/>
  <c r="Q82" i="38" s="1"/>
  <c r="O40" i="38"/>
  <c r="Q45" i="46"/>
  <c r="Q45" i="47"/>
  <c r="Q45" i="44"/>
  <c r="Q45" i="43"/>
  <c r="Q45" i="45"/>
  <c r="Q45" i="42"/>
  <c r="Q45" i="40"/>
  <c r="Q45" i="41"/>
  <c r="Q45" i="39"/>
  <c r="Q45" i="38"/>
  <c r="D34" i="47"/>
  <c r="N34" i="47"/>
  <c r="N40" i="45"/>
  <c r="K83" i="40"/>
  <c r="O36" i="39"/>
  <c r="O82" i="39" s="1"/>
  <c r="Q34" i="39"/>
  <c r="J40" i="39"/>
  <c r="M83" i="39"/>
  <c r="D36" i="46"/>
  <c r="D82" i="46" s="1"/>
  <c r="N36" i="46"/>
  <c r="N82" i="46" s="1"/>
  <c r="D83" i="45"/>
  <c r="K82" i="41"/>
  <c r="K83" i="41" s="1"/>
  <c r="O82" i="38"/>
  <c r="O83" i="38" s="1"/>
  <c r="N82" i="45"/>
  <c r="N83" i="45" s="1"/>
  <c r="Q82" i="41" l="1"/>
  <c r="Q83" i="41" s="1"/>
  <c r="Q40" i="41"/>
  <c r="C36" i="42"/>
  <c r="C82" i="42" s="1"/>
  <c r="C83" i="42" s="1"/>
  <c r="E34" i="42"/>
  <c r="E82" i="41"/>
  <c r="E83" i="41" s="1"/>
  <c r="C40" i="41"/>
  <c r="C34" i="43"/>
  <c r="I36" i="46"/>
  <c r="I82" i="46" s="1"/>
  <c r="I34" i="47"/>
  <c r="H36" i="47"/>
  <c r="G40" i="45"/>
  <c r="I83" i="45"/>
  <c r="L83" i="47"/>
  <c r="N40" i="46"/>
  <c r="N83" i="46"/>
  <c r="Q36" i="39"/>
  <c r="Q82" i="39" s="1"/>
  <c r="O40" i="39"/>
  <c r="O83" i="39"/>
  <c r="N36" i="47"/>
  <c r="N82" i="47" s="1"/>
  <c r="Q40" i="38"/>
  <c r="Q83" i="38"/>
  <c r="K36" i="42"/>
  <c r="K82" i="42" s="1"/>
  <c r="O36" i="40"/>
  <c r="O82" i="40" s="1"/>
  <c r="Q34" i="40"/>
  <c r="J40" i="40"/>
  <c r="M83" i="40"/>
  <c r="D83" i="46"/>
  <c r="D36" i="47"/>
  <c r="D82" i="47" s="1"/>
  <c r="K34" i="43"/>
  <c r="M34" i="43" s="1"/>
  <c r="M36" i="43" l="1"/>
  <c r="J40" i="43" s="1"/>
  <c r="C34" i="44"/>
  <c r="E36" i="42"/>
  <c r="C40" i="42" s="1"/>
  <c r="Q34" i="42"/>
  <c r="Q36" i="42" s="1"/>
  <c r="C36" i="43"/>
  <c r="C82" i="43" s="1"/>
  <c r="C83" i="43" s="1"/>
  <c r="E34" i="43"/>
  <c r="I36" i="47"/>
  <c r="I82" i="47" s="1"/>
  <c r="H82" i="47"/>
  <c r="H83" i="47" s="1"/>
  <c r="I83" i="46"/>
  <c r="G40" i="46"/>
  <c r="K36" i="43"/>
  <c r="K34" i="44"/>
  <c r="Q83" i="39"/>
  <c r="Q40" i="39"/>
  <c r="Q36" i="40"/>
  <c r="O40" i="40"/>
  <c r="O83" i="40"/>
  <c r="N40" i="47"/>
  <c r="N83" i="47"/>
  <c r="D83" i="47"/>
  <c r="K83" i="42"/>
  <c r="M82" i="43" l="1"/>
  <c r="M83" i="43" s="1"/>
  <c r="E82" i="42"/>
  <c r="E83" i="42" s="1"/>
  <c r="Q82" i="42"/>
  <c r="Q83" i="42" s="1"/>
  <c r="Q40" i="42"/>
  <c r="C34" i="45"/>
  <c r="E36" i="43"/>
  <c r="Q34" i="43"/>
  <c r="Q36" i="43" s="1"/>
  <c r="C36" i="44"/>
  <c r="E34" i="44"/>
  <c r="E36" i="44" s="1"/>
  <c r="I83" i="47"/>
  <c r="G40" i="47"/>
  <c r="K36" i="44"/>
  <c r="K82" i="44" s="1"/>
  <c r="M34" i="44"/>
  <c r="Q40" i="40"/>
  <c r="K34" i="45"/>
  <c r="Q82" i="40"/>
  <c r="Q83" i="40" s="1"/>
  <c r="K82" i="43"/>
  <c r="K83" i="43" s="1"/>
  <c r="C82" i="44" l="1"/>
  <c r="C83" i="44" s="1"/>
  <c r="E82" i="43"/>
  <c r="E83" i="43" s="1"/>
  <c r="C40" i="43"/>
  <c r="C36" i="45"/>
  <c r="E34" i="45"/>
  <c r="E36" i="45" s="1"/>
  <c r="E82" i="44"/>
  <c r="C40" i="44"/>
  <c r="E83" i="44"/>
  <c r="Q82" i="43"/>
  <c r="Q83" i="43" s="1"/>
  <c r="Q40" i="43"/>
  <c r="C34" i="46"/>
  <c r="K36" i="45"/>
  <c r="M34" i="45"/>
  <c r="K34" i="46"/>
  <c r="M36" i="44"/>
  <c r="O34" i="44"/>
  <c r="K83" i="44"/>
  <c r="C34" i="47" l="1"/>
  <c r="C82" i="45"/>
  <c r="C83" i="45" s="1"/>
  <c r="E34" i="46"/>
  <c r="C36" i="46"/>
  <c r="E82" i="45"/>
  <c r="E83" i="45" s="1"/>
  <c r="C40" i="45"/>
  <c r="J40" i="44"/>
  <c r="K36" i="46"/>
  <c r="M34" i="46"/>
  <c r="M36" i="45"/>
  <c r="M82" i="45" s="1"/>
  <c r="O34" i="45"/>
  <c r="O36" i="44"/>
  <c r="Q34" i="44"/>
  <c r="K34" i="47"/>
  <c r="M82" i="44"/>
  <c r="M83" i="44" s="1"/>
  <c r="K82" i="45"/>
  <c r="K83" i="45" s="1"/>
  <c r="C82" i="46" l="1"/>
  <c r="C83" i="46" s="1"/>
  <c r="E36" i="46"/>
  <c r="C40" i="46" s="1"/>
  <c r="E34" i="47"/>
  <c r="E36" i="47" s="1"/>
  <c r="C36" i="47"/>
  <c r="K36" i="47"/>
  <c r="M34" i="47"/>
  <c r="Q36" i="44"/>
  <c r="Q82" i="44" s="1"/>
  <c r="O40" i="44"/>
  <c r="M36" i="46"/>
  <c r="M82" i="46" s="1"/>
  <c r="O34" i="46"/>
  <c r="O36" i="45"/>
  <c r="O82" i="45" s="1"/>
  <c r="Q34" i="45"/>
  <c r="M83" i="45"/>
  <c r="J40" i="45"/>
  <c r="O82" i="44"/>
  <c r="O83" i="44" s="1"/>
  <c r="K82" i="46"/>
  <c r="K83" i="46" s="1"/>
  <c r="C82" i="47" l="1"/>
  <c r="C83" i="47" s="1"/>
  <c r="E82" i="47"/>
  <c r="E83" i="47" s="1"/>
  <c r="C40" i="47"/>
  <c r="E82" i="46"/>
  <c r="E83" i="46" s="1"/>
  <c r="M36" i="47"/>
  <c r="M82" i="47" s="1"/>
  <c r="O34" i="47"/>
  <c r="Q36" i="45"/>
  <c r="Q82" i="45" s="1"/>
  <c r="O83" i="45"/>
  <c r="O40" i="45"/>
  <c r="O36" i="46"/>
  <c r="O82" i="46" s="1"/>
  <c r="Q34" i="46"/>
  <c r="J40" i="46"/>
  <c r="M83" i="46"/>
  <c r="Q40" i="44"/>
  <c r="Q83" i="44"/>
  <c r="K82" i="47"/>
  <c r="K83" i="47" s="1"/>
  <c r="O36" i="47" l="1"/>
  <c r="Q34" i="47"/>
  <c r="M83" i="47"/>
  <c r="J40" i="47"/>
  <c r="Q36" i="46"/>
  <c r="Q82" i="46" s="1"/>
  <c r="O40" i="46"/>
  <c r="O83" i="46"/>
  <c r="Q83" i="45"/>
  <c r="Q40" i="45"/>
  <c r="Q36" i="47" l="1"/>
  <c r="O40" i="47"/>
  <c r="Q40" i="46"/>
  <c r="Q83" i="46"/>
  <c r="O82" i="47"/>
  <c r="O83" i="47" s="1"/>
  <c r="Q40" i="47" l="1"/>
  <c r="Q82" i="47"/>
  <c r="Q83" i="47" s="1"/>
</calcChain>
</file>

<file path=xl/comments1.xml><?xml version="1.0" encoding="utf-8"?>
<comments xmlns="http://schemas.openxmlformats.org/spreadsheetml/2006/main">
  <authors>
    <author>Julien HERMIER</author>
  </authors>
  <commentList>
    <comment ref="A11" authorId="0">
      <text>
        <r>
          <rPr>
            <b/>
            <sz val="8"/>
            <color indexed="81"/>
            <rFont val="Tahoma"/>
            <family val="2"/>
          </rPr>
          <t>Julien HERMIER:</t>
        </r>
        <r>
          <rPr>
            <sz val="8"/>
            <color indexed="81"/>
            <rFont val="Tahoma"/>
            <family val="2"/>
          </rPr>
          <t xml:space="preserve">
Ne remplir que si les ecritures comptables de transfert ne sont pas passées</t>
        </r>
      </text>
    </comment>
  </commentList>
</comments>
</file>

<file path=xl/comments2.xml><?xml version="1.0" encoding="utf-8"?>
<comments xmlns="http://schemas.openxmlformats.org/spreadsheetml/2006/main">
  <authors>
    <author>Julien HERMIER</author>
  </authors>
  <commentList>
    <comment ref="A11" authorId="0">
      <text>
        <r>
          <rPr>
            <b/>
            <sz val="8"/>
            <color indexed="81"/>
            <rFont val="Tahoma"/>
            <family val="2"/>
          </rPr>
          <t>Julien HERMIER:</t>
        </r>
        <r>
          <rPr>
            <sz val="8"/>
            <color indexed="81"/>
            <rFont val="Tahoma"/>
            <family val="2"/>
          </rPr>
          <t xml:space="preserve">
Ne remplir que si les ecritures comptables de transfert ne sont pas passées</t>
        </r>
      </text>
    </comment>
  </commentList>
</comments>
</file>

<file path=xl/comments3.xml><?xml version="1.0" encoding="utf-8"?>
<comments xmlns="http://schemas.openxmlformats.org/spreadsheetml/2006/main">
  <authors>
    <author>Julien HERMIER</author>
  </authors>
  <commentList>
    <comment ref="A11" authorId="0">
      <text>
        <r>
          <rPr>
            <b/>
            <sz val="8"/>
            <color indexed="81"/>
            <rFont val="Tahoma"/>
            <family val="2"/>
          </rPr>
          <t>Julien HERMIER:</t>
        </r>
        <r>
          <rPr>
            <sz val="8"/>
            <color indexed="81"/>
            <rFont val="Tahoma"/>
            <family val="2"/>
          </rPr>
          <t xml:space="preserve">
Ne remplir que si les ecritures comptables de transfert ne sont pas passées</t>
        </r>
      </text>
    </comment>
  </commentList>
</comments>
</file>

<file path=xl/comments4.xml><?xml version="1.0" encoding="utf-8"?>
<comments xmlns="http://schemas.openxmlformats.org/spreadsheetml/2006/main">
  <authors>
    <author>Julien HERMIER</author>
  </authors>
  <commentList>
    <comment ref="A11" authorId="0">
      <text>
        <r>
          <rPr>
            <b/>
            <sz val="8"/>
            <color indexed="81"/>
            <rFont val="Tahoma"/>
            <family val="2"/>
          </rPr>
          <t>Julien HERMIER:</t>
        </r>
        <r>
          <rPr>
            <sz val="8"/>
            <color indexed="81"/>
            <rFont val="Tahoma"/>
            <family val="2"/>
          </rPr>
          <t xml:space="preserve">
Ne remplir que si les ecritures comptables de transfert ne sont pas passées</t>
        </r>
      </text>
    </comment>
  </commentList>
</comments>
</file>

<file path=xl/comments5.xml><?xml version="1.0" encoding="utf-8"?>
<comments xmlns="http://schemas.openxmlformats.org/spreadsheetml/2006/main">
  <authors>
    <author>Julien HERMIER</author>
  </authors>
  <commentList>
    <comment ref="A11" authorId="0">
      <text>
        <r>
          <rPr>
            <b/>
            <sz val="8"/>
            <color indexed="81"/>
            <rFont val="Tahoma"/>
            <family val="2"/>
          </rPr>
          <t>Julien HERMIER:</t>
        </r>
        <r>
          <rPr>
            <sz val="8"/>
            <color indexed="81"/>
            <rFont val="Tahoma"/>
            <family val="2"/>
          </rPr>
          <t xml:space="preserve">
Ne remplir que si les ecritures comptables de transfert ne sont pas passées</t>
        </r>
      </text>
    </comment>
  </commentList>
</comments>
</file>

<file path=xl/comments6.xml><?xml version="1.0" encoding="utf-8"?>
<comments xmlns="http://schemas.openxmlformats.org/spreadsheetml/2006/main">
  <authors>
    <author>Julien HERMIER</author>
  </authors>
  <commentList>
    <comment ref="A11" authorId="0">
      <text>
        <r>
          <rPr>
            <b/>
            <sz val="8"/>
            <color indexed="81"/>
            <rFont val="Tahoma"/>
            <family val="2"/>
          </rPr>
          <t>Julien HERMIER:</t>
        </r>
        <r>
          <rPr>
            <sz val="8"/>
            <color indexed="81"/>
            <rFont val="Tahoma"/>
            <family val="2"/>
          </rPr>
          <t xml:space="preserve">
Ne remplir que si les ecritures comptables de transfert ne sont pas passées</t>
        </r>
      </text>
    </comment>
  </commentList>
</comments>
</file>

<file path=xl/comments7.xml><?xml version="1.0" encoding="utf-8"?>
<comments xmlns="http://schemas.openxmlformats.org/spreadsheetml/2006/main">
  <authors>
    <author>Julien HERMIER</author>
  </authors>
  <commentList>
    <comment ref="A11" authorId="0">
      <text>
        <r>
          <rPr>
            <b/>
            <sz val="8"/>
            <color indexed="81"/>
            <rFont val="Tahoma"/>
            <family val="2"/>
          </rPr>
          <t>Julien HERMIER:</t>
        </r>
        <r>
          <rPr>
            <sz val="8"/>
            <color indexed="81"/>
            <rFont val="Tahoma"/>
            <family val="2"/>
          </rPr>
          <t xml:space="preserve">
Ne remplir que si les ecritures comptables de transfert ne sont pas passées</t>
        </r>
      </text>
    </comment>
  </commentList>
</comments>
</file>

<file path=xl/comments8.xml><?xml version="1.0" encoding="utf-8"?>
<comments xmlns="http://schemas.openxmlformats.org/spreadsheetml/2006/main">
  <authors>
    <author>Compta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Compta: 6878 était faux car les écritures de simul non pris en cpte !  Donc 6757 est le bon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le total des achats étaient en fait de 2200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RATIO FICTIF
</t>
        </r>
      </text>
    </comment>
    <comment ref="J3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RATIO FICTIF</t>
        </r>
      </text>
    </comment>
  </commentList>
</comments>
</file>

<file path=xl/comments9.xml><?xml version="1.0" encoding="utf-8"?>
<comments xmlns="http://schemas.openxmlformats.org/spreadsheetml/2006/main">
  <authors>
    <author>Compta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4710,08 ( modi 5/6)+5544
,92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RATIO FICTIF
</t>
        </r>
      </text>
    </comment>
    <comment ref="J3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RATIO FICTIF</t>
        </r>
      </text>
    </comment>
  </commentList>
</comments>
</file>

<file path=xl/comments10.xml><?xml version="1.0" encoding="utf-8"?>
<comments xmlns="http://schemas.openxmlformats.org/spreadsheetml/2006/main">
  <authors>
    <author>Compta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4710,08 ( modi 5/6)+5544
,92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RATIO FICTIF
</t>
        </r>
      </text>
    </comment>
    <comment ref="J3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RATIO FICTIF</t>
        </r>
      </text>
    </comment>
  </commentList>
</comments>
</file>

<file path=xl/comments11.xml><?xml version="1.0" encoding="utf-8"?>
<comments xmlns="http://schemas.openxmlformats.org/spreadsheetml/2006/main">
  <authors>
    <author>Compta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4710,08 ( modi 5/6)+5544
,92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RATIO FICTIF
</t>
        </r>
      </text>
    </comment>
    <comment ref="J37" authorId="0">
      <text>
        <r>
          <rPr>
            <b/>
            <sz val="9"/>
            <color indexed="81"/>
            <rFont val="Tahoma"/>
            <family val="2"/>
          </rPr>
          <t>Compta:</t>
        </r>
        <r>
          <rPr>
            <sz val="9"/>
            <color indexed="81"/>
            <rFont val="Tahoma"/>
            <family val="2"/>
          </rPr>
          <t xml:space="preserve">
RATIO FICTIF</t>
        </r>
      </text>
    </comment>
  </commentList>
</comments>
</file>

<file path=xl/sharedStrings.xml><?xml version="1.0" encoding="utf-8"?>
<sst xmlns="http://schemas.openxmlformats.org/spreadsheetml/2006/main" count="1998" uniqueCount="156">
  <si>
    <t>NOURRITURE</t>
  </si>
  <si>
    <t>BOISSON</t>
  </si>
  <si>
    <t>F&amp;B</t>
  </si>
  <si>
    <t xml:space="preserve">CUISINE </t>
  </si>
  <si>
    <t>CAFETERIE</t>
  </si>
  <si>
    <t>TOTAL</t>
  </si>
  <si>
    <t>BIERES</t>
  </si>
  <si>
    <t>EAUX MIN.</t>
  </si>
  <si>
    <t>LIQUEUR</t>
  </si>
  <si>
    <t>A - CHARGES</t>
  </si>
  <si>
    <t xml:space="preserve">STOCK DEPART </t>
  </si>
  <si>
    <t>ACHAT MARCHANDISES</t>
  </si>
  <si>
    <t>(+) PROVISION DU MOIS</t>
  </si>
  <si>
    <t>(-) PROVISION DU MOI PRECEDENT</t>
  </si>
  <si>
    <t>TRANSFERTS</t>
  </si>
  <si>
    <t>TOTAL ACHAT MARCHANDISE</t>
  </si>
  <si>
    <t>TOTAL DES CHARGES</t>
  </si>
  <si>
    <t>B - MARCHANDISES CONSOMMEES</t>
  </si>
  <si>
    <t>STOCK ARRIVE</t>
  </si>
  <si>
    <t>AVANTAGES EN NATURES</t>
  </si>
  <si>
    <t>OFFICER</t>
  </si>
  <si>
    <t>OFFERTS CLIENTS</t>
  </si>
  <si>
    <t>OFFERTS ANIMATION</t>
  </si>
  <si>
    <t>COCKTAIL DIRECTION</t>
  </si>
  <si>
    <t>AUTRES</t>
  </si>
  <si>
    <t>TOTAL MARCHANDISE CONSOMMEE</t>
  </si>
  <si>
    <t>DEPENSE DU MOIS H.T</t>
  </si>
  <si>
    <t>CHIFFRE D'AFFAIRE DU MOIS HT</t>
  </si>
  <si>
    <t>% MARCHANDISE CONSOMMEE</t>
  </si>
  <si>
    <t>CHIFFRE D'AFFAIRE CUMULE H.T</t>
  </si>
  <si>
    <t>DEPENSE DU MOIS CUMULE H.T</t>
  </si>
  <si>
    <t>% MARCHANDISE DU MOIS CUMULE</t>
  </si>
  <si>
    <t xml:space="preserve">% MARCHANDISE CONSOMME CUMULE </t>
  </si>
  <si>
    <t>C.A F&amp;B</t>
  </si>
  <si>
    <t>DEP.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</si>
  <si>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</si>
  <si>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</si>
  <si>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</si>
  <si>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</si>
  <si>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</si>
  <si>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</si>
  <si>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</si>
  <si>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</si>
  <si>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</si>
  <si>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</si>
  <si>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</si>
  <si>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</si>
  <si>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%</t>
  </si>
  <si>
    <t>VIP</t>
  </si>
  <si>
    <t>SIEGE</t>
  </si>
  <si>
    <t>VENTE PERSONNEL</t>
  </si>
  <si>
    <t>MENSUELLE</t>
  </si>
  <si>
    <t>MC FOOD</t>
  </si>
  <si>
    <t>MC BEV</t>
  </si>
  <si>
    <t>MC TOTAL</t>
  </si>
  <si>
    <t>OFFERTS DIRECTION</t>
  </si>
  <si>
    <t>OFFERTS PERSONNEL</t>
  </si>
  <si>
    <t>OFFERTS CLIENTS/COMMERCIAL</t>
  </si>
  <si>
    <t>Vins Restaurant</t>
  </si>
  <si>
    <t>Vins au verres</t>
  </si>
  <si>
    <t>Eaux minérales resto</t>
  </si>
  <si>
    <t>APP - Alcool</t>
  </si>
  <si>
    <t>Total Resto</t>
  </si>
  <si>
    <t>TOTAL BEV</t>
  </si>
  <si>
    <t>Total PUB</t>
  </si>
  <si>
    <t>MC PUB</t>
  </si>
  <si>
    <t>Ratio Pub</t>
  </si>
  <si>
    <t>Ratio Restaurant</t>
  </si>
  <si>
    <t>Ratio Cuisine</t>
  </si>
  <si>
    <t>Tot. Bev</t>
  </si>
  <si>
    <t xml:space="preserve">F &amp; B </t>
  </si>
  <si>
    <t>BIERES/CAFE</t>
  </si>
  <si>
    <t>Minibar</t>
  </si>
  <si>
    <t>MC MB</t>
  </si>
  <si>
    <t>TOTAL FOOD</t>
  </si>
  <si>
    <t>Ratio MB</t>
  </si>
  <si>
    <t>Valeur du point</t>
  </si>
  <si>
    <t>Perte en Marchandise</t>
  </si>
  <si>
    <t>Indicateur Moyen par département</t>
  </si>
  <si>
    <t xml:space="preserve">Calcul des pertes sur le Mois </t>
  </si>
  <si>
    <t>Calcul des pertes cumulées</t>
  </si>
  <si>
    <t>.</t>
  </si>
  <si>
    <t>STAGIAIRE</t>
  </si>
  <si>
    <t>VINS</t>
  </si>
  <si>
    <t>SPIRIT</t>
  </si>
  <si>
    <t>EAU</t>
  </si>
  <si>
    <t>SOFT</t>
  </si>
  <si>
    <t>CAFE</t>
  </si>
  <si>
    <t>TOTAL CAVE</t>
  </si>
  <si>
    <t>FOOD</t>
  </si>
  <si>
    <t>PDJ</t>
  </si>
  <si>
    <t>BIERE BTL</t>
  </si>
  <si>
    <t>BIERE PRES,</t>
  </si>
  <si>
    <t>TOTAL NOURRITURE</t>
  </si>
  <si>
    <t>RATIO</t>
  </si>
  <si>
    <t>RATIO NOURRITURE</t>
  </si>
  <si>
    <t>RATIO - RESTAURATION individuels-hotel</t>
  </si>
  <si>
    <t>RATIO SEMINAIRES ET BANQUETS</t>
  </si>
  <si>
    <t>RATIO BOISSONS</t>
  </si>
  <si>
    <t>OBJECTIF RATIO BUDGET</t>
  </si>
  <si>
    <t>BIERE PRES</t>
  </si>
  <si>
    <t>RATIO LIQUIDE</t>
  </si>
  <si>
    <t xml:space="preserve">RATIO SOLIDE </t>
  </si>
  <si>
    <t>SOLIDE</t>
  </si>
  <si>
    <t>LIQUIDE</t>
  </si>
  <si>
    <t>RATIO CUMULE YTD</t>
  </si>
  <si>
    <t>Ecart vs budget mois</t>
  </si>
  <si>
    <t>Ecart vs budget ytd</t>
  </si>
  <si>
    <t>RATIO du mois</t>
  </si>
  <si>
    <t>JUILLET 2015</t>
  </si>
  <si>
    <t>ACHAT MARCHANDISES+VARIATION STOCK</t>
  </si>
  <si>
    <t xml:space="preserve">CAFE 426 </t>
  </si>
  <si>
    <t>VINS 19,6</t>
  </si>
  <si>
    <t>EAU 180</t>
  </si>
  <si>
    <t>AOUT 2015</t>
  </si>
  <si>
    <t>AOUT</t>
  </si>
  <si>
    <t>JUILLET</t>
  </si>
  <si>
    <t>STOCK SEMINAIRE</t>
  </si>
  <si>
    <t>SEPT-2015</t>
  </si>
  <si>
    <t>SPT</t>
  </si>
  <si>
    <t>OCT-2015</t>
  </si>
  <si>
    <t>OCT</t>
  </si>
  <si>
    <t>RE DISPATCH</t>
  </si>
  <si>
    <t>NOV-2015</t>
  </si>
  <si>
    <t>NOV</t>
  </si>
  <si>
    <t>DECEMBRE-2015</t>
  </si>
  <si>
    <t>DEC</t>
  </si>
  <si>
    <t>VARIATION STOCK</t>
  </si>
  <si>
    <t>JANVIER-2016</t>
  </si>
  <si>
    <t>STOCK DEPART</t>
  </si>
  <si>
    <t>STOCK FINAL</t>
  </si>
  <si>
    <t>DEPENSE DU MOIS</t>
  </si>
  <si>
    <t>PERTE</t>
  </si>
  <si>
    <t>NON IDENT</t>
  </si>
  <si>
    <t>FEVRIER-2016</t>
  </si>
  <si>
    <t>PERTE MARCHANDISE</t>
  </si>
  <si>
    <t>ACHAT CAFE SEMINAIRE !!</t>
  </si>
  <si>
    <t>TOTAL CAVE HORS FOOD</t>
  </si>
  <si>
    <t>MARS-2016</t>
  </si>
  <si>
    <t>TOTAL BOISSONS</t>
  </si>
  <si>
    <t>FOOD BAR</t>
  </si>
  <si>
    <t>OLIVES 413 EUR</t>
  </si>
  <si>
    <t>CARRE CHOCO 268,48</t>
  </si>
  <si>
    <t>SEMINAIRE LIQUIDE</t>
  </si>
  <si>
    <t>AUCUN ACHAT</t>
  </si>
  <si>
    <t>AVRIL-2016</t>
  </si>
  <si>
    <t>PERTE SEMINAIRE</t>
  </si>
  <si>
    <t xml:space="preserve">CUISINE individuel </t>
  </si>
  <si>
    <t>PDJ indiv</t>
  </si>
  <si>
    <t>TOTAL M/SES CONSOMMEE</t>
  </si>
  <si>
    <t>TOTAL ACHAT M/SES</t>
  </si>
  <si>
    <t>B - M/SES CONSOMMEES</t>
  </si>
  <si>
    <t>ACHAT M/SES</t>
  </si>
  <si>
    <t>MAI-2016</t>
  </si>
  <si>
    <t>Mois</t>
  </si>
  <si>
    <t>JUILLET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</si>
</sst>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#,##0\ &quot;€&quot;;[Red]\-#,##0\ &quot;€&quot;"/>
    <numFmt numFmtId="8" formatCode="#,##0.00\ &quot;€&quot;;[Red]\-#,##0.00\ &quot;€&quot;"/>
    <numFmt numFmtId="43" formatCode="_-* #,##0.00\ _€_-;\-* #,##0.00\ _€_-;_-* &quot;-&quot;??\ _€_-;_-@_-"/>
    <numFmt numFmtId="164" formatCode="#,##0_ ;[Red]\-#,##0\ "/>
    <numFmt numFmtId="165" formatCode="#,##0\ &quot;€&quot;"/>
    <numFmt numFmtId="166" formatCode="_-* #,##0\ _€_-;\-* #,##0\ _€_-;_-* &quot;-&quot;??\ _€_-;_-@_-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i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b/>
      <i/>
      <sz val="7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7"/>
      <name val="Tahoma"/>
      <family val="2"/>
    </font>
    <font>
      <b/>
      <sz val="7"/>
      <name val="Tahoma"/>
      <family val="2"/>
    </font>
    <font>
      <b/>
      <sz val="7"/>
      <color theme="0"/>
      <name val="Tahoma"/>
      <family val="2"/>
    </font>
    <font>
      <sz val="7"/>
      <color theme="1"/>
      <name val="Calibri"/>
      <family val="2"/>
      <scheme val="minor"/>
    </font>
    <font>
      <b/>
      <sz val="7"/>
      <color theme="0"/>
      <name val="Arial"/>
      <family val="2"/>
    </font>
    <font>
      <sz val="9"/>
      <color theme="1"/>
      <name val="Calibri"/>
      <family val="2"/>
      <scheme val="minor"/>
    </font>
    <font>
      <sz val="7"/>
      <color theme="0"/>
      <name val="Tahoma"/>
      <family val="2"/>
    </font>
    <font>
      <b/>
      <sz val="10"/>
      <color rgb="FFFF0000"/>
      <name val="Arial"/>
      <family val="2"/>
    </font>
    <font>
      <b/>
      <sz val="7"/>
      <color rgb="FFFF000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b/>
      <sz val="7"/>
      <color rgb="FFFF0000"/>
      <name val="Tahoma"/>
      <family val="2"/>
    </font>
    <font>
      <sz val="10"/>
      <name val="Arial"/>
      <family val="2"/>
    </font>
    <font>
      <sz val="10"/>
      <color rgb="FF00B05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Tahoma"/>
      <family val="2"/>
    </font>
    <font>
      <sz val="8"/>
      <color theme="1"/>
      <name val="Calibri"/>
      <family val="2"/>
      <scheme val="minor"/>
    </font>
    <font>
      <sz val="8"/>
      <color theme="0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b/>
      <sz val="8"/>
      <color theme="0"/>
      <name val="Tahoma"/>
      <family val="2"/>
    </font>
    <font>
      <sz val="9"/>
      <name val="Arial"/>
      <family val="2"/>
    </font>
    <font>
      <sz val="8"/>
      <color rgb="FFFF0000"/>
      <name val="Tahoma"/>
      <family val="2"/>
    </font>
    <font>
      <b/>
      <sz val="1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lightDown">
        <bgColor theme="8" tint="0.5999938962981048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lightDown">
        <bgColor theme="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99"/>
        <bgColor indexed="64"/>
      </patternFill>
    </fill>
    <fill>
      <gradientFill type="path" left="0.5" right="0.5" top="0.5" bottom="0.5">
        <stop position="0">
          <color theme="8" tint="0.80001220740379042"/>
        </stop>
        <stop position="1">
          <color theme="0"/>
        </stop>
      </gradientFill>
    </fill>
    <fill>
      <patternFill patternType="solid">
        <fgColor theme="0" tint="-4.9989318521683403E-2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2"/>
        <bgColor indexed="64"/>
      </patternFill>
    </fill>
  </fills>
  <borders count="15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9" fontId="8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2" fillId="0" borderId="0"/>
    <xf numFmtId="43" fontId="39" fillId="0" borderId="0" applyFont="0" applyFill="0" applyBorder="0" applyAlignment="0" applyProtection="0"/>
    <xf numFmtId="0" fontId="1" fillId="0" borderId="0"/>
    <xf numFmtId="0" fontId="8" fillId="0" borderId="0"/>
    <xf numFmtId="9" fontId="8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</cellStyleXfs>
  <cellXfs count="847">
    <xf numFmtId="0" fontId="0" fillId="0" borderId="0" xfId="0"/>
    <xf numFmtId="0" fontId="10" fillId="0" borderId="0" xfId="0" applyFont="1" applyBorder="1" applyAlignment="1">
      <alignment horizontal="center"/>
    </xf>
    <xf numFmtId="0" fontId="11" fillId="0" borderId="0" xfId="0" applyFont="1"/>
    <xf numFmtId="0" fontId="9" fillId="0" borderId="0" xfId="0" applyFont="1"/>
    <xf numFmtId="164" fontId="9" fillId="0" borderId="1" xfId="0" applyNumberFormat="1" applyFont="1" applyBorder="1"/>
    <xf numFmtId="0" fontId="9" fillId="0" borderId="1" xfId="0" applyFont="1" applyBorder="1"/>
    <xf numFmtId="0" fontId="9" fillId="0" borderId="0" xfId="0" applyFont="1" applyBorder="1"/>
    <xf numFmtId="164" fontId="9" fillId="0" borderId="0" xfId="0" applyNumberFormat="1" applyFont="1" applyBorder="1"/>
    <xf numFmtId="164" fontId="9" fillId="0" borderId="2" xfId="0" applyNumberFormat="1" applyFont="1" applyBorder="1"/>
    <xf numFmtId="10" fontId="11" fillId="0" borderId="0" xfId="1" applyNumberFormat="1" applyFont="1"/>
    <xf numFmtId="10" fontId="11" fillId="0" borderId="0" xfId="0" applyNumberFormat="1" applyFont="1"/>
    <xf numFmtId="164" fontId="10" fillId="0" borderId="3" xfId="0" applyNumberFormat="1" applyFont="1" applyBorder="1"/>
    <xf numFmtId="164" fontId="12" fillId="0" borderId="4" xfId="0" applyNumberFormat="1" applyFont="1" applyBorder="1"/>
    <xf numFmtId="164" fontId="10" fillId="0" borderId="0" xfId="0" applyNumberFormat="1" applyFont="1" applyBorder="1"/>
    <xf numFmtId="164" fontId="10" fillId="0" borderId="5" xfId="0" applyNumberFormat="1" applyFont="1" applyBorder="1"/>
    <xf numFmtId="10" fontId="10" fillId="0" borderId="0" xfId="0" applyNumberFormat="1" applyFont="1" applyBorder="1"/>
    <xf numFmtId="0" fontId="10" fillId="0" borderId="0" xfId="0" applyFont="1"/>
    <xf numFmtId="164" fontId="9" fillId="0" borderId="0" xfId="0" applyNumberFormat="1" applyFont="1"/>
    <xf numFmtId="10" fontId="9" fillId="0" borderId="0" xfId="0" applyNumberFormat="1" applyFont="1"/>
    <xf numFmtId="10" fontId="9" fillId="0" borderId="0" xfId="0" applyNumberFormat="1" applyFont="1" applyBorder="1"/>
    <xf numFmtId="0" fontId="9" fillId="0" borderId="6" xfId="0" applyFont="1" applyBorder="1"/>
    <xf numFmtId="164" fontId="9" fillId="2" borderId="1" xfId="0" applyNumberFormat="1" applyFont="1" applyFill="1" applyBorder="1" applyProtection="1">
      <protection locked="0"/>
    </xf>
    <xf numFmtId="164" fontId="9" fillId="2" borderId="2" xfId="0" applyNumberFormat="1" applyFont="1" applyFill="1" applyBorder="1" applyProtection="1">
      <protection locked="0"/>
    </xf>
    <xf numFmtId="164" fontId="9" fillId="0" borderId="1" xfId="0" applyNumberFormat="1" applyFont="1" applyFill="1" applyBorder="1" applyProtection="1"/>
    <xf numFmtId="164" fontId="9" fillId="0" borderId="2" xfId="0" applyNumberFormat="1" applyFont="1" applyFill="1" applyBorder="1" applyProtection="1"/>
    <xf numFmtId="164" fontId="10" fillId="0" borderId="1" xfId="0" applyNumberFormat="1" applyFont="1" applyBorder="1"/>
    <xf numFmtId="164" fontId="10" fillId="0" borderId="2" xfId="0" applyNumberFormat="1" applyFont="1" applyBorder="1"/>
    <xf numFmtId="164" fontId="12" fillId="0" borderId="7" xfId="0" applyNumberFormat="1" applyFont="1" applyBorder="1"/>
    <xf numFmtId="164" fontId="10" fillId="0" borderId="8" xfId="0" applyNumberFormat="1" applyFont="1" applyBorder="1"/>
    <xf numFmtId="10" fontId="13" fillId="0" borderId="0" xfId="0" applyNumberFormat="1" applyFont="1" applyBorder="1" applyAlignment="1">
      <alignment horizontal="center"/>
    </xf>
    <xf numFmtId="0" fontId="14" fillId="0" borderId="0" xfId="0" applyFont="1"/>
    <xf numFmtId="0" fontId="9" fillId="0" borderId="0" xfId="0" applyFont="1" applyFill="1"/>
    <xf numFmtId="0" fontId="9" fillId="0" borderId="9" xfId="0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16" fillId="0" borderId="0" xfId="0" applyFont="1"/>
    <xf numFmtId="10" fontId="11" fillId="0" borderId="15" xfId="0" applyNumberFormat="1" applyFont="1" applyBorder="1"/>
    <xf numFmtId="0" fontId="9" fillId="0" borderId="8" xfId="0" applyFont="1" applyBorder="1"/>
    <xf numFmtId="164" fontId="9" fillId="0" borderId="8" xfId="0" applyNumberFormat="1" applyFont="1" applyFill="1" applyBorder="1" applyProtection="1"/>
    <xf numFmtId="164" fontId="9" fillId="0" borderId="8" xfId="0" applyNumberFormat="1" applyFont="1" applyBorder="1"/>
    <xf numFmtId="164" fontId="9" fillId="2" borderId="8" xfId="0" applyNumberFormat="1" applyFont="1" applyFill="1" applyBorder="1" applyProtection="1">
      <protection locked="0"/>
    </xf>
    <xf numFmtId="164" fontId="10" fillId="0" borderId="16" xfId="0" applyNumberFormat="1" applyFont="1" applyBorder="1"/>
    <xf numFmtId="164" fontId="12" fillId="0" borderId="17" xfId="0" applyNumberFormat="1" applyFont="1" applyBorder="1" applyProtection="1"/>
    <xf numFmtId="164" fontId="10" fillId="0" borderId="18" xfId="0" applyNumberFormat="1" applyFont="1" applyFill="1" applyBorder="1" applyProtection="1"/>
    <xf numFmtId="164" fontId="12" fillId="0" borderId="18" xfId="0" applyNumberFormat="1" applyFont="1" applyBorder="1" applyProtection="1"/>
    <xf numFmtId="164" fontId="10" fillId="0" borderId="18" xfId="0" applyNumberFormat="1" applyFont="1" applyBorder="1" applyProtection="1"/>
    <xf numFmtId="0" fontId="12" fillId="0" borderId="7" xfId="0" applyFont="1" applyBorder="1"/>
    <xf numFmtId="0" fontId="12" fillId="0" borderId="17" xfId="0" applyFont="1" applyBorder="1" applyProtection="1"/>
    <xf numFmtId="0" fontId="10" fillId="0" borderId="0" xfId="0" applyFont="1" applyProtection="1"/>
    <xf numFmtId="10" fontId="18" fillId="0" borderId="0" xfId="0" applyNumberFormat="1" applyFont="1" applyBorder="1" applyAlignment="1">
      <alignment horizontal="center"/>
    </xf>
    <xf numFmtId="0" fontId="19" fillId="0" borderId="0" xfId="0" applyFont="1"/>
    <xf numFmtId="0" fontId="10" fillId="0" borderId="0" xfId="0" applyFont="1" applyBorder="1"/>
    <xf numFmtId="0" fontId="15" fillId="0" borderId="0" xfId="0" applyFont="1"/>
    <xf numFmtId="0" fontId="10" fillId="0" borderId="19" xfId="0" applyFont="1" applyFill="1" applyBorder="1" applyProtection="1"/>
    <xf numFmtId="164" fontId="9" fillId="0" borderId="10" xfId="0" applyNumberFormat="1" applyFont="1" applyBorder="1"/>
    <xf numFmtId="164" fontId="12" fillId="0" borderId="20" xfId="0" applyNumberFormat="1" applyFont="1" applyBorder="1"/>
    <xf numFmtId="164" fontId="9" fillId="0" borderId="12" xfId="0" applyNumberFormat="1" applyFont="1" applyBorder="1"/>
    <xf numFmtId="164" fontId="12" fillId="0" borderId="21" xfId="0" applyNumberFormat="1" applyFont="1" applyBorder="1"/>
    <xf numFmtId="10" fontId="10" fillId="0" borderId="14" xfId="0" applyNumberFormat="1" applyFont="1" applyBorder="1"/>
    <xf numFmtId="10" fontId="10" fillId="0" borderId="22" xfId="0" applyNumberFormat="1" applyFont="1" applyBorder="1" applyProtection="1"/>
    <xf numFmtId="164" fontId="9" fillId="0" borderId="23" xfId="0" applyNumberFormat="1" applyFont="1" applyBorder="1"/>
    <xf numFmtId="164" fontId="9" fillId="0" borderId="24" xfId="0" applyNumberFormat="1" applyFont="1" applyBorder="1"/>
    <xf numFmtId="164" fontId="9" fillId="0" borderId="9" xfId="0" applyNumberFormat="1" applyFont="1" applyBorder="1"/>
    <xf numFmtId="164" fontId="9" fillId="0" borderId="11" xfId="0" applyNumberFormat="1" applyFont="1" applyBorder="1"/>
    <xf numFmtId="10" fontId="10" fillId="0" borderId="13" xfId="0" applyNumberFormat="1" applyFont="1" applyBorder="1"/>
    <xf numFmtId="164" fontId="10" fillId="0" borderId="25" xfId="0" applyNumberFormat="1" applyFont="1" applyBorder="1" applyProtection="1"/>
    <xf numFmtId="164" fontId="10" fillId="0" borderId="26" xfId="0" applyNumberFormat="1" applyFont="1" applyBorder="1" applyProtection="1"/>
    <xf numFmtId="10" fontId="10" fillId="0" borderId="27" xfId="0" applyNumberFormat="1" applyFont="1" applyBorder="1" applyProtection="1"/>
    <xf numFmtId="164" fontId="10" fillId="0" borderId="25" xfId="0" applyNumberFormat="1" applyFont="1" applyFill="1" applyBorder="1" applyProtection="1"/>
    <xf numFmtId="164" fontId="10" fillId="0" borderId="26" xfId="0" applyNumberFormat="1" applyFont="1" applyFill="1" applyBorder="1" applyProtection="1"/>
    <xf numFmtId="10" fontId="10" fillId="0" borderId="28" xfId="0" applyNumberFormat="1" applyFont="1" applyBorder="1"/>
    <xf numFmtId="164" fontId="10" fillId="0" borderId="0" xfId="0" applyNumberFormat="1" applyFont="1" applyFill="1" applyBorder="1" applyProtection="1"/>
    <xf numFmtId="164" fontId="10" fillId="0" borderId="0" xfId="0" applyNumberFormat="1" applyFont="1" applyBorder="1" applyProtection="1"/>
    <xf numFmtId="10" fontId="11" fillId="0" borderId="0" xfId="1" applyNumberFormat="1" applyFont="1" applyBorder="1"/>
    <xf numFmtId="0" fontId="10" fillId="0" borderId="0" xfId="0" applyFont="1" applyFill="1" applyBorder="1"/>
    <xf numFmtId="164" fontId="9" fillId="0" borderId="29" xfId="0" applyNumberFormat="1" applyFont="1" applyBorder="1"/>
    <xf numFmtId="10" fontId="10" fillId="0" borderId="30" xfId="0" applyNumberFormat="1" applyFont="1" applyBorder="1"/>
    <xf numFmtId="10" fontId="13" fillId="0" borderId="31" xfId="0" applyNumberFormat="1" applyFont="1" applyBorder="1" applyAlignment="1">
      <alignment horizontal="center"/>
    </xf>
    <xf numFmtId="10" fontId="13" fillId="0" borderId="32" xfId="0" applyNumberFormat="1" applyFont="1" applyBorder="1" applyAlignment="1">
      <alignment horizontal="center"/>
    </xf>
    <xf numFmtId="10" fontId="18" fillId="0" borderId="31" xfId="0" applyNumberFormat="1" applyFont="1" applyBorder="1" applyAlignment="1">
      <alignment horizontal="center"/>
    </xf>
    <xf numFmtId="164" fontId="10" fillId="0" borderId="10" xfId="0" applyNumberFormat="1" applyFont="1" applyFill="1" applyBorder="1" applyProtection="1"/>
    <xf numFmtId="164" fontId="10" fillId="0" borderId="12" xfId="0" applyNumberFormat="1" applyFont="1" applyFill="1" applyBorder="1" applyProtection="1"/>
    <xf numFmtId="10" fontId="10" fillId="0" borderId="14" xfId="0" applyNumberFormat="1" applyFont="1" applyBorder="1" applyProtection="1"/>
    <xf numFmtId="0" fontId="9" fillId="3" borderId="33" xfId="0" applyFont="1" applyFill="1" applyBorder="1"/>
    <xf numFmtId="0" fontId="9" fillId="3" borderId="34" xfId="0" applyFont="1" applyFill="1" applyBorder="1"/>
    <xf numFmtId="0" fontId="9" fillId="3" borderId="35" xfId="0" applyFont="1" applyFill="1" applyBorder="1"/>
    <xf numFmtId="0" fontId="9" fillId="3" borderId="36" xfId="0" applyFont="1" applyFill="1" applyBorder="1"/>
    <xf numFmtId="0" fontId="10" fillId="3" borderId="35" xfId="0" applyFont="1" applyFill="1" applyBorder="1"/>
    <xf numFmtId="0" fontId="10" fillId="3" borderId="33" xfId="0" applyFont="1" applyFill="1" applyBorder="1"/>
    <xf numFmtId="0" fontId="9" fillId="3" borderId="9" xfId="0" applyFont="1" applyFill="1" applyBorder="1"/>
    <xf numFmtId="0" fontId="9" fillId="3" borderId="10" xfId="0" applyFont="1" applyFill="1" applyBorder="1"/>
    <xf numFmtId="0" fontId="9" fillId="3" borderId="11" xfId="0" applyFont="1" applyFill="1" applyBorder="1"/>
    <xf numFmtId="0" fontId="9" fillId="3" borderId="12" xfId="0" applyFont="1" applyFill="1" applyBorder="1"/>
    <xf numFmtId="0" fontId="10" fillId="3" borderId="13" xfId="0" applyFont="1" applyFill="1" applyBorder="1"/>
    <xf numFmtId="0" fontId="10" fillId="3" borderId="14" xfId="0" applyFont="1" applyFill="1" applyBorder="1"/>
    <xf numFmtId="0" fontId="9" fillId="3" borderId="37" xfId="0" applyFont="1" applyFill="1" applyBorder="1"/>
    <xf numFmtId="0" fontId="9" fillId="3" borderId="32" xfId="0" applyFont="1" applyFill="1" applyBorder="1"/>
    <xf numFmtId="0" fontId="10" fillId="3" borderId="37" xfId="0" applyFont="1" applyFill="1" applyBorder="1"/>
    <xf numFmtId="0" fontId="10" fillId="3" borderId="32" xfId="0" applyFont="1" applyFill="1" applyBorder="1" applyAlignment="1">
      <alignment horizontal="center"/>
    </xf>
    <xf numFmtId="0" fontId="10" fillId="3" borderId="32" xfId="0" applyFont="1" applyFill="1" applyBorder="1" applyAlignment="1" applyProtection="1">
      <alignment horizontal="center"/>
      <protection locked="0"/>
    </xf>
    <xf numFmtId="0" fontId="9" fillId="3" borderId="0" xfId="0" applyFont="1" applyFill="1" applyBorder="1"/>
    <xf numFmtId="0" fontId="9" fillId="3" borderId="38" xfId="0" applyFont="1" applyFill="1" applyBorder="1"/>
    <xf numFmtId="0" fontId="10" fillId="3" borderId="0" xfId="0" applyFont="1" applyFill="1" applyBorder="1"/>
    <xf numFmtId="0" fontId="10" fillId="3" borderId="39" xfId="0" applyFont="1" applyFill="1" applyBorder="1"/>
    <xf numFmtId="0" fontId="15" fillId="0" borderId="0" xfId="0" applyFont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0" fontId="15" fillId="4" borderId="8" xfId="0" applyFont="1" applyFill="1" applyBorder="1" applyAlignment="1">
      <alignment horizontal="center"/>
    </xf>
    <xf numFmtId="0" fontId="15" fillId="4" borderId="40" xfId="0" applyFont="1" applyFill="1" applyBorder="1" applyAlignment="1">
      <alignment horizontal="center"/>
    </xf>
    <xf numFmtId="0" fontId="15" fillId="4" borderId="41" xfId="0" applyFont="1" applyFill="1" applyBorder="1" applyAlignment="1">
      <alignment horizontal="center"/>
    </xf>
    <xf numFmtId="10" fontId="9" fillId="0" borderId="6" xfId="0" applyNumberFormat="1" applyFont="1" applyBorder="1"/>
    <xf numFmtId="0" fontId="9" fillId="0" borderId="42" xfId="0" applyFont="1" applyBorder="1"/>
    <xf numFmtId="0" fontId="9" fillId="0" borderId="43" xfId="0" applyFont="1" applyBorder="1"/>
    <xf numFmtId="0" fontId="10" fillId="0" borderId="44" xfId="0" applyFont="1" applyBorder="1" applyProtection="1"/>
    <xf numFmtId="164" fontId="10" fillId="0" borderId="7" xfId="0" applyNumberFormat="1" applyFont="1" applyFill="1" applyBorder="1" applyProtection="1"/>
    <xf numFmtId="164" fontId="10" fillId="0" borderId="4" xfId="0" applyNumberFormat="1" applyFont="1" applyBorder="1"/>
    <xf numFmtId="164" fontId="10" fillId="0" borderId="4" xfId="0" applyNumberFormat="1" applyFont="1" applyFill="1" applyBorder="1" applyProtection="1"/>
    <xf numFmtId="164" fontId="10" fillId="0" borderId="35" xfId="0" applyNumberFormat="1" applyFont="1" applyBorder="1"/>
    <xf numFmtId="164" fontId="10" fillId="0" borderId="7" xfId="0" applyNumberFormat="1" applyFont="1" applyBorder="1" applyProtection="1"/>
    <xf numFmtId="164" fontId="9" fillId="0" borderId="35" xfId="0" applyNumberFormat="1" applyFont="1" applyFill="1" applyBorder="1" applyProtection="1"/>
    <xf numFmtId="164" fontId="9" fillId="2" borderId="35" xfId="0" applyNumberFormat="1" applyFont="1" applyFill="1" applyBorder="1" applyProtection="1">
      <protection locked="0"/>
    </xf>
    <xf numFmtId="164" fontId="9" fillId="2" borderId="12" xfId="0" applyNumberFormat="1" applyFont="1" applyFill="1" applyBorder="1" applyProtection="1">
      <protection locked="0"/>
    </xf>
    <xf numFmtId="164" fontId="9" fillId="2" borderId="11" xfId="0" applyNumberFormat="1" applyFont="1" applyFill="1" applyBorder="1" applyProtection="1">
      <protection locked="0"/>
    </xf>
    <xf numFmtId="164" fontId="9" fillId="2" borderId="24" xfId="0" applyNumberFormat="1" applyFont="1" applyFill="1" applyBorder="1" applyProtection="1">
      <protection locked="0"/>
    </xf>
    <xf numFmtId="164" fontId="10" fillId="2" borderId="12" xfId="0" applyNumberFormat="1" applyFont="1" applyFill="1" applyBorder="1" applyProtection="1">
      <protection locked="0"/>
    </xf>
    <xf numFmtId="164" fontId="10" fillId="0" borderId="45" xfId="0" applyNumberFormat="1" applyFont="1" applyBorder="1" applyProtection="1"/>
    <xf numFmtId="10" fontId="10" fillId="0" borderId="46" xfId="0" applyNumberFormat="1" applyFont="1" applyBorder="1" applyProtection="1"/>
    <xf numFmtId="164" fontId="10" fillId="0" borderId="47" xfId="0" applyNumberFormat="1" applyFont="1" applyBorder="1" applyProtection="1"/>
    <xf numFmtId="10" fontId="20" fillId="0" borderId="0" xfId="0" applyNumberFormat="1" applyFont="1" applyBorder="1" applyAlignment="1">
      <alignment horizontal="center"/>
    </xf>
    <xf numFmtId="10" fontId="20" fillId="0" borderId="31" xfId="0" applyNumberFormat="1" applyFont="1" applyBorder="1" applyAlignment="1">
      <alignment horizontal="center"/>
    </xf>
    <xf numFmtId="0" fontId="21" fillId="0" borderId="0" xfId="0" applyFont="1"/>
    <xf numFmtId="0" fontId="9" fillId="0" borderId="35" xfId="0" applyFont="1" applyBorder="1"/>
    <xf numFmtId="164" fontId="9" fillId="0" borderId="35" xfId="0" applyNumberFormat="1" applyFont="1" applyBorder="1"/>
    <xf numFmtId="164" fontId="12" fillId="0" borderId="33" xfId="0" applyNumberFormat="1" applyFont="1" applyBorder="1"/>
    <xf numFmtId="10" fontId="9" fillId="0" borderId="34" xfId="0" applyNumberFormat="1" applyFont="1" applyBorder="1"/>
    <xf numFmtId="164" fontId="10" fillId="0" borderId="33" xfId="0" applyNumberFormat="1" applyFont="1" applyBorder="1"/>
    <xf numFmtId="6" fontId="9" fillId="0" borderId="0" xfId="0" applyNumberFormat="1" applyFont="1"/>
    <xf numFmtId="0" fontId="15" fillId="4" borderId="48" xfId="0" applyFont="1" applyFill="1" applyBorder="1" applyAlignment="1">
      <alignment horizontal="center"/>
    </xf>
    <xf numFmtId="0" fontId="15" fillId="4" borderId="49" xfId="0" applyFont="1" applyFill="1" applyBorder="1" applyAlignment="1">
      <alignment horizontal="center"/>
    </xf>
    <xf numFmtId="0" fontId="15" fillId="4" borderId="50" xfId="0" applyFont="1" applyFill="1" applyBorder="1" applyAlignment="1">
      <alignment horizontal="center"/>
    </xf>
    <xf numFmtId="0" fontId="15" fillId="4" borderId="51" xfId="0" applyFont="1" applyFill="1" applyBorder="1" applyAlignment="1">
      <alignment horizontal="center"/>
    </xf>
    <xf numFmtId="6" fontId="9" fillId="0" borderId="52" xfId="0" applyNumberFormat="1" applyFont="1" applyBorder="1"/>
    <xf numFmtId="6" fontId="9" fillId="0" borderId="53" xfId="0" applyNumberFormat="1" applyFont="1" applyBorder="1"/>
    <xf numFmtId="6" fontId="9" fillId="0" borderId="54" xfId="0" applyNumberFormat="1" applyFont="1" applyBorder="1"/>
    <xf numFmtId="6" fontId="9" fillId="0" borderId="45" xfId="0" applyNumberFormat="1" applyFont="1" applyBorder="1" applyProtection="1"/>
    <xf numFmtId="6" fontId="9" fillId="0" borderId="55" xfId="0" applyNumberFormat="1" applyFont="1" applyBorder="1"/>
    <xf numFmtId="6" fontId="9" fillId="0" borderId="56" xfId="0" applyNumberFormat="1" applyFont="1" applyBorder="1" applyProtection="1"/>
    <xf numFmtId="6" fontId="9" fillId="0" borderId="56" xfId="0" applyNumberFormat="1" applyFont="1" applyFill="1" applyBorder="1" applyProtection="1"/>
    <xf numFmtId="6" fontId="9" fillId="0" borderId="57" xfId="0" applyNumberFormat="1" applyFont="1" applyFill="1" applyBorder="1" applyProtection="1"/>
    <xf numFmtId="0" fontId="10" fillId="3" borderId="58" xfId="0" applyFont="1" applyFill="1" applyBorder="1" applyAlignment="1">
      <alignment horizontal="center" vertical="center"/>
    </xf>
    <xf numFmtId="10" fontId="10" fillId="0" borderId="59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3" borderId="37" xfId="0" applyFont="1" applyFill="1" applyBorder="1" applyAlignment="1">
      <alignment horizontal="left" vertical="center"/>
    </xf>
    <xf numFmtId="6" fontId="9" fillId="3" borderId="60" xfId="0" applyNumberFormat="1" applyFont="1" applyFill="1" applyBorder="1"/>
    <xf numFmtId="6" fontId="9" fillId="3" borderId="30" xfId="0" applyNumberFormat="1" applyFont="1" applyFill="1" applyBorder="1"/>
    <xf numFmtId="6" fontId="9" fillId="0" borderId="61" xfId="0" applyNumberFormat="1" applyFont="1" applyBorder="1"/>
    <xf numFmtId="6" fontId="9" fillId="0" borderId="50" xfId="0" applyNumberFormat="1" applyFont="1" applyBorder="1"/>
    <xf numFmtId="6" fontId="9" fillId="0" borderId="62" xfId="0" applyNumberFormat="1" applyFont="1" applyBorder="1"/>
    <xf numFmtId="6" fontId="9" fillId="0" borderId="0" xfId="0" applyNumberFormat="1" applyFont="1" applyBorder="1"/>
    <xf numFmtId="6" fontId="9" fillId="0" borderId="63" xfId="0" applyNumberFormat="1" applyFont="1" applyBorder="1"/>
    <xf numFmtId="6" fontId="9" fillId="0" borderId="64" xfId="0" applyNumberFormat="1" applyFont="1" applyBorder="1"/>
    <xf numFmtId="6" fontId="9" fillId="0" borderId="65" xfId="0" applyNumberFormat="1" applyFont="1" applyBorder="1"/>
    <xf numFmtId="6" fontId="9" fillId="0" borderId="66" xfId="0" applyNumberFormat="1" applyFont="1" applyBorder="1"/>
    <xf numFmtId="6" fontId="11" fillId="0" borderId="0" xfId="0" applyNumberFormat="1" applyFont="1"/>
    <xf numFmtId="10" fontId="10" fillId="2" borderId="67" xfId="0" applyNumberFormat="1" applyFont="1" applyFill="1" applyBorder="1" applyAlignment="1" applyProtection="1">
      <alignment horizontal="center" vertical="center"/>
      <protection locked="0"/>
    </xf>
    <xf numFmtId="10" fontId="10" fillId="2" borderId="68" xfId="0" applyNumberFormat="1" applyFont="1" applyFill="1" applyBorder="1" applyAlignment="1" applyProtection="1">
      <alignment horizontal="center" vertical="center"/>
      <protection locked="0"/>
    </xf>
    <xf numFmtId="10" fontId="10" fillId="2" borderId="69" xfId="0" applyNumberFormat="1" applyFont="1" applyFill="1" applyBorder="1" applyAlignment="1" applyProtection="1">
      <alignment horizontal="center" vertical="center"/>
      <protection locked="0"/>
    </xf>
    <xf numFmtId="10" fontId="10" fillId="2" borderId="70" xfId="0" applyNumberFormat="1" applyFont="1" applyFill="1" applyBorder="1" applyAlignment="1" applyProtection="1">
      <alignment horizontal="center" vertical="center"/>
      <protection locked="0"/>
    </xf>
    <xf numFmtId="10" fontId="10" fillId="2" borderId="71" xfId="0" applyNumberFormat="1" applyFont="1" applyFill="1" applyBorder="1" applyAlignment="1" applyProtection="1">
      <alignment horizontal="center" vertical="center"/>
      <protection locked="0"/>
    </xf>
    <xf numFmtId="10" fontId="10" fillId="2" borderId="72" xfId="0" applyNumberFormat="1" applyFont="1" applyFill="1" applyBorder="1" applyAlignment="1" applyProtection="1">
      <alignment horizontal="center" vertical="center"/>
      <protection locked="0"/>
    </xf>
    <xf numFmtId="10" fontId="10" fillId="2" borderId="73" xfId="0" applyNumberFormat="1" applyFont="1" applyFill="1" applyBorder="1" applyAlignment="1" applyProtection="1">
      <alignment horizontal="center" vertical="center"/>
      <protection locked="0"/>
    </xf>
    <xf numFmtId="0" fontId="9" fillId="3" borderId="58" xfId="0" applyFont="1" applyFill="1" applyBorder="1"/>
    <xf numFmtId="164" fontId="10" fillId="0" borderId="39" xfId="0" applyNumberFormat="1" applyFont="1" applyBorder="1"/>
    <xf numFmtId="164" fontId="10" fillId="0" borderId="18" xfId="0" applyNumberFormat="1" applyFont="1" applyBorder="1"/>
    <xf numFmtId="164" fontId="9" fillId="0" borderId="2" xfId="0" applyNumberFormat="1" applyFont="1" applyFill="1" applyBorder="1" applyProtection="1">
      <protection locked="0"/>
    </xf>
    <xf numFmtId="164" fontId="9" fillId="0" borderId="1" xfId="0" applyNumberFormat="1" applyFont="1" applyFill="1" applyBorder="1" applyProtection="1">
      <protection locked="0"/>
    </xf>
    <xf numFmtId="0" fontId="10" fillId="0" borderId="7" xfId="0" applyFont="1" applyBorder="1"/>
    <xf numFmtId="164" fontId="10" fillId="0" borderId="7" xfId="0" applyNumberFormat="1" applyFont="1" applyBorder="1"/>
    <xf numFmtId="164" fontId="10" fillId="0" borderId="20" xfId="0" applyNumberFormat="1" applyFont="1" applyBorder="1"/>
    <xf numFmtId="164" fontId="10" fillId="0" borderId="21" xfId="0" applyNumberFormat="1" applyFont="1" applyBorder="1"/>
    <xf numFmtId="0" fontId="10" fillId="0" borderId="17" xfId="0" applyFont="1" applyBorder="1" applyProtection="1"/>
    <xf numFmtId="164" fontId="10" fillId="0" borderId="17" xfId="0" applyNumberFormat="1" applyFont="1" applyBorder="1" applyProtection="1"/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8" fillId="18" borderId="35" xfId="0" applyFont="1" applyFill="1" applyBorder="1" applyAlignment="1">
      <alignment horizontal="center" vertical="center"/>
    </xf>
    <xf numFmtId="164" fontId="27" fillId="15" borderId="18" xfId="0" applyNumberFormat="1" applyFont="1" applyFill="1" applyBorder="1" applyAlignment="1">
      <alignment horizontal="center" vertical="center"/>
    </xf>
    <xf numFmtId="0" fontId="27" fillId="15" borderId="18" xfId="0" applyFont="1" applyFill="1" applyBorder="1" applyAlignment="1">
      <alignment horizontal="center" vertical="center"/>
    </xf>
    <xf numFmtId="0" fontId="28" fillId="15" borderId="18" xfId="0" applyFont="1" applyFill="1" applyBorder="1" applyAlignment="1">
      <alignment horizontal="center" vertical="center"/>
    </xf>
    <xf numFmtId="0" fontId="28" fillId="15" borderId="18" xfId="0" applyFont="1" applyFill="1" applyBorder="1" applyAlignment="1" applyProtection="1">
      <alignment horizontal="center" vertical="center"/>
    </xf>
    <xf numFmtId="0" fontId="28" fillId="18" borderId="0" xfId="0" applyFont="1" applyFill="1" applyBorder="1" applyAlignment="1">
      <alignment horizontal="center" vertical="center"/>
    </xf>
    <xf numFmtId="164" fontId="27" fillId="15" borderId="18" xfId="0" applyNumberFormat="1" applyFont="1" applyFill="1" applyBorder="1" applyAlignment="1" applyProtection="1">
      <alignment horizontal="center" vertical="center"/>
      <protection locked="0"/>
    </xf>
    <xf numFmtId="164" fontId="28" fillId="15" borderId="18" xfId="0" applyNumberFormat="1" applyFont="1" applyFill="1" applyBorder="1" applyAlignment="1">
      <alignment horizontal="center" vertical="center"/>
    </xf>
    <xf numFmtId="164" fontId="28" fillId="15" borderId="18" xfId="0" applyNumberFormat="1" applyFont="1" applyFill="1" applyBorder="1" applyAlignment="1" applyProtection="1">
      <alignment horizontal="center" vertical="center"/>
    </xf>
    <xf numFmtId="0" fontId="27" fillId="18" borderId="0" xfId="0" applyFont="1" applyFill="1" applyBorder="1" applyAlignment="1">
      <alignment horizontal="center" vertical="center"/>
    </xf>
    <xf numFmtId="164" fontId="27" fillId="15" borderId="18" xfId="0" applyNumberFormat="1" applyFont="1" applyFill="1" applyBorder="1" applyAlignment="1" applyProtection="1">
      <alignment horizontal="center" vertical="center"/>
    </xf>
    <xf numFmtId="0" fontId="28" fillId="18" borderId="39" xfId="0" applyFont="1" applyFill="1" applyBorder="1" applyAlignment="1">
      <alignment horizontal="center" vertical="center"/>
    </xf>
    <xf numFmtId="164" fontId="28" fillId="18" borderId="18" xfId="0" applyNumberFormat="1" applyFont="1" applyFill="1" applyBorder="1" applyAlignment="1">
      <alignment horizontal="center" vertical="center"/>
    </xf>
    <xf numFmtId="164" fontId="28" fillId="18" borderId="18" xfId="0" applyNumberFormat="1" applyFont="1" applyFill="1" applyBorder="1" applyAlignment="1" applyProtection="1">
      <alignment horizontal="center" vertical="center"/>
    </xf>
    <xf numFmtId="0" fontId="28" fillId="19" borderId="96" xfId="0" applyFont="1" applyFill="1" applyBorder="1" applyAlignment="1">
      <alignment horizontal="center" vertical="center"/>
    </xf>
    <xf numFmtId="164" fontId="27" fillId="21" borderId="18" xfId="0" applyNumberFormat="1" applyFont="1" applyFill="1" applyBorder="1" applyAlignment="1" applyProtection="1">
      <alignment horizontal="center" vertical="center"/>
      <protection locked="0"/>
    </xf>
    <xf numFmtId="0" fontId="27" fillId="19" borderId="0" xfId="0" applyFont="1" applyFill="1" applyBorder="1" applyAlignment="1">
      <alignment horizontal="center" vertical="center"/>
    </xf>
    <xf numFmtId="164" fontId="27" fillId="17" borderId="18" xfId="0" applyNumberFormat="1" applyFont="1" applyFill="1" applyBorder="1" applyAlignment="1" applyProtection="1">
      <alignment horizontal="center" vertical="center"/>
      <protection locked="0"/>
    </xf>
    <xf numFmtId="164" fontId="28" fillId="17" borderId="18" xfId="0" applyNumberFormat="1" applyFont="1" applyFill="1" applyBorder="1" applyAlignment="1">
      <alignment horizontal="center" vertical="center"/>
    </xf>
    <xf numFmtId="164" fontId="28" fillId="17" borderId="18" xfId="0" applyNumberFormat="1" applyFont="1" applyFill="1" applyBorder="1" applyAlignment="1" applyProtection="1">
      <alignment horizontal="center" vertical="center"/>
    </xf>
    <xf numFmtId="0" fontId="28" fillId="19" borderId="106" xfId="0" applyFont="1" applyFill="1" applyBorder="1" applyAlignment="1">
      <alignment horizontal="center" vertical="center"/>
    </xf>
    <xf numFmtId="164" fontId="28" fillId="19" borderId="18" xfId="0" applyNumberFormat="1" applyFont="1" applyFill="1" applyBorder="1" applyAlignment="1">
      <alignment horizontal="center" vertical="center"/>
    </xf>
    <xf numFmtId="0" fontId="27" fillId="8" borderId="9" xfId="0" applyFont="1" applyFill="1" applyBorder="1" applyAlignment="1">
      <alignment horizontal="center" vertical="center"/>
    </xf>
    <xf numFmtId="164" fontId="27" fillId="14" borderId="18" xfId="0" applyNumberFormat="1" applyFont="1" applyFill="1" applyBorder="1" applyAlignment="1">
      <alignment horizontal="center" vertical="center"/>
    </xf>
    <xf numFmtId="164" fontId="28" fillId="14" borderId="18" xfId="0" applyNumberFormat="1" applyFont="1" applyFill="1" applyBorder="1" applyAlignment="1">
      <alignment horizontal="center" vertical="center"/>
    </xf>
    <xf numFmtId="0" fontId="27" fillId="8" borderId="11" xfId="0" applyFont="1" applyFill="1" applyBorder="1" applyAlignment="1">
      <alignment horizontal="center" vertical="center"/>
    </xf>
    <xf numFmtId="0" fontId="30" fillId="14" borderId="18" xfId="0" applyFont="1" applyFill="1" applyBorder="1" applyAlignment="1">
      <alignment horizontal="center" vertical="center"/>
    </xf>
    <xf numFmtId="0" fontId="28" fillId="8" borderId="13" xfId="0" applyFont="1" applyFill="1" applyBorder="1" applyAlignment="1">
      <alignment horizontal="center" vertical="center"/>
    </xf>
    <xf numFmtId="9" fontId="28" fillId="8" borderId="18" xfId="0" applyNumberFormat="1" applyFont="1" applyFill="1" applyBorder="1" applyAlignment="1">
      <alignment horizontal="center" vertical="center"/>
    </xf>
    <xf numFmtId="9" fontId="28" fillId="8" borderId="18" xfId="0" applyNumberFormat="1" applyFont="1" applyFill="1" applyBorder="1" applyAlignment="1" applyProtection="1">
      <alignment horizontal="center" vertical="center"/>
    </xf>
    <xf numFmtId="0" fontId="28" fillId="12" borderId="80" xfId="0" applyFont="1" applyFill="1" applyBorder="1" applyAlignment="1">
      <alignment horizontal="center" vertical="center"/>
    </xf>
    <xf numFmtId="0" fontId="28" fillId="12" borderId="30" xfId="0" applyFont="1" applyFill="1" applyBorder="1" applyAlignment="1">
      <alignment horizontal="center" vertical="center"/>
    </xf>
    <xf numFmtId="0" fontId="11" fillId="24" borderId="0" xfId="0" applyFont="1" applyFill="1" applyAlignment="1">
      <alignment horizontal="center" vertical="center"/>
    </xf>
    <xf numFmtId="0" fontId="15" fillId="12" borderId="94" xfId="0" applyFont="1" applyFill="1" applyBorder="1" applyAlignment="1">
      <alignment horizontal="center" vertical="center"/>
    </xf>
    <xf numFmtId="9" fontId="11" fillId="10" borderId="94" xfId="1" applyFont="1" applyFill="1" applyBorder="1" applyAlignment="1">
      <alignment horizontal="center" vertical="center"/>
    </xf>
    <xf numFmtId="9" fontId="11" fillId="17" borderId="94" xfId="1" applyFont="1" applyFill="1" applyBorder="1" applyAlignment="1">
      <alignment horizontal="center" vertical="center"/>
    </xf>
    <xf numFmtId="0" fontId="15" fillId="23" borderId="107" xfId="0" applyFont="1" applyFill="1" applyBorder="1" applyAlignment="1">
      <alignment horizontal="center" vertical="center"/>
    </xf>
    <xf numFmtId="9" fontId="15" fillId="23" borderId="108" xfId="1" applyFont="1" applyFill="1" applyBorder="1" applyAlignment="1">
      <alignment horizontal="center" vertical="center"/>
    </xf>
    <xf numFmtId="9" fontId="15" fillId="23" borderId="109" xfId="1" applyFont="1" applyFill="1" applyBorder="1" applyAlignment="1">
      <alignment horizontal="center" vertical="center"/>
    </xf>
    <xf numFmtId="0" fontId="15" fillId="20" borderId="105" xfId="0" applyFont="1" applyFill="1" applyBorder="1" applyAlignment="1">
      <alignment horizontal="center" vertical="center"/>
    </xf>
    <xf numFmtId="9" fontId="15" fillId="22" borderId="105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20" borderId="18" xfId="0" applyFont="1" applyFill="1" applyBorder="1" applyAlignment="1">
      <alignment horizontal="center" vertical="center"/>
    </xf>
    <xf numFmtId="9" fontId="15" fillId="22" borderId="18" xfId="0" applyNumberFormat="1" applyFont="1" applyFill="1" applyBorder="1" applyAlignment="1">
      <alignment horizontal="center" vertical="center"/>
    </xf>
    <xf numFmtId="0" fontId="15" fillId="24" borderId="0" xfId="0" applyFont="1" applyFill="1" applyBorder="1" applyAlignment="1">
      <alignment horizontal="center" vertical="center"/>
    </xf>
    <xf numFmtId="9" fontId="15" fillId="24" borderId="105" xfId="0" applyNumberFormat="1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10" borderId="0" xfId="0" applyFont="1" applyFill="1" applyBorder="1" applyAlignment="1">
      <alignment horizontal="center" vertical="center"/>
    </xf>
    <xf numFmtId="164" fontId="27" fillId="2" borderId="18" xfId="0" applyNumberFormat="1" applyFont="1" applyFill="1" applyBorder="1" applyAlignment="1" applyProtection="1">
      <alignment horizontal="center" vertical="center"/>
      <protection locked="0"/>
    </xf>
    <xf numFmtId="164" fontId="28" fillId="0" borderId="18" xfId="0" applyNumberFormat="1" applyFont="1" applyBorder="1" applyAlignment="1">
      <alignment horizontal="center" vertical="center"/>
    </xf>
    <xf numFmtId="164" fontId="28" fillId="0" borderId="18" xfId="0" applyNumberFormat="1" applyFont="1" applyFill="1" applyBorder="1" applyAlignment="1" applyProtection="1">
      <alignment horizontal="center" vertical="center"/>
    </xf>
    <xf numFmtId="3" fontId="27" fillId="0" borderId="18" xfId="0" applyNumberFormat="1" applyFont="1" applyBorder="1" applyAlignment="1">
      <alignment horizontal="center" vertical="center"/>
    </xf>
    <xf numFmtId="164" fontId="27" fillId="0" borderId="18" xfId="0" applyNumberFormat="1" applyFont="1" applyFill="1" applyBorder="1" applyAlignment="1" applyProtection="1">
      <alignment horizontal="center" vertical="center"/>
      <protection locked="0"/>
    </xf>
    <xf numFmtId="164" fontId="28" fillId="0" borderId="18" xfId="0" applyNumberFormat="1" applyFont="1" applyFill="1" applyBorder="1" applyAlignment="1">
      <alignment horizontal="center" vertical="center"/>
    </xf>
    <xf numFmtId="9" fontId="11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164" fontId="28" fillId="0" borderId="0" xfId="0" applyNumberFormat="1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 applyProtection="1">
      <alignment horizontal="center" vertical="center"/>
      <protection locked="0"/>
    </xf>
    <xf numFmtId="3" fontId="27" fillId="0" borderId="0" xfId="0" applyNumberFormat="1" applyFont="1" applyFill="1" applyBorder="1" applyAlignment="1">
      <alignment horizontal="center" vertical="center"/>
    </xf>
    <xf numFmtId="10" fontId="28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10" fontId="2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10" fontId="2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10" fontId="28" fillId="0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5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27" fillId="25" borderId="18" xfId="0" applyNumberFormat="1" applyFont="1" applyFill="1" applyBorder="1" applyAlignment="1" applyProtection="1">
      <alignment horizontal="center" vertical="center"/>
      <protection locked="0"/>
    </xf>
    <xf numFmtId="9" fontId="11" fillId="25" borderId="18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32" fillId="27" borderId="18" xfId="0" applyNumberFormat="1" applyFont="1" applyFill="1" applyBorder="1" applyAlignment="1">
      <alignment horizontal="center"/>
    </xf>
    <xf numFmtId="1" fontId="32" fillId="29" borderId="18" xfId="0" applyNumberFormat="1" applyFont="1" applyFill="1" applyBorder="1" applyAlignment="1">
      <alignment horizontal="center"/>
    </xf>
    <xf numFmtId="1" fontId="32" fillId="25" borderId="18" xfId="0" applyNumberFormat="1" applyFont="1" applyFill="1" applyBorder="1" applyAlignment="1">
      <alignment horizontal="center"/>
    </xf>
    <xf numFmtId="1" fontId="32" fillId="30" borderId="18" xfId="0" applyNumberFormat="1" applyFont="1" applyFill="1" applyBorder="1" applyAlignment="1">
      <alignment horizontal="center"/>
    </xf>
    <xf numFmtId="1" fontId="32" fillId="18" borderId="18" xfId="0" applyNumberFormat="1" applyFont="1" applyFill="1" applyBorder="1" applyAlignment="1">
      <alignment horizontal="center"/>
    </xf>
    <xf numFmtId="1" fontId="32" fillId="31" borderId="18" xfId="0" applyNumberFormat="1" applyFont="1" applyFill="1" applyBorder="1" applyAlignment="1">
      <alignment horizontal="center"/>
    </xf>
    <xf numFmtId="1" fontId="32" fillId="32" borderId="18" xfId="0" applyNumberFormat="1" applyFont="1" applyFill="1" applyBorder="1" applyAlignment="1">
      <alignment horizontal="center"/>
    </xf>
    <xf numFmtId="1" fontId="32" fillId="33" borderId="18" xfId="0" applyNumberFormat="1" applyFont="1" applyFill="1" applyBorder="1" applyAlignment="1">
      <alignment horizontal="center"/>
    </xf>
    <xf numFmtId="1" fontId="32" fillId="34" borderId="18" xfId="0" applyNumberFormat="1" applyFont="1" applyFill="1" applyBorder="1" applyAlignment="1">
      <alignment horizontal="center"/>
    </xf>
    <xf numFmtId="1" fontId="32" fillId="26" borderId="18" xfId="0" applyNumberFormat="1" applyFont="1" applyFill="1" applyBorder="1" applyAlignment="1">
      <alignment horizontal="center"/>
    </xf>
    <xf numFmtId="164" fontId="0" fillId="0" borderId="0" xfId="0" applyNumberFormat="1"/>
    <xf numFmtId="0" fontId="8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11" fillId="0" borderId="18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28" fillId="11" borderId="18" xfId="0" applyFont="1" applyFill="1" applyBorder="1" applyAlignment="1">
      <alignment horizontal="center" vertical="center" wrapText="1"/>
    </xf>
    <xf numFmtId="0" fontId="29" fillId="11" borderId="18" xfId="0" applyFont="1" applyFill="1" applyBorder="1" applyAlignment="1" applyProtection="1">
      <alignment horizontal="center" vertical="center" wrapText="1"/>
    </xf>
    <xf numFmtId="0" fontId="28" fillId="9" borderId="18" xfId="0" applyFont="1" applyFill="1" applyBorder="1" applyAlignment="1">
      <alignment horizontal="center" vertical="center"/>
    </xf>
    <xf numFmtId="0" fontId="29" fillId="9" borderId="1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8" fillId="28" borderId="18" xfId="0" applyFont="1" applyFill="1" applyBorder="1" applyAlignment="1">
      <alignment horizontal="center" vertical="center"/>
    </xf>
    <xf numFmtId="0" fontId="27" fillId="10" borderId="18" xfId="0" applyFont="1" applyFill="1" applyBorder="1" applyAlignment="1">
      <alignment horizontal="center" vertical="center"/>
    </xf>
    <xf numFmtId="3" fontId="27" fillId="25" borderId="18" xfId="0" applyNumberFormat="1" applyFont="1" applyFill="1" applyBorder="1" applyAlignment="1" applyProtection="1">
      <alignment horizontal="center" vertical="center"/>
      <protection locked="0"/>
    </xf>
    <xf numFmtId="0" fontId="27" fillId="11" borderId="18" xfId="0" applyFont="1" applyFill="1" applyBorder="1" applyAlignment="1">
      <alignment horizontal="center" vertical="center" wrapText="1"/>
    </xf>
    <xf numFmtId="9" fontId="15" fillId="0" borderId="18" xfId="0" applyNumberFormat="1" applyFont="1" applyFill="1" applyBorder="1" applyAlignment="1">
      <alignment horizontal="center" vertical="center"/>
    </xf>
    <xf numFmtId="0" fontId="28" fillId="24" borderId="18" xfId="0" applyFont="1" applyFill="1" applyBorder="1" applyAlignment="1">
      <alignment horizontal="center" vertical="center"/>
    </xf>
    <xf numFmtId="0" fontId="27" fillId="28" borderId="18" xfId="0" applyFont="1" applyFill="1" applyBorder="1" applyAlignment="1">
      <alignment horizontal="center" vertical="center"/>
    </xf>
    <xf numFmtId="0" fontId="27" fillId="9" borderId="18" xfId="0" applyFont="1" applyFill="1" applyBorder="1" applyAlignment="1">
      <alignment horizontal="center" vertical="center"/>
    </xf>
    <xf numFmtId="0" fontId="33" fillId="9" borderId="18" xfId="0" applyFont="1" applyFill="1" applyBorder="1" applyAlignment="1">
      <alignment horizontal="center" vertical="center" wrapText="1"/>
    </xf>
    <xf numFmtId="0" fontId="0" fillId="0" borderId="0" xfId="0" applyFill="1"/>
    <xf numFmtId="9" fontId="15" fillId="22" borderId="94" xfId="0" applyNumberFormat="1" applyFont="1" applyFill="1" applyBorder="1" applyAlignment="1">
      <alignment horizontal="center" vertical="center"/>
    </xf>
    <xf numFmtId="0" fontId="28" fillId="11" borderId="18" xfId="0" applyFont="1" applyFill="1" applyBorder="1" applyAlignment="1">
      <alignment horizontal="center" vertical="center" wrapText="1"/>
    </xf>
    <xf numFmtId="0" fontId="29" fillId="11" borderId="18" xfId="0" applyFont="1" applyFill="1" applyBorder="1" applyAlignment="1" applyProtection="1">
      <alignment horizontal="center" vertical="center" wrapText="1"/>
    </xf>
    <xf numFmtId="0" fontId="28" fillId="9" borderId="18" xfId="0" applyFont="1" applyFill="1" applyBorder="1" applyAlignment="1">
      <alignment horizontal="center" vertical="center"/>
    </xf>
    <xf numFmtId="0" fontId="29" fillId="9" borderId="1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8" fillId="28" borderId="18" xfId="0" applyFont="1" applyFill="1" applyBorder="1" applyAlignment="1">
      <alignment horizontal="center" vertical="center"/>
    </xf>
    <xf numFmtId="0" fontId="27" fillId="35" borderId="0" xfId="0" applyFont="1" applyFill="1" applyBorder="1" applyAlignment="1">
      <alignment horizontal="center" vertical="center"/>
    </xf>
    <xf numFmtId="164" fontId="27" fillId="35" borderId="18" xfId="0" applyNumberFormat="1" applyFont="1" applyFill="1" applyBorder="1" applyAlignment="1" applyProtection="1">
      <alignment horizontal="center" vertical="center"/>
      <protection locked="0"/>
    </xf>
    <xf numFmtId="164" fontId="28" fillId="35" borderId="18" xfId="0" applyNumberFormat="1" applyFont="1" applyFill="1" applyBorder="1" applyAlignment="1">
      <alignment horizontal="center" vertical="center"/>
    </xf>
    <xf numFmtId="164" fontId="28" fillId="35" borderId="18" xfId="0" applyNumberFormat="1" applyFont="1" applyFill="1" applyBorder="1" applyAlignment="1" applyProtection="1">
      <alignment horizontal="center" vertical="center"/>
    </xf>
    <xf numFmtId="0" fontId="27" fillId="25" borderId="18" xfId="0" applyFont="1" applyFill="1" applyBorder="1" applyAlignment="1">
      <alignment horizontal="center" vertical="center" wrapText="1"/>
    </xf>
    <xf numFmtId="0" fontId="28" fillId="25" borderId="18" xfId="0" applyFont="1" applyFill="1" applyBorder="1" applyAlignment="1">
      <alignment horizontal="center" vertical="center" wrapText="1"/>
    </xf>
    <xf numFmtId="9" fontId="15" fillId="25" borderId="18" xfId="0" applyNumberFormat="1" applyFont="1" applyFill="1" applyBorder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horizontal="center" vertical="center"/>
    </xf>
    <xf numFmtId="0" fontId="15" fillId="22" borderId="107" xfId="0" applyFont="1" applyFill="1" applyBorder="1" applyAlignment="1">
      <alignment horizontal="center" vertical="center"/>
    </xf>
    <xf numFmtId="9" fontId="15" fillId="22" borderId="108" xfId="1" applyFont="1" applyFill="1" applyBorder="1" applyAlignment="1">
      <alignment horizontal="center" vertical="center"/>
    </xf>
    <xf numFmtId="9" fontId="15" fillId="22" borderId="109" xfId="1" applyFont="1" applyFill="1" applyBorder="1" applyAlignment="1">
      <alignment horizontal="center" vertical="center"/>
    </xf>
    <xf numFmtId="0" fontId="29" fillId="11" borderId="18" xfId="0" applyFont="1" applyFill="1" applyBorder="1" applyAlignment="1" applyProtection="1">
      <alignment horizontal="center" vertical="center" wrapText="1"/>
    </xf>
    <xf numFmtId="0" fontId="28" fillId="8" borderId="18" xfId="0" applyFont="1" applyFill="1" applyBorder="1" applyAlignment="1">
      <alignment horizontal="center" vertical="center"/>
    </xf>
    <xf numFmtId="0" fontId="28" fillId="11" borderId="18" xfId="0" applyFont="1" applyFill="1" applyBorder="1" applyAlignment="1">
      <alignment horizontal="center" vertical="center" wrapText="1"/>
    </xf>
    <xf numFmtId="0" fontId="28" fillId="9" borderId="18" xfId="0" applyFont="1" applyFill="1" applyBorder="1" applyAlignment="1">
      <alignment horizontal="center" vertical="center"/>
    </xf>
    <xf numFmtId="0" fontId="29" fillId="9" borderId="18" xfId="0" applyFont="1" applyFill="1" applyBorder="1" applyAlignment="1">
      <alignment horizontal="center" vertical="center" wrapText="1"/>
    </xf>
    <xf numFmtId="0" fontId="28" fillId="17" borderId="39" xfId="0" applyFont="1" applyFill="1" applyBorder="1" applyAlignment="1" applyProtection="1">
      <alignment horizontal="center" vertical="center"/>
      <protection locked="0"/>
    </xf>
    <xf numFmtId="10" fontId="28" fillId="17" borderId="18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8" fillId="28" borderId="18" xfId="0" applyFont="1" applyFill="1" applyBorder="1" applyAlignment="1">
      <alignment horizontal="center" vertical="center"/>
    </xf>
    <xf numFmtId="0" fontId="28" fillId="25" borderId="18" xfId="0" applyFont="1" applyFill="1" applyBorder="1" applyAlignment="1">
      <alignment horizontal="center" vertical="center" wrapText="1"/>
    </xf>
    <xf numFmtId="0" fontId="28" fillId="8" borderId="81" xfId="0" applyFont="1" applyFill="1" applyBorder="1" applyAlignment="1">
      <alignment vertical="center"/>
    </xf>
    <xf numFmtId="0" fontId="28" fillId="8" borderId="82" xfId="0" applyFont="1" applyFill="1" applyBorder="1" applyAlignment="1">
      <alignment vertical="center"/>
    </xf>
    <xf numFmtId="0" fontId="28" fillId="24" borderId="34" xfId="0" applyFont="1" applyFill="1" applyBorder="1" applyAlignment="1">
      <alignment horizontal="center" vertical="center"/>
    </xf>
    <xf numFmtId="10" fontId="28" fillId="24" borderId="18" xfId="0" applyNumberFormat="1" applyFont="1" applyFill="1" applyBorder="1" applyAlignment="1">
      <alignment horizontal="center" vertical="center"/>
    </xf>
    <xf numFmtId="0" fontId="28" fillId="24" borderId="18" xfId="0" applyFont="1" applyFill="1" applyBorder="1" applyAlignment="1">
      <alignment horizontal="center" vertical="center" wrapText="1"/>
    </xf>
    <xf numFmtId="164" fontId="27" fillId="24" borderId="18" xfId="0" applyNumberFormat="1" applyFont="1" applyFill="1" applyBorder="1" applyAlignment="1" applyProtection="1">
      <alignment horizontal="center" vertical="center"/>
      <protection locked="0"/>
    </xf>
    <xf numFmtId="9" fontId="11" fillId="24" borderId="18" xfId="0" applyNumberFormat="1" applyFont="1" applyFill="1" applyBorder="1" applyAlignment="1">
      <alignment horizontal="center" vertical="center"/>
    </xf>
    <xf numFmtId="0" fontId="28" fillId="24" borderId="18" xfId="0" applyFont="1" applyFill="1" applyBorder="1" applyAlignment="1" applyProtection="1">
      <alignment horizontal="center" vertical="center"/>
      <protection locked="0"/>
    </xf>
    <xf numFmtId="9" fontId="28" fillId="24" borderId="18" xfId="0" applyNumberFormat="1" applyFont="1" applyFill="1" applyBorder="1" applyAlignment="1">
      <alignment horizontal="center" vertical="center"/>
    </xf>
    <xf numFmtId="164" fontId="27" fillId="36" borderId="18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applyFont="1" applyAlignment="1"/>
    <xf numFmtId="164" fontId="38" fillId="15" borderId="18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0" fillId="0" borderId="0" xfId="0" applyFont="1"/>
    <xf numFmtId="0" fontId="11" fillId="0" borderId="0" xfId="0" applyFont="1" applyAlignment="1">
      <alignment horizontal="center" vertical="center"/>
    </xf>
    <xf numFmtId="164" fontId="43" fillId="39" borderId="134" xfId="0" applyNumberFormat="1" applyFont="1" applyFill="1" applyBorder="1" applyAlignment="1" applyProtection="1">
      <alignment horizontal="center" vertical="center"/>
      <protection locked="0"/>
    </xf>
    <xf numFmtId="164" fontId="43" fillId="39" borderId="18" xfId="0" applyNumberFormat="1" applyFont="1" applyFill="1" applyBorder="1" applyAlignment="1" applyProtection="1">
      <alignment horizontal="center" vertical="center"/>
      <protection locked="0"/>
    </xf>
    <xf numFmtId="164" fontId="43" fillId="36" borderId="18" xfId="0" applyNumberFormat="1" applyFont="1" applyFill="1" applyBorder="1" applyAlignment="1" applyProtection="1">
      <alignment horizontal="center" vertical="center"/>
      <protection locked="0"/>
    </xf>
    <xf numFmtId="0" fontId="9" fillId="24" borderId="126" xfId="0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horizontal="center" vertical="center"/>
    </xf>
    <xf numFmtId="0" fontId="9" fillId="24" borderId="114" xfId="0" applyFont="1" applyFill="1" applyBorder="1" applyAlignment="1">
      <alignment horizontal="center" vertical="center"/>
    </xf>
    <xf numFmtId="9" fontId="9" fillId="10" borderId="133" xfId="1" applyFont="1" applyFill="1" applyBorder="1" applyAlignment="1">
      <alignment horizontal="center" vertical="center"/>
    </xf>
    <xf numFmtId="9" fontId="9" fillId="10" borderId="94" xfId="1" applyFont="1" applyFill="1" applyBorder="1" applyAlignment="1">
      <alignment horizontal="center" vertical="center"/>
    </xf>
    <xf numFmtId="0" fontId="43" fillId="24" borderId="134" xfId="0" applyFont="1" applyFill="1" applyBorder="1" applyAlignment="1">
      <alignment horizontal="center" vertical="center"/>
    </xf>
    <xf numFmtId="0" fontId="43" fillId="24" borderId="18" xfId="0" applyFont="1" applyFill="1" applyBorder="1" applyAlignment="1">
      <alignment horizontal="center" vertical="center"/>
    </xf>
    <xf numFmtId="164" fontId="43" fillId="38" borderId="18" xfId="0" applyNumberFormat="1" applyFont="1" applyFill="1" applyBorder="1" applyAlignment="1" applyProtection="1">
      <alignment horizontal="center" vertical="center"/>
      <protection locked="0"/>
    </xf>
    <xf numFmtId="9" fontId="10" fillId="22" borderId="107" xfId="1" applyFont="1" applyFill="1" applyBorder="1" applyAlignment="1">
      <alignment horizontal="center" vertical="center"/>
    </xf>
    <xf numFmtId="9" fontId="10" fillId="22" borderId="108" xfId="1" applyFont="1" applyFill="1" applyBorder="1" applyAlignment="1">
      <alignment horizontal="center" vertical="center"/>
    </xf>
    <xf numFmtId="0" fontId="46" fillId="37" borderId="107" xfId="0" applyFont="1" applyFill="1" applyBorder="1" applyAlignment="1">
      <alignment horizontal="center" vertical="center"/>
    </xf>
    <xf numFmtId="0" fontId="46" fillId="37" borderId="108" xfId="0" applyFont="1" applyFill="1" applyBorder="1" applyAlignment="1">
      <alignment horizontal="center" vertical="center"/>
    </xf>
    <xf numFmtId="0" fontId="46" fillId="37" borderId="10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27" fillId="0" borderId="0" xfId="0" applyFont="1" applyFill="1" applyBorder="1" applyAlignment="1">
      <alignment horizontal="right" vertical="center"/>
    </xf>
    <xf numFmtId="0" fontId="28" fillId="0" borderId="122" xfId="0" applyFont="1" applyFill="1" applyBorder="1" applyAlignment="1">
      <alignment horizontal="right" vertical="center"/>
    </xf>
    <xf numFmtId="0" fontId="27" fillId="0" borderId="123" xfId="0" applyFont="1" applyFill="1" applyBorder="1" applyAlignment="1">
      <alignment horizontal="right" vertical="center"/>
    </xf>
    <xf numFmtId="0" fontId="27" fillId="39" borderId="123" xfId="0" applyFont="1" applyFill="1" applyBorder="1" applyAlignment="1">
      <alignment horizontal="right" vertical="center"/>
    </xf>
    <xf numFmtId="0" fontId="11" fillId="24" borderId="126" xfId="0" applyFont="1" applyFill="1" applyBorder="1" applyAlignment="1">
      <alignment horizontal="right" vertical="center"/>
    </xf>
    <xf numFmtId="0" fontId="15" fillId="40" borderId="124" xfId="0" applyFont="1" applyFill="1" applyBorder="1" applyAlignment="1">
      <alignment horizontal="right" vertical="center"/>
    </xf>
    <xf numFmtId="0" fontId="15" fillId="0" borderId="127" xfId="0" applyFont="1" applyFill="1" applyBorder="1" applyAlignment="1">
      <alignment horizontal="right" vertical="center"/>
    </xf>
    <xf numFmtId="0" fontId="15" fillId="41" borderId="128" xfId="0" applyFont="1" applyFill="1" applyBorder="1" applyAlignment="1">
      <alignment horizontal="right" vertical="center"/>
    </xf>
    <xf numFmtId="0" fontId="27" fillId="24" borderId="126" xfId="0" applyFont="1" applyFill="1" applyBorder="1" applyAlignment="1">
      <alignment horizontal="right" vertical="center"/>
    </xf>
    <xf numFmtId="0" fontId="28" fillId="37" borderId="129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25" fillId="0" borderId="127" xfId="0" applyFont="1" applyFill="1" applyBorder="1" applyAlignment="1">
      <alignment horizontal="centerContinuous" vertical="center"/>
    </xf>
    <xf numFmtId="0" fontId="25" fillId="0" borderId="139" xfId="0" applyFont="1" applyFill="1" applyBorder="1" applyAlignment="1">
      <alignment horizontal="centerContinuous" vertical="center"/>
    </xf>
    <xf numFmtId="0" fontId="25" fillId="0" borderId="140" xfId="0" applyFont="1" applyFill="1" applyBorder="1" applyAlignment="1">
      <alignment horizontal="centerContinuous" vertical="center"/>
    </xf>
    <xf numFmtId="164" fontId="43" fillId="0" borderId="134" xfId="0" applyNumberFormat="1" applyFont="1" applyFill="1" applyBorder="1" applyAlignment="1">
      <alignment horizontal="center" vertical="center"/>
    </xf>
    <xf numFmtId="164" fontId="43" fillId="0" borderId="134" xfId="0" applyNumberFormat="1" applyFont="1" applyFill="1" applyBorder="1" applyAlignment="1" applyProtection="1">
      <alignment horizontal="center" vertical="center"/>
      <protection locked="0"/>
    </xf>
    <xf numFmtId="164" fontId="43" fillId="0" borderId="18" xfId="0" applyNumberFormat="1" applyFont="1" applyFill="1" applyBorder="1" applyAlignment="1" applyProtection="1">
      <alignment horizontal="center" vertical="center"/>
      <protection locked="0"/>
    </xf>
    <xf numFmtId="164" fontId="43" fillId="0" borderId="18" xfId="0" applyNumberFormat="1" applyFont="1" applyFill="1" applyBorder="1" applyAlignment="1">
      <alignment horizontal="center" vertical="center"/>
    </xf>
    <xf numFmtId="9" fontId="9" fillId="10" borderId="97" xfId="1" applyFont="1" applyFill="1" applyBorder="1" applyAlignment="1">
      <alignment horizontal="center" vertical="center"/>
    </xf>
    <xf numFmtId="9" fontId="10" fillId="22" borderId="117" xfId="1" applyFont="1" applyFill="1" applyBorder="1" applyAlignment="1">
      <alignment horizontal="center" vertical="center"/>
    </xf>
    <xf numFmtId="0" fontId="46" fillId="37" borderId="117" xfId="0" applyFont="1" applyFill="1" applyBorder="1" applyAlignment="1">
      <alignment horizontal="center" vertical="center" wrapText="1"/>
    </xf>
    <xf numFmtId="9" fontId="28" fillId="37" borderId="142" xfId="0" applyNumberFormat="1" applyFont="1" applyFill="1" applyBorder="1" applyAlignment="1">
      <alignment horizontal="center" vertical="center"/>
    </xf>
    <xf numFmtId="164" fontId="43" fillId="0" borderId="135" xfId="0" applyNumberFormat="1" applyFont="1" applyFill="1" applyBorder="1" applyAlignment="1">
      <alignment horizontal="center" vertical="center"/>
    </xf>
    <xf numFmtId="0" fontId="43" fillId="0" borderId="105" xfId="0" applyFont="1" applyFill="1" applyBorder="1" applyAlignment="1">
      <alignment horizontal="center" vertical="center"/>
    </xf>
    <xf numFmtId="0" fontId="28" fillId="0" borderId="107" xfId="0" applyFont="1" applyFill="1" applyBorder="1" applyAlignment="1">
      <alignment horizontal="center" vertical="center" wrapText="1"/>
    </xf>
    <xf numFmtId="0" fontId="28" fillId="0" borderId="108" xfId="0" applyFont="1" applyFill="1" applyBorder="1" applyAlignment="1">
      <alignment horizontal="center" vertical="center"/>
    </xf>
    <xf numFmtId="0" fontId="46" fillId="38" borderId="134" xfId="0" applyFont="1" applyFill="1" applyBorder="1" applyAlignment="1">
      <alignment horizontal="center" vertical="center"/>
    </xf>
    <xf numFmtId="0" fontId="46" fillId="38" borderId="18" xfId="0" applyFont="1" applyFill="1" applyBorder="1" applyAlignment="1">
      <alignment horizontal="center" vertical="center"/>
    </xf>
    <xf numFmtId="0" fontId="43" fillId="38" borderId="134" xfId="0" applyFont="1" applyFill="1" applyBorder="1" applyAlignment="1">
      <alignment horizontal="center" vertical="center"/>
    </xf>
    <xf numFmtId="0" fontId="43" fillId="38" borderId="18" xfId="0" applyFont="1" applyFill="1" applyBorder="1" applyAlignment="1">
      <alignment horizontal="center" vertical="center"/>
    </xf>
    <xf numFmtId="0" fontId="28" fillId="38" borderId="123" xfId="0" applyFont="1" applyFill="1" applyBorder="1" applyAlignment="1">
      <alignment horizontal="right" vertical="center"/>
    </xf>
    <xf numFmtId="0" fontId="27" fillId="38" borderId="123" xfId="0" applyFont="1" applyFill="1" applyBorder="1" applyAlignment="1">
      <alignment horizontal="right" vertical="center"/>
    </xf>
    <xf numFmtId="0" fontId="11" fillId="38" borderId="126" xfId="0" applyFont="1" applyFill="1" applyBorder="1" applyAlignment="1">
      <alignment horizontal="right" vertical="center"/>
    </xf>
    <xf numFmtId="3" fontId="43" fillId="38" borderId="134" xfId="0" applyNumberFormat="1" applyFont="1" applyFill="1" applyBorder="1" applyAlignment="1">
      <alignment horizontal="center" vertical="center"/>
    </xf>
    <xf numFmtId="0" fontId="43" fillId="38" borderId="133" xfId="0" applyFont="1" applyFill="1" applyBorder="1" applyAlignment="1">
      <alignment horizontal="center" vertical="center"/>
    </xf>
    <xf numFmtId="0" fontId="43" fillId="38" borderId="94" xfId="0" applyFont="1" applyFill="1" applyBorder="1" applyAlignment="1">
      <alignment horizontal="center" vertical="center"/>
    </xf>
    <xf numFmtId="0" fontId="46" fillId="38" borderId="107" xfId="0" applyFont="1" applyFill="1" applyBorder="1" applyAlignment="1">
      <alignment horizontal="center" vertical="center"/>
    </xf>
    <xf numFmtId="0" fontId="46" fillId="38" borderId="108" xfId="0" applyFont="1" applyFill="1" applyBorder="1" applyAlignment="1">
      <alignment horizontal="center" vertical="center"/>
    </xf>
    <xf numFmtId="0" fontId="43" fillId="38" borderId="94" xfId="0" applyFont="1" applyFill="1" applyBorder="1" applyAlignment="1">
      <alignment horizontal="center" vertical="center" wrapText="1"/>
    </xf>
    <xf numFmtId="0" fontId="46" fillId="38" borderId="34" xfId="0" applyFont="1" applyFill="1" applyBorder="1" applyAlignment="1">
      <alignment horizontal="center" vertical="center" wrapText="1"/>
    </xf>
    <xf numFmtId="0" fontId="46" fillId="38" borderId="18" xfId="0" applyFont="1" applyFill="1" applyBorder="1" applyAlignment="1">
      <alignment horizontal="center" vertical="center" wrapText="1"/>
    </xf>
    <xf numFmtId="0" fontId="43" fillId="38" borderId="34" xfId="0" applyFont="1" applyFill="1" applyBorder="1" applyAlignment="1">
      <alignment horizontal="center" vertical="center" wrapText="1"/>
    </xf>
    <xf numFmtId="0" fontId="43" fillId="38" borderId="18" xfId="0" applyFont="1" applyFill="1" applyBorder="1" applyAlignment="1">
      <alignment horizontal="center" vertical="center" wrapText="1"/>
    </xf>
    <xf numFmtId="0" fontId="43" fillId="38" borderId="97" xfId="0" applyFont="1" applyFill="1" applyBorder="1" applyAlignment="1">
      <alignment horizontal="center" vertical="center" wrapText="1"/>
    </xf>
    <xf numFmtId="164" fontId="43" fillId="38" borderId="34" xfId="0" applyNumberFormat="1" applyFont="1" applyFill="1" applyBorder="1" applyAlignment="1" applyProtection="1">
      <alignment horizontal="center" vertical="center"/>
      <protection locked="0"/>
    </xf>
    <xf numFmtId="0" fontId="16" fillId="38" borderId="130" xfId="0" applyFont="1" applyFill="1" applyBorder="1" applyAlignment="1">
      <alignment horizontal="centerContinuous" vertical="center"/>
    </xf>
    <xf numFmtId="0" fontId="9" fillId="38" borderId="131" xfId="0" applyFont="1" applyFill="1" applyBorder="1" applyAlignment="1">
      <alignment horizontal="centerContinuous" vertical="center"/>
    </xf>
    <xf numFmtId="0" fontId="28" fillId="43" borderId="117" xfId="0" applyFont="1" applyFill="1" applyBorder="1" applyAlignment="1">
      <alignment horizontal="center" vertical="center" wrapText="1"/>
    </xf>
    <xf numFmtId="0" fontId="28" fillId="43" borderId="108" xfId="0" applyFont="1" applyFill="1" applyBorder="1" applyAlignment="1">
      <alignment horizontal="center" vertical="center" wrapText="1"/>
    </xf>
    <xf numFmtId="0" fontId="43" fillId="43" borderId="118" xfId="0" applyFont="1" applyFill="1" applyBorder="1" applyAlignment="1">
      <alignment horizontal="center" vertical="center"/>
    </xf>
    <xf numFmtId="0" fontId="43" fillId="43" borderId="105" xfId="0" applyFont="1" applyFill="1" applyBorder="1" applyAlignment="1">
      <alignment horizontal="center" vertical="center"/>
    </xf>
    <xf numFmtId="164" fontId="43" fillId="43" borderId="34" xfId="0" applyNumberFormat="1" applyFont="1" applyFill="1" applyBorder="1" applyAlignment="1" applyProtection="1">
      <alignment horizontal="center" vertical="center"/>
      <protection locked="0"/>
    </xf>
    <xf numFmtId="164" fontId="43" fillId="43" borderId="18" xfId="0" applyNumberFormat="1" applyFont="1" applyFill="1" applyBorder="1" applyAlignment="1" applyProtection="1">
      <alignment horizontal="center" vertical="center"/>
      <protection locked="0"/>
    </xf>
    <xf numFmtId="164" fontId="43" fillId="43" borderId="34" xfId="0" applyNumberFormat="1" applyFont="1" applyFill="1" applyBorder="1" applyAlignment="1">
      <alignment horizontal="center" vertical="center"/>
    </xf>
    <xf numFmtId="164" fontId="43" fillId="43" borderId="18" xfId="0" applyNumberFormat="1" applyFont="1" applyFill="1" applyBorder="1" applyAlignment="1">
      <alignment horizontal="center" vertical="center"/>
    </xf>
    <xf numFmtId="0" fontId="28" fillId="0" borderId="146" xfId="0" applyFont="1" applyFill="1" applyBorder="1" applyAlignment="1">
      <alignment horizontal="center" vertical="center" wrapText="1"/>
    </xf>
    <xf numFmtId="0" fontId="43" fillId="0" borderId="138" xfId="0" applyFont="1" applyFill="1" applyBorder="1" applyAlignment="1">
      <alignment horizontal="center" vertical="center"/>
    </xf>
    <xf numFmtId="164" fontId="43" fillId="0" borderId="33" xfId="0" applyNumberFormat="1" applyFont="1" applyFill="1" applyBorder="1" applyAlignment="1" applyProtection="1">
      <alignment horizontal="center" vertical="center"/>
      <protection locked="0"/>
    </xf>
    <xf numFmtId="164" fontId="43" fillId="0" borderId="33" xfId="0" applyNumberFormat="1" applyFont="1" applyFill="1" applyBorder="1" applyAlignment="1">
      <alignment horizontal="center" vertical="center"/>
    </xf>
    <xf numFmtId="164" fontId="43" fillId="39" borderId="33" xfId="0" applyNumberFormat="1" applyFont="1" applyFill="1" applyBorder="1" applyAlignment="1" applyProtection="1">
      <alignment horizontal="center" vertical="center"/>
      <protection locked="0"/>
    </xf>
    <xf numFmtId="164" fontId="43" fillId="36" borderId="33" xfId="0" applyNumberFormat="1" applyFont="1" applyFill="1" applyBorder="1" applyAlignment="1" applyProtection="1">
      <alignment horizontal="center" vertical="center"/>
      <protection locked="0"/>
    </xf>
    <xf numFmtId="10" fontId="46" fillId="24" borderId="33" xfId="0" applyNumberFormat="1" applyFont="1" applyFill="1" applyBorder="1" applyAlignment="1">
      <alignment horizontal="center" vertical="center"/>
    </xf>
    <xf numFmtId="9" fontId="9" fillId="10" borderId="96" xfId="1" applyFont="1" applyFill="1" applyBorder="1" applyAlignment="1">
      <alignment horizontal="center" vertical="center"/>
    </xf>
    <xf numFmtId="9" fontId="10" fillId="22" borderId="146" xfId="1" applyFont="1" applyFill="1" applyBorder="1" applyAlignment="1">
      <alignment horizontal="center" vertical="center"/>
    </xf>
    <xf numFmtId="0" fontId="46" fillId="24" borderId="33" xfId="0" applyFont="1" applyFill="1" applyBorder="1" applyAlignment="1">
      <alignment horizontal="center" vertical="center" wrapText="1"/>
    </xf>
    <xf numFmtId="0" fontId="43" fillId="24" borderId="33" xfId="0" applyFont="1" applyFill="1" applyBorder="1" applyAlignment="1">
      <alignment horizontal="center" vertical="center" wrapText="1"/>
    </xf>
    <xf numFmtId="0" fontId="43" fillId="24" borderId="96" xfId="0" applyFont="1" applyFill="1" applyBorder="1" applyAlignment="1">
      <alignment horizontal="center" vertical="center" wrapText="1"/>
    </xf>
    <xf numFmtId="0" fontId="46" fillId="24" borderId="146" xfId="0" applyFont="1" applyFill="1" applyBorder="1" applyAlignment="1">
      <alignment horizontal="center" vertical="center" wrapText="1"/>
    </xf>
    <xf numFmtId="164" fontId="43" fillId="24" borderId="33" xfId="0" applyNumberFormat="1" applyFont="1" applyFill="1" applyBorder="1" applyAlignment="1" applyProtection="1">
      <alignment horizontal="center" vertical="center"/>
      <protection locked="0"/>
    </xf>
    <xf numFmtId="0" fontId="28" fillId="0" borderId="116" xfId="0" applyFont="1" applyFill="1" applyBorder="1" applyAlignment="1">
      <alignment horizontal="center" vertical="center" wrapText="1"/>
    </xf>
    <xf numFmtId="0" fontId="43" fillId="0" borderId="121" xfId="0" applyFont="1" applyFill="1" applyBorder="1" applyAlignment="1">
      <alignment horizontal="center" vertical="center"/>
    </xf>
    <xf numFmtId="164" fontId="43" fillId="0" borderId="119" xfId="0" applyNumberFormat="1" applyFont="1" applyFill="1" applyBorder="1" applyAlignment="1">
      <alignment horizontal="center" vertical="center"/>
    </xf>
    <xf numFmtId="164" fontId="43" fillId="39" borderId="119" xfId="0" applyNumberFormat="1" applyFont="1" applyFill="1" applyBorder="1" applyAlignment="1">
      <alignment horizontal="center" vertical="center"/>
    </xf>
    <xf numFmtId="164" fontId="43" fillId="24" borderId="119" xfId="0" applyNumberFormat="1" applyFont="1" applyFill="1" applyBorder="1" applyAlignment="1">
      <alignment horizontal="center" vertical="center"/>
    </xf>
    <xf numFmtId="10" fontId="46" fillId="24" borderId="119" xfId="0" applyNumberFormat="1" applyFont="1" applyFill="1" applyBorder="1" applyAlignment="1">
      <alignment horizontal="center" vertical="center"/>
    </xf>
    <xf numFmtId="0" fontId="9" fillId="24" borderId="111" xfId="0" applyFont="1" applyFill="1" applyBorder="1" applyAlignment="1">
      <alignment horizontal="center" vertical="center"/>
    </xf>
    <xf numFmtId="9" fontId="9" fillId="10" borderId="120" xfId="1" applyFont="1" applyFill="1" applyBorder="1" applyAlignment="1">
      <alignment horizontal="center" vertical="center"/>
    </xf>
    <xf numFmtId="9" fontId="10" fillId="0" borderId="116" xfId="1" applyFont="1" applyFill="1" applyBorder="1" applyAlignment="1">
      <alignment horizontal="center" vertical="center"/>
    </xf>
    <xf numFmtId="0" fontId="9" fillId="38" borderId="147" xfId="0" applyFont="1" applyFill="1" applyBorder="1" applyAlignment="1">
      <alignment horizontal="centerContinuous" vertical="center"/>
    </xf>
    <xf numFmtId="0" fontId="46" fillId="38" borderId="119" xfId="0" applyFont="1" applyFill="1" applyBorder="1" applyAlignment="1">
      <alignment horizontal="center" vertical="center" wrapText="1"/>
    </xf>
    <xf numFmtId="0" fontId="43" fillId="38" borderId="119" xfId="0" applyFont="1" applyFill="1" applyBorder="1" applyAlignment="1">
      <alignment horizontal="center" vertical="center" wrapText="1"/>
    </xf>
    <xf numFmtId="0" fontId="43" fillId="38" borderId="120" xfId="0" applyFont="1" applyFill="1" applyBorder="1" applyAlignment="1">
      <alignment horizontal="center" vertical="center" wrapText="1"/>
    </xf>
    <xf numFmtId="0" fontId="46" fillId="37" borderId="116" xfId="0" applyFont="1" applyFill="1" applyBorder="1" applyAlignment="1">
      <alignment horizontal="center" vertical="center" wrapText="1"/>
    </xf>
    <xf numFmtId="164" fontId="43" fillId="38" borderId="119" xfId="0" applyNumberFormat="1" applyFont="1" applyFill="1" applyBorder="1" applyAlignment="1">
      <alignment horizontal="center" vertical="center"/>
    </xf>
    <xf numFmtId="0" fontId="28" fillId="43" borderId="146" xfId="0" applyFont="1" applyFill="1" applyBorder="1" applyAlignment="1">
      <alignment horizontal="center" vertical="center" wrapText="1"/>
    </xf>
    <xf numFmtId="0" fontId="43" fillId="43" borderId="138" xfId="0" applyFont="1" applyFill="1" applyBorder="1" applyAlignment="1">
      <alignment horizontal="center" vertical="center"/>
    </xf>
    <xf numFmtId="164" fontId="43" fillId="43" borderId="33" xfId="0" applyNumberFormat="1" applyFont="1" applyFill="1" applyBorder="1" applyAlignment="1" applyProtection="1">
      <alignment horizontal="center" vertical="center"/>
      <protection locked="0"/>
    </xf>
    <xf numFmtId="164" fontId="43" fillId="43" borderId="33" xfId="0" applyNumberFormat="1" applyFont="1" applyFill="1" applyBorder="1" applyAlignment="1">
      <alignment horizontal="center" vertical="center"/>
    </xf>
    <xf numFmtId="0" fontId="28" fillId="43" borderId="116" xfId="0" applyFont="1" applyFill="1" applyBorder="1" applyAlignment="1" applyProtection="1">
      <alignment horizontal="center" vertical="center" wrapText="1"/>
    </xf>
    <xf numFmtId="0" fontId="43" fillId="43" borderId="121" xfId="0" applyFont="1" applyFill="1" applyBorder="1" applyAlignment="1" applyProtection="1">
      <alignment horizontal="center" vertical="center"/>
    </xf>
    <xf numFmtId="164" fontId="43" fillId="43" borderId="119" xfId="0" applyNumberFormat="1" applyFont="1" applyFill="1" applyBorder="1" applyAlignment="1" applyProtection="1">
      <alignment horizontal="center" vertical="center"/>
    </xf>
    <xf numFmtId="164" fontId="43" fillId="43" borderId="119" xfId="0" applyNumberFormat="1" applyFont="1" applyFill="1" applyBorder="1" applyAlignment="1" applyProtection="1">
      <alignment horizontal="center" vertical="center"/>
      <protection locked="0"/>
    </xf>
    <xf numFmtId="9" fontId="9" fillId="10" borderId="110" xfId="1" applyFont="1" applyFill="1" applyBorder="1" applyAlignment="1">
      <alignment horizontal="center" vertical="center"/>
    </xf>
    <xf numFmtId="9" fontId="10" fillId="22" borderId="116" xfId="1" applyFont="1" applyFill="1" applyBorder="1" applyAlignment="1">
      <alignment horizontal="center" vertical="center"/>
    </xf>
    <xf numFmtId="0" fontId="46" fillId="38" borderId="33" xfId="0" applyFont="1" applyFill="1" applyBorder="1" applyAlignment="1">
      <alignment horizontal="center" vertical="center" wrapText="1"/>
    </xf>
    <xf numFmtId="0" fontId="43" fillId="38" borderId="33" xfId="0" applyFont="1" applyFill="1" applyBorder="1" applyAlignment="1">
      <alignment horizontal="center" vertical="center" wrapText="1"/>
    </xf>
    <xf numFmtId="0" fontId="43" fillId="38" borderId="96" xfId="0" applyFont="1" applyFill="1" applyBorder="1" applyAlignment="1">
      <alignment horizontal="center" vertical="center" wrapText="1"/>
    </xf>
    <xf numFmtId="0" fontId="46" fillId="37" borderId="146" xfId="0" applyFont="1" applyFill="1" applyBorder="1" applyAlignment="1">
      <alignment horizontal="center" vertical="center" wrapText="1"/>
    </xf>
    <xf numFmtId="164" fontId="43" fillId="38" borderId="33" xfId="0" applyNumberFormat="1" applyFont="1" applyFill="1" applyBorder="1" applyAlignment="1" applyProtection="1">
      <alignment horizontal="center" vertical="center"/>
      <protection locked="0"/>
    </xf>
    <xf numFmtId="0" fontId="9" fillId="38" borderId="113" xfId="0" applyFont="1" applyFill="1" applyBorder="1" applyAlignment="1">
      <alignment horizontal="centerContinuous" vertical="center"/>
    </xf>
    <xf numFmtId="0" fontId="46" fillId="38" borderId="147" xfId="0" applyFont="1" applyFill="1" applyBorder="1" applyAlignment="1" applyProtection="1">
      <alignment horizontal="center" vertical="center" wrapText="1"/>
    </xf>
    <xf numFmtId="0" fontId="45" fillId="38" borderId="119" xfId="0" applyFont="1" applyFill="1" applyBorder="1" applyAlignment="1" applyProtection="1">
      <alignment horizontal="center" vertical="center" wrapText="1"/>
    </xf>
    <xf numFmtId="0" fontId="45" fillId="38" borderId="120" xfId="0" applyFont="1" applyFill="1" applyBorder="1" applyAlignment="1" applyProtection="1">
      <alignment horizontal="center" vertical="center" wrapText="1"/>
    </xf>
    <xf numFmtId="0" fontId="48" fillId="37" borderId="116" xfId="0" applyFont="1" applyFill="1" applyBorder="1" applyAlignment="1" applyProtection="1">
      <alignment horizontal="center" vertical="center" wrapText="1"/>
    </xf>
    <xf numFmtId="0" fontId="28" fillId="0" borderId="124" xfId="0" applyFont="1" applyFill="1" applyBorder="1" applyAlignment="1">
      <alignment horizontal="right" vertical="center"/>
    </xf>
    <xf numFmtId="164" fontId="43" fillId="0" borderId="133" xfId="0" applyNumberFormat="1" applyFont="1" applyFill="1" applyBorder="1" applyAlignment="1">
      <alignment horizontal="center" vertical="center"/>
    </xf>
    <xf numFmtId="164" fontId="43" fillId="0" borderId="94" xfId="0" applyNumberFormat="1" applyFont="1" applyFill="1" applyBorder="1" applyAlignment="1">
      <alignment horizontal="center" vertical="center"/>
    </xf>
    <xf numFmtId="164" fontId="43" fillId="0" borderId="96" xfId="0" applyNumberFormat="1" applyFont="1" applyFill="1" applyBorder="1" applyAlignment="1">
      <alignment horizontal="center" vertical="center"/>
    </xf>
    <xf numFmtId="164" fontId="43" fillId="0" borderId="120" xfId="0" applyNumberFormat="1" applyFont="1" applyFill="1" applyBorder="1" applyAlignment="1">
      <alignment horizontal="center" vertical="center"/>
    </xf>
    <xf numFmtId="164" fontId="43" fillId="43" borderId="97" xfId="0" applyNumberFormat="1" applyFont="1" applyFill="1" applyBorder="1" applyAlignment="1">
      <alignment horizontal="center" vertical="center"/>
    </xf>
    <xf numFmtId="164" fontId="43" fillId="43" borderId="94" xfId="0" applyNumberFormat="1" applyFont="1" applyFill="1" applyBorder="1" applyAlignment="1">
      <alignment horizontal="center" vertical="center"/>
    </xf>
    <xf numFmtId="164" fontId="43" fillId="43" borderId="96" xfId="0" applyNumberFormat="1" applyFont="1" applyFill="1" applyBorder="1" applyAlignment="1">
      <alignment horizontal="center" vertical="center"/>
    </xf>
    <xf numFmtId="164" fontId="43" fillId="43" borderId="120" xfId="0" applyNumberFormat="1" applyFont="1" applyFill="1" applyBorder="1" applyAlignment="1" applyProtection="1">
      <alignment horizontal="center" vertical="center"/>
    </xf>
    <xf numFmtId="0" fontId="28" fillId="0" borderId="128" xfId="0" applyFont="1" applyFill="1" applyBorder="1" applyAlignment="1">
      <alignment horizontal="right" vertical="center"/>
    </xf>
    <xf numFmtId="164" fontId="43" fillId="36" borderId="135" xfId="0" applyNumberFormat="1" applyFont="1" applyFill="1" applyBorder="1" applyAlignment="1" applyProtection="1">
      <alignment horizontal="center" vertical="center"/>
      <protection locked="0"/>
    </xf>
    <xf numFmtId="164" fontId="43" fillId="36" borderId="105" xfId="0" applyNumberFormat="1" applyFont="1" applyFill="1" applyBorder="1" applyAlignment="1" applyProtection="1">
      <alignment horizontal="center" vertical="center"/>
      <protection locked="0"/>
    </xf>
    <xf numFmtId="164" fontId="43" fillId="36" borderId="138" xfId="0" applyNumberFormat="1" applyFont="1" applyFill="1" applyBorder="1" applyAlignment="1" applyProtection="1">
      <alignment horizontal="center" vertical="center"/>
      <protection locked="0"/>
    </xf>
    <xf numFmtId="164" fontId="43" fillId="36" borderId="121" xfId="0" applyNumberFormat="1" applyFont="1" applyFill="1" applyBorder="1" applyAlignment="1" applyProtection="1">
      <alignment horizontal="center" vertical="center"/>
      <protection locked="0"/>
    </xf>
    <xf numFmtId="164" fontId="43" fillId="43" borderId="118" xfId="0" applyNumberFormat="1" applyFont="1" applyFill="1" applyBorder="1" applyAlignment="1" applyProtection="1">
      <alignment horizontal="center" vertical="center"/>
      <protection locked="0"/>
    </xf>
    <xf numFmtId="164" fontId="43" fillId="43" borderId="105" xfId="0" applyNumberFormat="1" applyFont="1" applyFill="1" applyBorder="1" applyAlignment="1" applyProtection="1">
      <alignment horizontal="center" vertical="center"/>
      <protection locked="0"/>
    </xf>
    <xf numFmtId="164" fontId="43" fillId="43" borderId="138" xfId="0" applyNumberFormat="1" applyFont="1" applyFill="1" applyBorder="1" applyAlignment="1" applyProtection="1">
      <alignment horizontal="center" vertical="center"/>
      <protection locked="0"/>
    </xf>
    <xf numFmtId="164" fontId="43" fillId="43" borderId="121" xfId="0" applyNumberFormat="1" applyFont="1" applyFill="1" applyBorder="1" applyAlignment="1" applyProtection="1">
      <alignment horizontal="center" vertical="center"/>
      <protection locked="0"/>
    </xf>
    <xf numFmtId="0" fontId="28" fillId="37" borderId="127" xfId="0" applyFont="1" applyFill="1" applyBorder="1" applyAlignment="1">
      <alignment horizontal="right" vertical="center"/>
    </xf>
    <xf numFmtId="164" fontId="46" fillId="37" borderId="107" xfId="0" applyNumberFormat="1" applyFont="1" applyFill="1" applyBorder="1" applyAlignment="1">
      <alignment horizontal="center" vertical="center"/>
    </xf>
    <xf numFmtId="164" fontId="46" fillId="37" borderId="108" xfId="0" applyNumberFormat="1" applyFont="1" applyFill="1" applyBorder="1" applyAlignment="1">
      <alignment horizontal="center" vertical="center"/>
    </xf>
    <xf numFmtId="164" fontId="46" fillId="37" borderId="146" xfId="0" applyNumberFormat="1" applyFont="1" applyFill="1" applyBorder="1" applyAlignment="1">
      <alignment horizontal="center" vertical="center"/>
    </xf>
    <xf numFmtId="164" fontId="46" fillId="37" borderId="116" xfId="0" applyNumberFormat="1" applyFont="1" applyFill="1" applyBorder="1" applyAlignment="1">
      <alignment horizontal="center" vertical="center"/>
    </xf>
    <xf numFmtId="0" fontId="27" fillId="0" borderId="124" xfId="0" applyFont="1" applyFill="1" applyBorder="1" applyAlignment="1">
      <alignment horizontal="right" vertical="center"/>
    </xf>
    <xf numFmtId="164" fontId="43" fillId="0" borderId="133" xfId="0" applyNumberFormat="1" applyFont="1" applyFill="1" applyBorder="1" applyAlignment="1" applyProtection="1">
      <alignment horizontal="center" vertical="center"/>
      <protection locked="0"/>
    </xf>
    <xf numFmtId="164" fontId="43" fillId="0" borderId="94" xfId="0" applyNumberFormat="1" applyFont="1" applyFill="1" applyBorder="1" applyAlignment="1" applyProtection="1">
      <alignment horizontal="center" vertical="center"/>
      <protection locked="0"/>
    </xf>
    <xf numFmtId="164" fontId="43" fillId="0" borderId="96" xfId="0" applyNumberFormat="1" applyFont="1" applyFill="1" applyBorder="1" applyAlignment="1" applyProtection="1">
      <alignment horizontal="center" vertical="center"/>
      <protection locked="0"/>
    </xf>
    <xf numFmtId="164" fontId="43" fillId="43" borderId="97" xfId="0" applyNumberFormat="1" applyFont="1" applyFill="1" applyBorder="1" applyAlignment="1" applyProtection="1">
      <alignment horizontal="center" vertical="center"/>
      <protection locked="0"/>
    </xf>
    <xf numFmtId="164" fontId="43" fillId="43" borderId="94" xfId="0" applyNumberFormat="1" applyFont="1" applyFill="1" applyBorder="1" applyAlignment="1" applyProtection="1">
      <alignment horizontal="center" vertical="center"/>
      <protection locked="0"/>
    </xf>
    <xf numFmtId="164" fontId="43" fillId="43" borderId="96" xfId="0" applyNumberFormat="1" applyFont="1" applyFill="1" applyBorder="1" applyAlignment="1" applyProtection="1">
      <alignment horizontal="center" vertical="center"/>
      <protection locked="0"/>
    </xf>
    <xf numFmtId="0" fontId="27" fillId="0" borderId="128" xfId="0" applyFont="1" applyFill="1" applyBorder="1" applyAlignment="1">
      <alignment horizontal="right" vertical="center"/>
    </xf>
    <xf numFmtId="164" fontId="43" fillId="0" borderId="105" xfId="0" applyNumberFormat="1" applyFont="1" applyFill="1" applyBorder="1" applyAlignment="1">
      <alignment horizontal="center" vertical="center"/>
    </xf>
    <xf numFmtId="164" fontId="43" fillId="0" borderId="138" xfId="0" applyNumberFormat="1" applyFont="1" applyFill="1" applyBorder="1" applyAlignment="1">
      <alignment horizontal="center" vertical="center"/>
    </xf>
    <xf numFmtId="164" fontId="43" fillId="0" borderId="121" xfId="0" applyNumberFormat="1" applyFont="1" applyFill="1" applyBorder="1" applyAlignment="1">
      <alignment horizontal="center" vertical="center"/>
    </xf>
    <xf numFmtId="164" fontId="43" fillId="43" borderId="118" xfId="0" applyNumberFormat="1" applyFont="1" applyFill="1" applyBorder="1" applyAlignment="1">
      <alignment horizontal="center" vertical="center"/>
    </xf>
    <xf numFmtId="164" fontId="43" fillId="43" borderId="105" xfId="0" applyNumberFormat="1" applyFont="1" applyFill="1" applyBorder="1" applyAlignment="1">
      <alignment horizontal="center" vertical="center"/>
    </xf>
    <xf numFmtId="164" fontId="43" fillId="43" borderId="138" xfId="0" applyNumberFormat="1" applyFont="1" applyFill="1" applyBorder="1" applyAlignment="1">
      <alignment horizontal="center" vertical="center"/>
    </xf>
    <xf numFmtId="164" fontId="43" fillId="43" borderId="121" xfId="0" applyNumberFormat="1" applyFont="1" applyFill="1" applyBorder="1" applyAlignment="1">
      <alignment horizontal="center" vertical="center"/>
    </xf>
    <xf numFmtId="164" fontId="46" fillId="37" borderId="117" xfId="0" applyNumberFormat="1" applyFont="1" applyFill="1" applyBorder="1" applyAlignment="1">
      <alignment horizontal="center" vertical="center"/>
    </xf>
    <xf numFmtId="166" fontId="44" fillId="0" borderId="133" xfId="9" applyNumberFormat="1" applyFont="1" applyFill="1" applyBorder="1" applyAlignment="1">
      <alignment horizontal="center" vertical="center"/>
    </xf>
    <xf numFmtId="166" fontId="44" fillId="0" borderId="94" xfId="9" applyNumberFormat="1" applyFont="1" applyFill="1" applyBorder="1" applyAlignment="1">
      <alignment horizontal="center" vertical="center"/>
    </xf>
    <xf numFmtId="166" fontId="44" fillId="0" borderId="96" xfId="9" applyNumberFormat="1" applyFont="1" applyFill="1" applyBorder="1" applyAlignment="1">
      <alignment horizontal="center" vertical="center"/>
    </xf>
    <xf numFmtId="166" fontId="43" fillId="0" borderId="120" xfId="9" applyNumberFormat="1" applyFont="1" applyFill="1" applyBorder="1" applyAlignment="1">
      <alignment horizontal="center" vertical="center"/>
    </xf>
    <xf numFmtId="166" fontId="44" fillId="43" borderId="97" xfId="9" applyNumberFormat="1" applyFont="1" applyFill="1" applyBorder="1" applyAlignment="1">
      <alignment horizontal="center" vertical="center"/>
    </xf>
    <xf numFmtId="166" fontId="44" fillId="43" borderId="94" xfId="9" applyNumberFormat="1" applyFont="1" applyFill="1" applyBorder="1" applyAlignment="1">
      <alignment horizontal="center" vertical="center"/>
    </xf>
    <xf numFmtId="166" fontId="44" fillId="43" borderId="96" xfId="9" applyNumberFormat="1" applyFont="1" applyFill="1" applyBorder="1" applyAlignment="1">
      <alignment horizontal="center" vertical="center"/>
    </xf>
    <xf numFmtId="166" fontId="43" fillId="43" borderId="120" xfId="9" applyNumberFormat="1" applyFont="1" applyFill="1" applyBorder="1" applyAlignment="1">
      <alignment horizontal="center" vertical="center"/>
    </xf>
    <xf numFmtId="0" fontId="46" fillId="24" borderId="136" xfId="0" applyFont="1" applyFill="1" applyBorder="1" applyAlignment="1" applyProtection="1">
      <alignment horizontal="center" vertical="center"/>
      <protection locked="0"/>
    </xf>
    <xf numFmtId="0" fontId="46" fillId="24" borderId="121" xfId="0" applyFont="1" applyFill="1" applyBorder="1" applyAlignment="1">
      <alignment horizontal="center" vertical="center"/>
    </xf>
    <xf numFmtId="9" fontId="47" fillId="37" borderId="107" xfId="0" applyNumberFormat="1" applyFont="1" applyFill="1" applyBorder="1" applyAlignment="1">
      <alignment horizontal="center" vertical="center"/>
    </xf>
    <xf numFmtId="9" fontId="47" fillId="37" borderId="108" xfId="0" applyNumberFormat="1" applyFont="1" applyFill="1" applyBorder="1" applyAlignment="1">
      <alignment horizontal="center" vertical="center"/>
    </xf>
    <xf numFmtId="9" fontId="47" fillId="37" borderId="146" xfId="0" applyNumberFormat="1" applyFont="1" applyFill="1" applyBorder="1" applyAlignment="1">
      <alignment horizontal="center" vertical="center"/>
    </xf>
    <xf numFmtId="9" fontId="47" fillId="37" borderId="116" xfId="0" applyNumberFormat="1" applyFont="1" applyFill="1" applyBorder="1" applyAlignment="1" applyProtection="1">
      <alignment horizontal="center" vertical="center"/>
    </xf>
    <xf numFmtId="9" fontId="47" fillId="37" borderId="117" xfId="0" applyNumberFormat="1" applyFont="1" applyFill="1" applyBorder="1" applyAlignment="1">
      <alignment horizontal="center" vertical="center"/>
    </xf>
    <xf numFmtId="0" fontId="27" fillId="38" borderId="124" xfId="0" applyFont="1" applyFill="1" applyBorder="1" applyAlignment="1">
      <alignment horizontal="right" vertical="center"/>
    </xf>
    <xf numFmtId="0" fontId="27" fillId="38" borderId="128" xfId="0" applyFont="1" applyFill="1" applyBorder="1" applyAlignment="1">
      <alignment horizontal="right" vertical="center"/>
    </xf>
    <xf numFmtId="0" fontId="28" fillId="37" borderId="116" xfId="0" applyFont="1" applyFill="1" applyBorder="1" applyAlignment="1">
      <alignment horizontal="right" vertical="center"/>
    </xf>
    <xf numFmtId="0" fontId="27" fillId="38" borderId="126" xfId="0" applyFont="1" applyFill="1" applyBorder="1" applyAlignment="1">
      <alignment horizontal="right" vertical="center"/>
    </xf>
    <xf numFmtId="0" fontId="43" fillId="24" borderId="145" xfId="0" applyFont="1" applyFill="1" applyBorder="1" applyAlignment="1">
      <alignment horizontal="center" vertical="center"/>
    </xf>
    <xf numFmtId="0" fontId="43" fillId="24" borderId="17" xfId="0" applyFont="1" applyFill="1" applyBorder="1" applyAlignment="1">
      <alignment horizontal="center" vertical="center"/>
    </xf>
    <xf numFmtId="0" fontId="43" fillId="24" borderId="35" xfId="0" applyFont="1" applyFill="1" applyBorder="1" applyAlignment="1">
      <alignment horizontal="center" vertical="center" wrapText="1"/>
    </xf>
    <xf numFmtId="0" fontId="43" fillId="38" borderId="111" xfId="0" applyFont="1" applyFill="1" applyBorder="1" applyAlignment="1">
      <alignment horizontal="center" vertical="center" wrapText="1"/>
    </xf>
    <xf numFmtId="0" fontId="43" fillId="38" borderId="6" xfId="0" applyFont="1" applyFill="1" applyBorder="1" applyAlignment="1">
      <alignment horizontal="center" vertical="center" wrapText="1"/>
    </xf>
    <xf numFmtId="0" fontId="43" fillId="38" borderId="17" xfId="0" applyFont="1" applyFill="1" applyBorder="1" applyAlignment="1">
      <alignment horizontal="center" vertical="center" wrapText="1"/>
    </xf>
    <xf numFmtId="0" fontId="43" fillId="38" borderId="35" xfId="0" applyFont="1" applyFill="1" applyBorder="1" applyAlignment="1">
      <alignment horizontal="center" vertical="center" wrapText="1"/>
    </xf>
    <xf numFmtId="164" fontId="43" fillId="38" borderId="135" xfId="0" applyNumberFormat="1" applyFont="1" applyFill="1" applyBorder="1" applyAlignment="1" applyProtection="1">
      <alignment horizontal="center" vertical="center"/>
      <protection locked="0"/>
    </xf>
    <xf numFmtId="164" fontId="43" fillId="38" borderId="105" xfId="0" applyNumberFormat="1" applyFont="1" applyFill="1" applyBorder="1" applyAlignment="1" applyProtection="1">
      <alignment horizontal="center" vertical="center"/>
      <protection locked="0"/>
    </xf>
    <xf numFmtId="164" fontId="43" fillId="24" borderId="138" xfId="0" applyNumberFormat="1" applyFont="1" applyFill="1" applyBorder="1" applyAlignment="1" applyProtection="1">
      <alignment horizontal="center" vertical="center"/>
      <protection locked="0"/>
    </xf>
    <xf numFmtId="164" fontId="43" fillId="38" borderId="121" xfId="0" applyNumberFormat="1" applyFont="1" applyFill="1" applyBorder="1" applyAlignment="1">
      <alignment horizontal="center" vertical="center"/>
    </xf>
    <xf numFmtId="164" fontId="43" fillId="38" borderId="118" xfId="0" applyNumberFormat="1" applyFont="1" applyFill="1" applyBorder="1" applyAlignment="1" applyProtection="1">
      <alignment horizontal="center" vertical="center"/>
      <protection locked="0"/>
    </xf>
    <xf numFmtId="3" fontId="43" fillId="38" borderId="105" xfId="0" applyNumberFormat="1" applyFont="1" applyFill="1" applyBorder="1" applyAlignment="1" applyProtection="1">
      <alignment horizontal="center" vertical="center"/>
      <protection locked="0"/>
    </xf>
    <xf numFmtId="164" fontId="43" fillId="38" borderId="138" xfId="0" applyNumberFormat="1" applyFont="1" applyFill="1" applyBorder="1" applyAlignment="1" applyProtection="1">
      <alignment horizontal="center" vertical="center"/>
      <protection locked="0"/>
    </xf>
    <xf numFmtId="164" fontId="43" fillId="38" borderId="121" xfId="0" applyNumberFormat="1" applyFont="1" applyFill="1" applyBorder="1" applyAlignment="1" applyProtection="1">
      <alignment horizontal="center" vertical="center"/>
    </xf>
    <xf numFmtId="9" fontId="16" fillId="38" borderId="133" xfId="0" applyNumberFormat="1" applyFont="1" applyFill="1" applyBorder="1" applyAlignment="1">
      <alignment horizontal="center" vertical="center"/>
    </xf>
    <xf numFmtId="9" fontId="16" fillId="38" borderId="94" xfId="0" applyNumberFormat="1" applyFont="1" applyFill="1" applyBorder="1" applyAlignment="1">
      <alignment horizontal="center" vertical="center"/>
    </xf>
    <xf numFmtId="9" fontId="16" fillId="24" borderId="96" xfId="0" applyNumberFormat="1" applyFont="1" applyFill="1" applyBorder="1" applyAlignment="1">
      <alignment horizontal="center" vertical="center"/>
    </xf>
    <xf numFmtId="9" fontId="16" fillId="38" borderId="120" xfId="0" applyNumberFormat="1" applyFont="1" applyFill="1" applyBorder="1" applyAlignment="1">
      <alignment horizontal="center" vertical="center"/>
    </xf>
    <xf numFmtId="9" fontId="16" fillId="38" borderId="97" xfId="0" applyNumberFormat="1" applyFont="1" applyFill="1" applyBorder="1" applyAlignment="1">
      <alignment horizontal="center" vertical="center"/>
    </xf>
    <xf numFmtId="9" fontId="16" fillId="38" borderId="96" xfId="0" applyNumberFormat="1" applyFont="1" applyFill="1" applyBorder="1" applyAlignment="1">
      <alignment horizontal="center" vertical="center"/>
    </xf>
    <xf numFmtId="0" fontId="49" fillId="38" borderId="120" xfId="0" applyFont="1" applyFill="1" applyBorder="1" applyAlignment="1">
      <alignment horizontal="center" vertical="center"/>
    </xf>
    <xf numFmtId="0" fontId="28" fillId="8" borderId="127" xfId="0" applyFont="1" applyFill="1" applyBorder="1" applyAlignment="1">
      <alignment horizontal="right" vertical="center"/>
    </xf>
    <xf numFmtId="0" fontId="28" fillId="24" borderId="146" xfId="0" applyFont="1" applyFill="1" applyBorder="1" applyAlignment="1" applyProtection="1">
      <alignment horizontal="center" vertical="center"/>
      <protection locked="0"/>
    </xf>
    <xf numFmtId="0" fontId="28" fillId="8" borderId="116" xfId="0" applyFont="1" applyFill="1" applyBorder="1" applyAlignment="1">
      <alignment horizontal="center" vertical="center"/>
    </xf>
    <xf numFmtId="164" fontId="46" fillId="37" borderId="116" xfId="0" applyNumberFormat="1" applyFont="1" applyFill="1" applyBorder="1" applyAlignment="1" applyProtection="1">
      <alignment horizontal="center" vertical="center"/>
    </xf>
    <xf numFmtId="9" fontId="13" fillId="0" borderId="145" xfId="0" applyNumberFormat="1" applyFont="1" applyFill="1" applyBorder="1" applyAlignment="1">
      <alignment horizontal="center" vertical="center"/>
    </xf>
    <xf numFmtId="9" fontId="13" fillId="0" borderId="17" xfId="0" applyNumberFormat="1" applyFont="1" applyFill="1" applyBorder="1" applyAlignment="1">
      <alignment horizontal="center" vertical="center"/>
    </xf>
    <xf numFmtId="9" fontId="13" fillId="41" borderId="35" xfId="0" applyNumberFormat="1" applyFont="1" applyFill="1" applyBorder="1" applyAlignment="1">
      <alignment horizontal="center" vertical="center"/>
    </xf>
    <xf numFmtId="9" fontId="13" fillId="42" borderId="111" xfId="0" applyNumberFormat="1" applyFont="1" applyFill="1" applyBorder="1" applyAlignment="1">
      <alignment horizontal="center" vertical="center"/>
    </xf>
    <xf numFmtId="9" fontId="13" fillId="0" borderId="6" xfId="0" applyNumberFormat="1" applyFont="1" applyFill="1" applyBorder="1" applyAlignment="1">
      <alignment horizontal="center" vertical="center"/>
    </xf>
    <xf numFmtId="9" fontId="13" fillId="0" borderId="35" xfId="0" applyNumberFormat="1" applyFont="1" applyFill="1" applyBorder="1" applyAlignment="1">
      <alignment horizontal="center" vertical="center"/>
    </xf>
    <xf numFmtId="9" fontId="13" fillId="0" borderId="112" xfId="0" applyNumberFormat="1" applyFont="1" applyFill="1" applyBorder="1" applyAlignment="1">
      <alignment horizontal="center" vertical="center"/>
    </xf>
    <xf numFmtId="164" fontId="43" fillId="0" borderId="119" xfId="0" applyNumberFormat="1" applyFont="1" applyFill="1" applyBorder="1" applyAlignment="1" applyProtection="1">
      <alignment horizontal="center" vertical="center"/>
      <protection locked="0"/>
    </xf>
    <xf numFmtId="164" fontId="43" fillId="0" borderId="149" xfId="0" applyNumberFormat="1" applyFont="1" applyFill="1" applyBorder="1" applyAlignment="1">
      <alignment horizontal="center" vertical="center"/>
    </xf>
    <xf numFmtId="164" fontId="43" fillId="39" borderId="123" xfId="0" applyNumberFormat="1" applyFont="1" applyFill="1" applyBorder="1" applyAlignment="1">
      <alignment horizontal="center" vertical="center"/>
    </xf>
    <xf numFmtId="164" fontId="43" fillId="39" borderId="132" xfId="0" applyNumberFormat="1" applyFont="1" applyFill="1" applyBorder="1" applyAlignment="1">
      <alignment horizontal="center" vertical="center"/>
    </xf>
    <xf numFmtId="164" fontId="43" fillId="39" borderId="18" xfId="0" applyNumberFormat="1" applyFont="1" applyFill="1" applyBorder="1" applyAlignment="1">
      <alignment horizontal="center" vertical="center"/>
    </xf>
    <xf numFmtId="164" fontId="43" fillId="39" borderId="39" xfId="0" applyNumberFormat="1" applyFont="1" applyFill="1" applyBorder="1" applyAlignment="1">
      <alignment horizontal="center" vertical="center"/>
    </xf>
    <xf numFmtId="9" fontId="13" fillId="41" borderId="145" xfId="0" applyNumberFormat="1" applyFont="1" applyFill="1" applyBorder="1" applyAlignment="1">
      <alignment horizontal="center" vertical="center"/>
    </xf>
    <xf numFmtId="9" fontId="13" fillId="41" borderId="17" xfId="0" applyNumberFormat="1" applyFont="1" applyFill="1" applyBorder="1" applyAlignment="1">
      <alignment horizontal="center" vertical="center"/>
    </xf>
    <xf numFmtId="9" fontId="13" fillId="41" borderId="111" xfId="0" applyNumberFormat="1" applyFont="1" applyFill="1" applyBorder="1" applyAlignment="1">
      <alignment horizontal="center" vertical="center"/>
    </xf>
    <xf numFmtId="9" fontId="13" fillId="41" borderId="6" xfId="0" applyNumberFormat="1" applyFont="1" applyFill="1" applyBorder="1" applyAlignment="1">
      <alignment horizontal="center" vertical="center"/>
    </xf>
    <xf numFmtId="9" fontId="13" fillId="41" borderId="112" xfId="0" applyNumberFormat="1" applyFont="1" applyFill="1" applyBorder="1" applyAlignment="1">
      <alignment horizontal="center" vertical="center"/>
    </xf>
    <xf numFmtId="164" fontId="43" fillId="44" borderId="34" xfId="0" applyNumberFormat="1" applyFont="1" applyFill="1" applyBorder="1" applyAlignment="1" applyProtection="1">
      <alignment horizontal="center" vertical="center"/>
      <protection locked="0"/>
    </xf>
    <xf numFmtId="164" fontId="43" fillId="44" borderId="18" xfId="0" applyNumberFormat="1" applyFont="1" applyFill="1" applyBorder="1" applyAlignment="1" applyProtection="1">
      <alignment horizontal="center" vertical="center"/>
      <protection locked="0"/>
    </xf>
    <xf numFmtId="164" fontId="43" fillId="44" borderId="33" xfId="0" applyNumberFormat="1" applyFont="1" applyFill="1" applyBorder="1" applyAlignment="1" applyProtection="1">
      <alignment horizontal="center" vertical="center"/>
      <protection locked="0"/>
    </xf>
    <xf numFmtId="164" fontId="43" fillId="44" borderId="119" xfId="0" applyNumberFormat="1" applyFont="1" applyFill="1" applyBorder="1" applyAlignment="1" applyProtection="1">
      <alignment horizontal="center" vertical="center"/>
    </xf>
    <xf numFmtId="164" fontId="43" fillId="45" borderId="118" xfId="0" applyNumberFormat="1" applyFont="1" applyFill="1" applyBorder="1" applyAlignment="1" applyProtection="1">
      <alignment horizontal="center" vertical="center"/>
      <protection locked="0"/>
    </xf>
    <xf numFmtId="164" fontId="43" fillId="45" borderId="105" xfId="0" applyNumberFormat="1" applyFont="1" applyFill="1" applyBorder="1" applyAlignment="1" applyProtection="1">
      <alignment horizontal="center" vertical="center"/>
      <protection locked="0"/>
    </xf>
    <xf numFmtId="164" fontId="43" fillId="45" borderId="138" xfId="0" applyNumberFormat="1" applyFont="1" applyFill="1" applyBorder="1" applyAlignment="1" applyProtection="1">
      <alignment horizontal="center" vertical="center"/>
      <protection locked="0"/>
    </xf>
    <xf numFmtId="164" fontId="43" fillId="45" borderId="121" xfId="0" applyNumberFormat="1" applyFont="1" applyFill="1" applyBorder="1" applyAlignment="1" applyProtection="1">
      <alignment horizontal="center" vertical="center"/>
      <protection locked="0"/>
    </xf>
    <xf numFmtId="0" fontId="27" fillId="46" borderId="124" xfId="0" applyFont="1" applyFill="1" applyBorder="1" applyAlignment="1">
      <alignment horizontal="right" vertical="center"/>
    </xf>
    <xf numFmtId="0" fontId="43" fillId="46" borderId="133" xfId="0" applyFont="1" applyFill="1" applyBorder="1" applyAlignment="1">
      <alignment horizontal="center" vertical="center"/>
    </xf>
    <xf numFmtId="0" fontId="43" fillId="46" borderId="94" xfId="0" applyFont="1" applyFill="1" applyBorder="1" applyAlignment="1">
      <alignment horizontal="center" vertical="center"/>
    </xf>
    <xf numFmtId="0" fontId="43" fillId="46" borderId="96" xfId="0" applyFont="1" applyFill="1" applyBorder="1" applyAlignment="1">
      <alignment horizontal="center" vertical="center" wrapText="1"/>
    </xf>
    <xf numFmtId="0" fontId="43" fillId="46" borderId="120" xfId="0" applyFont="1" applyFill="1" applyBorder="1" applyAlignment="1">
      <alignment horizontal="center" vertical="center" wrapText="1"/>
    </xf>
    <xf numFmtId="0" fontId="43" fillId="46" borderId="97" xfId="0" applyFont="1" applyFill="1" applyBorder="1" applyAlignment="1">
      <alignment horizontal="center" vertical="center" wrapText="1"/>
    </xf>
    <xf numFmtId="0" fontId="43" fillId="46" borderId="94" xfId="0" applyFont="1" applyFill="1" applyBorder="1" applyAlignment="1">
      <alignment horizontal="center" vertical="center" wrapText="1"/>
    </xf>
    <xf numFmtId="0" fontId="45" fillId="46" borderId="120" xfId="0" applyFont="1" applyFill="1" applyBorder="1" applyAlignment="1" applyProtection="1">
      <alignment horizontal="center" vertical="center" wrapText="1"/>
    </xf>
    <xf numFmtId="10" fontId="49" fillId="38" borderId="120" xfId="0" applyNumberFormat="1" applyFont="1" applyFill="1" applyBorder="1" applyAlignment="1">
      <alignment horizontal="center" vertical="center"/>
    </xf>
    <xf numFmtId="164" fontId="50" fillId="0" borderId="134" xfId="0" applyNumberFormat="1" applyFont="1" applyFill="1" applyBorder="1" applyAlignment="1" applyProtection="1">
      <alignment horizontal="center" vertical="center"/>
      <protection locked="0"/>
    </xf>
    <xf numFmtId="1" fontId="43" fillId="38" borderId="18" xfId="0" applyNumberFormat="1" applyFont="1" applyFill="1" applyBorder="1" applyAlignment="1">
      <alignment horizontal="center" vertical="center"/>
    </xf>
    <xf numFmtId="0" fontId="43" fillId="38" borderId="119" xfId="0" applyFont="1" applyFill="1" applyBorder="1" applyAlignment="1" applyProtection="1">
      <alignment horizontal="center" vertical="center" wrapText="1"/>
    </xf>
    <xf numFmtId="9" fontId="16" fillId="8" borderId="18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1" fillId="23" borderId="0" xfId="0" applyFont="1" applyFill="1" applyAlignment="1">
      <alignment horizontal="center" vertical="center"/>
    </xf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10" fillId="3" borderId="33" xfId="0" applyFont="1" applyFill="1" applyBorder="1" applyAlignment="1">
      <alignment horizontal="center"/>
    </xf>
    <xf numFmtId="0" fontId="10" fillId="3" borderId="34" xfId="0" applyFont="1" applyFill="1" applyBorder="1" applyAlignment="1">
      <alignment horizontal="center"/>
    </xf>
    <xf numFmtId="10" fontId="13" fillId="0" borderId="37" xfId="0" applyNumberFormat="1" applyFont="1" applyBorder="1" applyAlignment="1">
      <alignment horizontal="center"/>
    </xf>
    <xf numFmtId="10" fontId="13" fillId="0" borderId="32" xfId="0" applyNumberFormat="1" applyFont="1" applyBorder="1" applyAlignment="1">
      <alignment horizontal="center"/>
    </xf>
    <xf numFmtId="10" fontId="20" fillId="0" borderId="37" xfId="0" applyNumberFormat="1" applyFont="1" applyBorder="1" applyAlignment="1">
      <alignment horizontal="center"/>
    </xf>
    <xf numFmtId="10" fontId="20" fillId="0" borderId="32" xfId="0" applyNumberFormat="1" applyFont="1" applyBorder="1" applyAlignment="1">
      <alignment horizontal="center"/>
    </xf>
    <xf numFmtId="0" fontId="16" fillId="0" borderId="80" xfId="0" applyFont="1" applyBorder="1" applyAlignment="1">
      <alignment horizontal="center"/>
    </xf>
    <xf numFmtId="0" fontId="16" fillId="0" borderId="86" xfId="0" applyFont="1" applyBorder="1" applyAlignment="1">
      <alignment horizontal="center"/>
    </xf>
    <xf numFmtId="0" fontId="10" fillId="3" borderId="39" xfId="0" applyFont="1" applyFill="1" applyBorder="1" applyAlignment="1">
      <alignment horizontal="center"/>
    </xf>
    <xf numFmtId="0" fontId="16" fillId="0" borderId="49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86" xfId="0" applyFont="1" applyBorder="1" applyAlignment="1">
      <alignment horizontal="center" vertical="center"/>
    </xf>
    <xf numFmtId="3" fontId="11" fillId="0" borderId="88" xfId="0" applyNumberFormat="1" applyFont="1" applyBorder="1" applyAlignment="1">
      <alignment horizontal="center"/>
    </xf>
    <xf numFmtId="3" fontId="11" fillId="0" borderId="12" xfId="0" applyNumberFormat="1" applyFont="1" applyBorder="1" applyAlignment="1">
      <alignment horizontal="center"/>
    </xf>
    <xf numFmtId="3" fontId="11" fillId="0" borderId="89" xfId="0" applyNumberFormat="1" applyFont="1" applyBorder="1" applyAlignment="1">
      <alignment horizontal="center"/>
    </xf>
    <xf numFmtId="3" fontId="11" fillId="0" borderId="92" xfId="0" applyNumberFormat="1" applyFont="1" applyBorder="1" applyAlignment="1">
      <alignment horizontal="center"/>
    </xf>
    <xf numFmtId="3" fontId="11" fillId="0" borderId="93" xfId="0" applyNumberFormat="1" applyFont="1" applyBorder="1" applyAlignment="1">
      <alignment horizontal="center"/>
    </xf>
    <xf numFmtId="10" fontId="11" fillId="0" borderId="11" xfId="0" applyNumberFormat="1" applyFont="1" applyBorder="1" applyAlignment="1">
      <alignment horizontal="center"/>
    </xf>
    <xf numFmtId="10" fontId="11" fillId="0" borderId="21" xfId="0" applyNumberFormat="1" applyFont="1" applyBorder="1" applyAlignment="1">
      <alignment horizontal="center"/>
    </xf>
    <xf numFmtId="0" fontId="15" fillId="5" borderId="98" xfId="0" applyFont="1" applyFill="1" applyBorder="1" applyAlignment="1">
      <alignment horizontal="center" vertical="center"/>
    </xf>
    <xf numFmtId="0" fontId="15" fillId="5" borderId="99" xfId="0" applyFont="1" applyFill="1" applyBorder="1" applyAlignment="1">
      <alignment horizontal="center" vertical="center"/>
    </xf>
    <xf numFmtId="0" fontId="15" fillId="5" borderId="100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0" fontId="15" fillId="5" borderId="101" xfId="0" applyFont="1" applyFill="1" applyBorder="1" applyAlignment="1">
      <alignment horizontal="center" vertical="center" wrapText="1"/>
    </xf>
    <xf numFmtId="0" fontId="15" fillId="5" borderId="102" xfId="0" applyFont="1" applyFill="1" applyBorder="1" applyAlignment="1">
      <alignment horizontal="center" vertical="center" wrapText="1"/>
    </xf>
    <xf numFmtId="0" fontId="15" fillId="6" borderId="96" xfId="0" applyFont="1" applyFill="1" applyBorder="1" applyAlignment="1">
      <alignment horizontal="center" vertical="center" wrapText="1"/>
    </xf>
    <xf numFmtId="0" fontId="15" fillId="6" borderId="36" xfId="0" applyFont="1" applyFill="1" applyBorder="1" applyAlignment="1">
      <alignment horizontal="center" vertical="center" wrapText="1"/>
    </xf>
    <xf numFmtId="0" fontId="15" fillId="6" borderId="94" xfId="0" applyFont="1" applyFill="1" applyBorder="1" applyAlignment="1">
      <alignment horizontal="center" vertical="center" wrapText="1"/>
    </xf>
    <xf numFmtId="0" fontId="15" fillId="6" borderId="95" xfId="0" applyFont="1" applyFill="1" applyBorder="1" applyAlignment="1">
      <alignment horizontal="center" vertical="center" wrapText="1"/>
    </xf>
    <xf numFmtId="0" fontId="15" fillId="3" borderId="96" xfId="0" applyFont="1" applyFill="1" applyBorder="1" applyAlignment="1">
      <alignment horizontal="center" vertical="center"/>
    </xf>
    <xf numFmtId="0" fontId="15" fillId="3" borderId="36" xfId="0" applyFont="1" applyFill="1" applyBorder="1" applyAlignment="1">
      <alignment horizontal="center" vertical="center"/>
    </xf>
    <xf numFmtId="0" fontId="15" fillId="3" borderId="94" xfId="0" applyFont="1" applyFill="1" applyBorder="1" applyAlignment="1" applyProtection="1">
      <alignment horizontal="center" vertical="center" wrapText="1"/>
    </xf>
    <xf numFmtId="0" fontId="15" fillId="3" borderId="95" xfId="0" applyFont="1" applyFill="1" applyBorder="1" applyAlignment="1" applyProtection="1">
      <alignment horizontal="center" vertical="center" wrapText="1"/>
    </xf>
    <xf numFmtId="0" fontId="15" fillId="4" borderId="94" xfId="0" applyFont="1" applyFill="1" applyBorder="1" applyAlignment="1" applyProtection="1">
      <alignment horizontal="center" vertical="center" wrapText="1"/>
    </xf>
    <xf numFmtId="0" fontId="15" fillId="4" borderId="95" xfId="0" applyFont="1" applyFill="1" applyBorder="1" applyAlignment="1" applyProtection="1">
      <alignment horizontal="center" vertical="center" wrapText="1"/>
    </xf>
    <xf numFmtId="10" fontId="13" fillId="0" borderId="31" xfId="0" applyNumberFormat="1" applyFont="1" applyBorder="1" applyAlignment="1">
      <alignment horizontal="center"/>
    </xf>
    <xf numFmtId="10" fontId="20" fillId="0" borderId="31" xfId="0" applyNumberFormat="1" applyFont="1" applyBorder="1" applyAlignment="1">
      <alignment horizontal="center"/>
    </xf>
    <xf numFmtId="8" fontId="16" fillId="0" borderId="29" xfId="0" applyNumberFormat="1" applyFont="1" applyBorder="1" applyAlignment="1">
      <alignment horizontal="center" vertical="center"/>
    </xf>
    <xf numFmtId="8" fontId="16" fillId="0" borderId="74" xfId="0" quotePrefix="1" applyNumberFormat="1" applyFont="1" applyBorder="1" applyAlignment="1">
      <alignment horizontal="center" vertical="center"/>
    </xf>
    <xf numFmtId="8" fontId="16" fillId="0" borderId="30" xfId="0" quotePrefix="1" applyNumberFormat="1" applyFont="1" applyBorder="1" applyAlignment="1">
      <alignment horizontal="center" vertical="center"/>
    </xf>
    <xf numFmtId="8" fontId="16" fillId="0" borderId="77" xfId="0" quotePrefix="1" applyNumberFormat="1" applyFont="1" applyBorder="1" applyAlignment="1">
      <alignment horizontal="center" vertical="center"/>
    </xf>
    <xf numFmtId="10" fontId="11" fillId="0" borderId="88" xfId="0" applyNumberFormat="1" applyFont="1" applyBorder="1" applyAlignment="1">
      <alignment horizontal="center"/>
    </xf>
    <xf numFmtId="0" fontId="16" fillId="0" borderId="51" xfId="0" applyFont="1" applyBorder="1" applyAlignment="1">
      <alignment horizontal="center" vertical="center"/>
    </xf>
    <xf numFmtId="0" fontId="16" fillId="0" borderId="87" xfId="0" applyFont="1" applyBorder="1" applyAlignment="1">
      <alignment horizontal="center" vertical="center"/>
    </xf>
    <xf numFmtId="0" fontId="9" fillId="0" borderId="13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10" fontId="11" fillId="0" borderId="89" xfId="0" applyNumberFormat="1" applyFont="1" applyBorder="1" applyAlignment="1">
      <alignment horizontal="center"/>
    </xf>
    <xf numFmtId="0" fontId="16" fillId="0" borderId="60" xfId="0" applyFont="1" applyBorder="1" applyAlignment="1">
      <alignment horizontal="center"/>
    </xf>
    <xf numFmtId="0" fontId="16" fillId="0" borderId="87" xfId="0" applyFont="1" applyBorder="1" applyAlignment="1">
      <alignment horizontal="center"/>
    </xf>
    <xf numFmtId="0" fontId="9" fillId="0" borderId="9" xfId="0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15" fillId="7" borderId="94" xfId="0" applyFont="1" applyFill="1" applyBorder="1" applyAlignment="1" applyProtection="1">
      <alignment horizontal="center" vertical="center" wrapText="1"/>
    </xf>
    <xf numFmtId="0" fontId="15" fillId="7" borderId="95" xfId="0" applyFont="1" applyFill="1" applyBorder="1" applyAlignment="1" applyProtection="1">
      <alignment horizontal="center" vertical="center" wrapText="1"/>
    </xf>
    <xf numFmtId="0" fontId="16" fillId="0" borderId="80" xfId="0" quotePrefix="1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0" fillId="3" borderId="37" xfId="0" applyFont="1" applyFill="1" applyBorder="1" applyAlignment="1" applyProtection="1">
      <alignment horizontal="center"/>
      <protection locked="0"/>
    </xf>
    <xf numFmtId="0" fontId="10" fillId="3" borderId="58" xfId="0" applyFont="1" applyFill="1" applyBorder="1" applyAlignment="1" applyProtection="1">
      <alignment horizontal="center"/>
      <protection locked="0"/>
    </xf>
    <xf numFmtId="0" fontId="10" fillId="3" borderId="32" xfId="0" applyFont="1" applyFill="1" applyBorder="1" applyAlignment="1" applyProtection="1">
      <alignment horizontal="center"/>
      <protection locked="0"/>
    </xf>
    <xf numFmtId="0" fontId="10" fillId="3" borderId="37" xfId="0" applyFont="1" applyFill="1" applyBorder="1" applyAlignment="1">
      <alignment horizontal="center"/>
    </xf>
    <xf numFmtId="0" fontId="10" fillId="3" borderId="58" xfId="0" applyFont="1" applyFill="1" applyBorder="1" applyAlignment="1">
      <alignment horizontal="center"/>
    </xf>
    <xf numFmtId="0" fontId="10" fillId="3" borderId="32" xfId="0" applyFont="1" applyFill="1" applyBorder="1" applyAlignment="1">
      <alignment horizontal="center"/>
    </xf>
    <xf numFmtId="10" fontId="13" fillId="0" borderId="58" xfId="0" applyNumberFormat="1" applyFont="1" applyBorder="1" applyAlignment="1">
      <alignment horizontal="center"/>
    </xf>
    <xf numFmtId="10" fontId="20" fillId="0" borderId="58" xfId="0" applyNumberFormat="1" applyFont="1" applyBorder="1" applyAlignment="1">
      <alignment horizontal="center"/>
    </xf>
    <xf numFmtId="10" fontId="11" fillId="0" borderId="9" xfId="0" applyNumberFormat="1" applyFont="1" applyBorder="1" applyAlignment="1">
      <alignment horizontal="center"/>
    </xf>
    <xf numFmtId="10" fontId="11" fillId="0" borderId="20" xfId="0" applyNumberFormat="1" applyFont="1" applyBorder="1" applyAlignment="1">
      <alignment horizontal="center"/>
    </xf>
    <xf numFmtId="10" fontId="11" fillId="0" borderId="92" xfId="0" applyNumberFormat="1" applyFont="1" applyBorder="1" applyAlignment="1">
      <alignment horizontal="center"/>
    </xf>
    <xf numFmtId="10" fontId="11" fillId="0" borderId="93" xfId="0" applyNumberFormat="1" applyFont="1" applyBorder="1" applyAlignment="1">
      <alignment horizontal="center"/>
    </xf>
    <xf numFmtId="0" fontId="10" fillId="3" borderId="97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3" fontId="11" fillId="0" borderId="10" xfId="0" applyNumberFormat="1" applyFont="1" applyBorder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164" fontId="9" fillId="0" borderId="21" xfId="0" applyNumberFormat="1" applyFont="1" applyBorder="1" applyAlignment="1">
      <alignment horizontal="center"/>
    </xf>
    <xf numFmtId="164" fontId="9" fillId="0" borderId="9" xfId="0" applyNumberFormat="1" applyFont="1" applyBorder="1" applyAlignment="1">
      <alignment horizontal="center"/>
    </xf>
    <xf numFmtId="164" fontId="9" fillId="0" borderId="20" xfId="0" applyNumberFormat="1" applyFont="1" applyBorder="1" applyAlignment="1">
      <alignment horizontal="center"/>
    </xf>
    <xf numFmtId="10" fontId="12" fillId="0" borderId="13" xfId="0" applyNumberFormat="1" applyFont="1" applyBorder="1" applyAlignment="1">
      <alignment horizontal="center"/>
    </xf>
    <xf numFmtId="10" fontId="12" fillId="0" borderId="22" xfId="0" applyNumberFormat="1" applyFont="1" applyBorder="1" applyAlignment="1">
      <alignment horizontal="center"/>
    </xf>
    <xf numFmtId="0" fontId="16" fillId="0" borderId="49" xfId="0" quotePrefix="1" applyFont="1" applyBorder="1" applyAlignment="1">
      <alignment horizontal="center" vertical="center"/>
    </xf>
    <xf numFmtId="0" fontId="16" fillId="0" borderId="86" xfId="0" quotePrefix="1" applyFont="1" applyBorder="1" applyAlignment="1">
      <alignment horizontal="center" vertical="center"/>
    </xf>
    <xf numFmtId="0" fontId="16" fillId="0" borderId="51" xfId="0" quotePrefix="1" applyFont="1" applyBorder="1" applyAlignment="1">
      <alignment horizontal="center" vertical="center"/>
    </xf>
    <xf numFmtId="0" fontId="16" fillId="0" borderId="87" xfId="0" quotePrefix="1" applyFont="1" applyBorder="1" applyAlignment="1">
      <alignment horizontal="center" vertical="center"/>
    </xf>
    <xf numFmtId="0" fontId="15" fillId="6" borderId="98" xfId="0" applyFont="1" applyFill="1" applyBorder="1" applyAlignment="1">
      <alignment horizontal="center" vertical="center" wrapText="1"/>
    </xf>
    <xf numFmtId="0" fontId="15" fillId="6" borderId="99" xfId="0" applyFont="1" applyFill="1" applyBorder="1" applyAlignment="1">
      <alignment horizontal="center" vertical="center" wrapText="1"/>
    </xf>
    <xf numFmtId="0" fontId="15" fillId="4" borderId="103" xfId="0" applyFont="1" applyFill="1" applyBorder="1" applyAlignment="1">
      <alignment horizontal="center" vertical="center" wrapText="1"/>
    </xf>
    <xf numFmtId="0" fontId="15" fillId="4" borderId="104" xfId="0" applyFont="1" applyFill="1" applyBorder="1" applyAlignment="1">
      <alignment horizontal="center" vertical="center" wrapText="1"/>
    </xf>
    <xf numFmtId="10" fontId="10" fillId="2" borderId="37" xfId="0" applyNumberFormat="1" applyFont="1" applyFill="1" applyBorder="1" applyAlignment="1" applyProtection="1">
      <alignment horizontal="center" vertical="center"/>
      <protection locked="0"/>
    </xf>
    <xf numFmtId="10" fontId="10" fillId="2" borderId="32" xfId="0" applyNumberFormat="1" applyFont="1" applyFill="1" applyBorder="1" applyAlignment="1" applyProtection="1">
      <alignment horizontal="center" vertical="center"/>
      <protection locked="0"/>
    </xf>
    <xf numFmtId="10" fontId="11" fillId="0" borderId="90" xfId="0" applyNumberFormat="1" applyFont="1" applyBorder="1" applyAlignment="1">
      <alignment horizontal="center"/>
    </xf>
    <xf numFmtId="10" fontId="11" fillId="0" borderId="22" xfId="0" applyNumberFormat="1" applyFont="1" applyBorder="1" applyAlignment="1">
      <alignment horizontal="center"/>
    </xf>
    <xf numFmtId="0" fontId="15" fillId="5" borderId="48" xfId="0" applyFont="1" applyFill="1" applyBorder="1" applyAlignment="1">
      <alignment horizontal="center" vertical="center"/>
    </xf>
    <xf numFmtId="0" fontId="15" fillId="5" borderId="50" xfId="0" applyFont="1" applyFill="1" applyBorder="1" applyAlignment="1">
      <alignment horizontal="center" vertical="center"/>
    </xf>
    <xf numFmtId="0" fontId="15" fillId="5" borderId="75" xfId="0" applyFont="1" applyFill="1" applyBorder="1" applyAlignment="1">
      <alignment horizontal="center" vertical="center" wrapText="1"/>
    </xf>
    <xf numFmtId="0" fontId="15" fillId="5" borderId="62" xfId="0" applyFont="1" applyFill="1" applyBorder="1" applyAlignment="1">
      <alignment horizontal="center" vertical="center" wrapText="1"/>
    </xf>
    <xf numFmtId="0" fontId="15" fillId="6" borderId="76" xfId="0" applyFont="1" applyFill="1" applyBorder="1" applyAlignment="1">
      <alignment horizontal="center" vertical="center" wrapText="1"/>
    </xf>
    <xf numFmtId="0" fontId="15" fillId="6" borderId="63" xfId="0" applyFont="1" applyFill="1" applyBorder="1" applyAlignment="1">
      <alignment horizontal="center" vertical="center" wrapText="1"/>
    </xf>
    <xf numFmtId="0" fontId="15" fillId="6" borderId="84" xfId="0" applyFont="1" applyFill="1" applyBorder="1" applyAlignment="1">
      <alignment horizontal="center" vertical="center" wrapText="1"/>
    </xf>
    <xf numFmtId="0" fontId="15" fillId="6" borderId="85" xfId="0" applyFont="1" applyFill="1" applyBorder="1" applyAlignment="1">
      <alignment horizontal="center" vertical="center" wrapText="1"/>
    </xf>
    <xf numFmtId="6" fontId="9" fillId="0" borderId="9" xfId="0" applyNumberFormat="1" applyFont="1" applyBorder="1" applyAlignment="1">
      <alignment horizontal="center"/>
    </xf>
    <xf numFmtId="6" fontId="9" fillId="0" borderId="20" xfId="0" applyNumberFormat="1" applyFont="1" applyBorder="1" applyAlignment="1">
      <alignment horizontal="center"/>
    </xf>
    <xf numFmtId="0" fontId="15" fillId="6" borderId="78" xfId="0" applyFont="1" applyFill="1" applyBorder="1" applyAlignment="1">
      <alignment horizontal="center" vertical="center" wrapText="1"/>
    </xf>
    <xf numFmtId="0" fontId="15" fillId="6" borderId="65" xfId="0" applyFont="1" applyFill="1" applyBorder="1" applyAlignment="1">
      <alignment horizontal="center" vertical="center" wrapText="1"/>
    </xf>
    <xf numFmtId="0" fontId="15" fillId="4" borderId="86" xfId="0" applyFont="1" applyFill="1" applyBorder="1" applyAlignment="1">
      <alignment horizontal="center" vertical="center" wrapText="1"/>
    </xf>
    <xf numFmtId="0" fontId="15" fillId="4" borderId="87" xfId="0" applyFont="1" applyFill="1" applyBorder="1" applyAlignment="1">
      <alignment horizontal="center" vertical="center" wrapText="1"/>
    </xf>
    <xf numFmtId="0" fontId="15" fillId="4" borderId="78" xfId="0" applyFont="1" applyFill="1" applyBorder="1" applyAlignment="1" applyProtection="1">
      <alignment horizontal="center" vertical="center" wrapText="1"/>
    </xf>
    <xf numFmtId="0" fontId="15" fillId="4" borderId="65" xfId="0" applyFont="1" applyFill="1" applyBorder="1" applyAlignment="1" applyProtection="1">
      <alignment horizontal="center" vertical="center" wrapText="1"/>
    </xf>
    <xf numFmtId="10" fontId="11" fillId="0" borderId="13" xfId="0" applyNumberFormat="1" applyFont="1" applyBorder="1" applyAlignment="1">
      <alignment horizontal="center"/>
    </xf>
    <xf numFmtId="10" fontId="11" fillId="0" borderId="91" xfId="0" applyNumberFormat="1" applyFont="1" applyBorder="1" applyAlignment="1">
      <alignment horizontal="center"/>
    </xf>
    <xf numFmtId="3" fontId="11" fillId="0" borderId="90" xfId="0" applyNumberFormat="1" applyFont="1" applyBorder="1" applyAlignment="1">
      <alignment horizontal="center"/>
    </xf>
    <xf numFmtId="3" fontId="11" fillId="0" borderId="91" xfId="0" applyNumberFormat="1" applyFont="1" applyBorder="1" applyAlignment="1">
      <alignment horizontal="center"/>
    </xf>
    <xf numFmtId="3" fontId="11" fillId="0" borderId="14" xfId="0" applyNumberFormat="1" applyFont="1" applyBorder="1" applyAlignment="1">
      <alignment horizontal="center"/>
    </xf>
    <xf numFmtId="6" fontId="10" fillId="0" borderId="13" xfId="0" applyNumberFormat="1" applyFont="1" applyBorder="1" applyAlignment="1">
      <alignment horizontal="center"/>
    </xf>
    <xf numFmtId="6" fontId="10" fillId="0" borderId="22" xfId="0" applyNumberFormat="1" applyFont="1" applyBorder="1" applyAlignment="1">
      <alignment horizontal="center"/>
    </xf>
    <xf numFmtId="0" fontId="10" fillId="3" borderId="80" xfId="0" applyFont="1" applyFill="1" applyBorder="1" applyAlignment="1">
      <alignment horizontal="left" vertical="center"/>
    </xf>
    <xf numFmtId="0" fontId="10" fillId="3" borderId="81" xfId="0" applyFont="1" applyFill="1" applyBorder="1" applyAlignment="1">
      <alignment horizontal="left" vertical="center"/>
    </xf>
    <xf numFmtId="0" fontId="10" fillId="3" borderId="60" xfId="0" applyFont="1" applyFill="1" applyBorder="1" applyAlignment="1">
      <alignment horizontal="left" vertical="center"/>
    </xf>
    <xf numFmtId="0" fontId="10" fillId="3" borderId="82" xfId="0" applyFont="1" applyFill="1" applyBorder="1" applyAlignment="1">
      <alignment horizontal="left" vertical="center"/>
    </xf>
    <xf numFmtId="0" fontId="15" fillId="3" borderId="83" xfId="0" applyFont="1" applyFill="1" applyBorder="1" applyAlignment="1" applyProtection="1">
      <alignment horizontal="center" vertical="center" wrapText="1"/>
    </xf>
    <xf numFmtId="0" fontId="15" fillId="3" borderId="66" xfId="0" applyFont="1" applyFill="1" applyBorder="1" applyAlignment="1" applyProtection="1">
      <alignment horizontal="center" vertical="center" wrapText="1"/>
    </xf>
    <xf numFmtId="0" fontId="15" fillId="3" borderId="80" xfId="0" applyFont="1" applyFill="1" applyBorder="1" applyAlignment="1">
      <alignment horizontal="center" vertical="center"/>
    </xf>
    <xf numFmtId="0" fontId="15" fillId="3" borderId="60" xfId="0" applyFont="1" applyFill="1" applyBorder="1" applyAlignment="1">
      <alignment horizontal="center" vertical="center"/>
    </xf>
    <xf numFmtId="0" fontId="10" fillId="3" borderId="74" xfId="0" applyFont="1" applyFill="1" applyBorder="1" applyAlignment="1">
      <alignment horizontal="center" vertical="center"/>
    </xf>
    <xf numFmtId="0" fontId="10" fillId="3" borderId="77" xfId="0" applyFont="1" applyFill="1" applyBorder="1" applyAlignment="1">
      <alignment horizontal="center" vertical="center"/>
    </xf>
    <xf numFmtId="0" fontId="15" fillId="7" borderId="78" xfId="0" applyFont="1" applyFill="1" applyBorder="1" applyAlignment="1" applyProtection="1">
      <alignment horizontal="center" vertical="center" wrapText="1"/>
    </xf>
    <xf numFmtId="0" fontId="15" fillId="7" borderId="65" xfId="0" applyFont="1" applyFill="1" applyBorder="1" applyAlignment="1" applyProtection="1">
      <alignment horizontal="center" vertical="center" wrapText="1"/>
    </xf>
    <xf numFmtId="0" fontId="15" fillId="5" borderId="79" xfId="0" applyFont="1" applyFill="1" applyBorder="1" applyAlignment="1">
      <alignment horizontal="center" vertical="center"/>
    </xf>
    <xf numFmtId="0" fontId="15" fillId="5" borderId="61" xfId="0" applyFont="1" applyFill="1" applyBorder="1" applyAlignment="1">
      <alignment horizontal="center" vertical="center"/>
    </xf>
    <xf numFmtId="0" fontId="17" fillId="5" borderId="101" xfId="0" applyFont="1" applyFill="1" applyBorder="1" applyAlignment="1">
      <alignment horizontal="center" vertical="center" wrapText="1"/>
    </xf>
    <xf numFmtId="0" fontId="17" fillId="5" borderId="102" xfId="0" applyFont="1" applyFill="1" applyBorder="1" applyAlignment="1">
      <alignment horizontal="center" vertical="center" wrapText="1"/>
    </xf>
    <xf numFmtId="0" fontId="17" fillId="5" borderId="75" xfId="0" applyFont="1" applyFill="1" applyBorder="1" applyAlignment="1">
      <alignment horizontal="center" vertical="center" wrapText="1"/>
    </xf>
    <xf numFmtId="0" fontId="17" fillId="5" borderId="62" xfId="0" applyFont="1" applyFill="1" applyBorder="1" applyAlignment="1">
      <alignment horizontal="center" vertical="center" wrapText="1"/>
    </xf>
    <xf numFmtId="165" fontId="11" fillId="0" borderId="88" xfId="0" applyNumberFormat="1" applyFont="1" applyBorder="1" applyAlignment="1">
      <alignment horizontal="center"/>
    </xf>
    <xf numFmtId="165" fontId="11" fillId="0" borderId="89" xfId="0" applyNumberFormat="1" applyFont="1" applyBorder="1" applyAlignment="1">
      <alignment horizontal="center"/>
    </xf>
    <xf numFmtId="165" fontId="11" fillId="0" borderId="92" xfId="0" applyNumberFormat="1" applyFont="1" applyBorder="1" applyAlignment="1">
      <alignment horizontal="center"/>
    </xf>
    <xf numFmtId="165" fontId="11" fillId="0" borderId="93" xfId="0" applyNumberFormat="1" applyFont="1" applyBorder="1" applyAlignment="1">
      <alignment horizontal="center"/>
    </xf>
    <xf numFmtId="165" fontId="11" fillId="0" borderId="90" xfId="0" applyNumberFormat="1" applyFont="1" applyBorder="1" applyAlignment="1">
      <alignment horizontal="center"/>
    </xf>
    <xf numFmtId="165" fontId="11" fillId="0" borderId="91" xfId="0" applyNumberFormat="1" applyFont="1" applyBorder="1" applyAlignment="1">
      <alignment horizontal="center"/>
    </xf>
    <xf numFmtId="10" fontId="18" fillId="0" borderId="37" xfId="0" applyNumberFormat="1" applyFont="1" applyBorder="1" applyAlignment="1">
      <alignment horizontal="center"/>
    </xf>
    <xf numFmtId="10" fontId="18" fillId="0" borderId="32" xfId="0" applyNumberFormat="1" applyFont="1" applyBorder="1" applyAlignment="1">
      <alignment horizontal="center"/>
    </xf>
    <xf numFmtId="10" fontId="18" fillId="0" borderId="58" xfId="0" applyNumberFormat="1" applyFont="1" applyBorder="1" applyAlignment="1">
      <alignment horizontal="center"/>
    </xf>
    <xf numFmtId="10" fontId="18" fillId="0" borderId="31" xfId="0" applyNumberFormat="1" applyFont="1" applyBorder="1" applyAlignment="1">
      <alignment horizont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 applyProtection="1">
      <alignment horizontal="center" vertical="center"/>
      <protection locked="0"/>
    </xf>
    <xf numFmtId="10" fontId="28" fillId="0" borderId="0" xfId="0" applyNumberFormat="1" applyFont="1" applyFill="1" applyBorder="1" applyAlignment="1">
      <alignment horizontal="center" vertical="center"/>
    </xf>
    <xf numFmtId="10" fontId="15" fillId="0" borderId="0" xfId="0" applyNumberFormat="1" applyFont="1" applyFill="1" applyBorder="1" applyAlignment="1">
      <alignment horizontal="center" vertical="center"/>
    </xf>
    <xf numFmtId="0" fontId="29" fillId="11" borderId="18" xfId="0" applyFont="1" applyFill="1" applyBorder="1" applyAlignment="1" applyProtection="1">
      <alignment horizontal="center" vertical="center" wrapText="1"/>
    </xf>
    <xf numFmtId="0" fontId="28" fillId="8" borderId="29" xfId="0" applyFont="1" applyFill="1" applyBorder="1" applyAlignment="1">
      <alignment horizontal="center" vertical="center"/>
    </xf>
    <xf numFmtId="0" fontId="28" fillId="8" borderId="30" xfId="0" applyFont="1" applyFill="1" applyBorder="1" applyAlignment="1">
      <alignment horizontal="center" vertical="center"/>
    </xf>
    <xf numFmtId="0" fontId="28" fillId="8" borderId="18" xfId="0" applyFont="1" applyFill="1" applyBorder="1" applyAlignment="1">
      <alignment horizontal="center" vertical="center"/>
    </xf>
    <xf numFmtId="0" fontId="28" fillId="8" borderId="18" xfId="0" applyFont="1" applyFill="1" applyBorder="1" applyAlignment="1" applyProtection="1">
      <alignment horizontal="center" vertical="center"/>
      <protection locked="0"/>
    </xf>
    <xf numFmtId="9" fontId="28" fillId="0" borderId="18" xfId="0" applyNumberFormat="1" applyFont="1" applyBorder="1" applyAlignment="1">
      <alignment horizontal="center" vertical="center"/>
    </xf>
    <xf numFmtId="0" fontId="28" fillId="11" borderId="18" xfId="0" applyFont="1" applyFill="1" applyBorder="1" applyAlignment="1">
      <alignment horizontal="center" vertical="center" wrapText="1"/>
    </xf>
    <xf numFmtId="0" fontId="28" fillId="9" borderId="18" xfId="0" applyFont="1" applyFill="1" applyBorder="1" applyAlignment="1">
      <alignment horizontal="center" vertical="center"/>
    </xf>
    <xf numFmtId="0" fontId="29" fillId="9" borderId="18" xfId="0" applyFont="1" applyFill="1" applyBorder="1" applyAlignment="1">
      <alignment horizontal="center" vertical="center" wrapText="1"/>
    </xf>
    <xf numFmtId="0" fontId="28" fillId="10" borderId="33" xfId="0" applyFont="1" applyFill="1" applyBorder="1" applyAlignment="1">
      <alignment horizontal="center" vertical="center"/>
    </xf>
    <xf numFmtId="0" fontId="28" fillId="10" borderId="39" xfId="0" applyFont="1" applyFill="1" applyBorder="1" applyAlignment="1">
      <alignment horizontal="center" vertical="center"/>
    </xf>
    <xf numFmtId="0" fontId="28" fillId="10" borderId="34" xfId="0" applyFont="1" applyFill="1" applyBorder="1" applyAlignment="1">
      <alignment horizontal="center" vertical="center"/>
    </xf>
    <xf numFmtId="0" fontId="28" fillId="17" borderId="33" xfId="0" applyFont="1" applyFill="1" applyBorder="1" applyAlignment="1" applyProtection="1">
      <alignment horizontal="center" vertical="center"/>
      <protection locked="0"/>
    </xf>
    <xf numFmtId="0" fontId="28" fillId="17" borderId="39" xfId="0" applyFont="1" applyFill="1" applyBorder="1" applyAlignment="1" applyProtection="1">
      <alignment horizontal="center" vertical="center"/>
      <protection locked="0"/>
    </xf>
    <xf numFmtId="0" fontId="28" fillId="17" borderId="34" xfId="0" applyFont="1" applyFill="1" applyBorder="1" applyAlignment="1" applyProtection="1">
      <alignment horizontal="center" vertical="center"/>
      <protection locked="0"/>
    </xf>
    <xf numFmtId="10" fontId="28" fillId="10" borderId="18" xfId="0" applyNumberFormat="1" applyFont="1" applyFill="1" applyBorder="1" applyAlignment="1">
      <alignment horizontal="center" vertical="center"/>
    </xf>
    <xf numFmtId="10" fontId="28" fillId="17" borderId="18" xfId="0" applyNumberFormat="1" applyFont="1" applyFill="1" applyBorder="1" applyAlignment="1">
      <alignment horizontal="center" vertical="center"/>
    </xf>
    <xf numFmtId="0" fontId="31" fillId="13" borderId="18" xfId="0" applyFont="1" applyFill="1" applyBorder="1" applyAlignment="1">
      <alignment horizontal="center" vertical="center"/>
    </xf>
    <xf numFmtId="0" fontId="28" fillId="16" borderId="18" xfId="0" applyFont="1" applyFill="1" applyBorder="1" applyAlignment="1">
      <alignment horizontal="center" vertical="center" wrapText="1"/>
    </xf>
    <xf numFmtId="0" fontId="29" fillId="16" borderId="18" xfId="0" applyFont="1" applyFill="1" applyBorder="1" applyAlignment="1" applyProtection="1">
      <alignment horizontal="center" vertical="center" wrapText="1"/>
    </xf>
    <xf numFmtId="49" fontId="25" fillId="12" borderId="18" xfId="0" applyNumberFormat="1" applyFont="1" applyFill="1" applyBorder="1" applyAlignment="1">
      <alignment horizontal="center" vertical="center"/>
    </xf>
    <xf numFmtId="0" fontId="26" fillId="12" borderId="18" xfId="0" applyFont="1" applyFill="1" applyBorder="1" applyAlignment="1">
      <alignment horizontal="center" vertical="center"/>
    </xf>
    <xf numFmtId="0" fontId="28" fillId="10" borderId="18" xfId="0" applyFont="1" applyFill="1" applyBorder="1" applyAlignment="1">
      <alignment horizontal="center" vertical="center"/>
    </xf>
    <xf numFmtId="0" fontId="28" fillId="16" borderId="18" xfId="0" applyFont="1" applyFill="1" applyBorder="1" applyAlignment="1">
      <alignment horizontal="center" vertical="center"/>
    </xf>
    <xf numFmtId="0" fontId="29" fillId="10" borderId="1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8" fillId="28" borderId="18" xfId="0" applyFont="1" applyFill="1" applyBorder="1" applyAlignment="1">
      <alignment horizontal="center" vertical="center"/>
    </xf>
    <xf numFmtId="9" fontId="28" fillId="26" borderId="18" xfId="0" applyNumberFormat="1" applyFont="1" applyFill="1" applyBorder="1" applyAlignment="1">
      <alignment horizontal="center" vertical="center"/>
    </xf>
    <xf numFmtId="0" fontId="31" fillId="13" borderId="105" xfId="0" applyFont="1" applyFill="1" applyBorder="1" applyAlignment="1">
      <alignment horizontal="center" vertical="center"/>
    </xf>
    <xf numFmtId="1" fontId="11" fillId="0" borderId="113" xfId="0" applyNumberFormat="1" applyFont="1" applyFill="1" applyBorder="1" applyAlignment="1">
      <alignment horizontal="center" vertical="center"/>
    </xf>
    <xf numFmtId="1" fontId="11" fillId="0" borderId="114" xfId="0" applyNumberFormat="1" applyFont="1" applyFill="1" applyBorder="1" applyAlignment="1">
      <alignment horizontal="center" vertical="center"/>
    </xf>
    <xf numFmtId="1" fontId="11" fillId="0" borderId="115" xfId="0" applyNumberFormat="1" applyFont="1" applyFill="1" applyBorder="1" applyAlignment="1">
      <alignment horizontal="center" vertical="center"/>
    </xf>
    <xf numFmtId="1" fontId="15" fillId="0" borderId="110" xfId="0" applyNumberFormat="1" applyFont="1" applyFill="1" applyBorder="1" applyAlignment="1">
      <alignment horizontal="center" vertical="center"/>
    </xf>
    <xf numFmtId="1" fontId="15" fillId="0" borderId="111" xfId="0" applyNumberFormat="1" applyFont="1" applyFill="1" applyBorder="1" applyAlignment="1">
      <alignment horizontal="center" vertical="center"/>
    </xf>
    <xf numFmtId="1" fontId="15" fillId="0" borderId="112" xfId="0" applyNumberFormat="1" applyFont="1" applyFill="1" applyBorder="1" applyAlignment="1">
      <alignment horizontal="center" vertical="center"/>
    </xf>
    <xf numFmtId="1" fontId="15" fillId="0" borderId="113" xfId="0" applyNumberFormat="1" applyFont="1" applyFill="1" applyBorder="1" applyAlignment="1">
      <alignment horizontal="center" vertical="center"/>
    </xf>
    <xf numFmtId="1" fontId="15" fillId="0" borderId="114" xfId="0" applyNumberFormat="1" applyFont="1" applyFill="1" applyBorder="1" applyAlignment="1">
      <alignment horizontal="center" vertical="center"/>
    </xf>
    <xf numFmtId="1" fontId="15" fillId="0" borderId="115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49" fontId="24" fillId="22" borderId="18" xfId="0" applyNumberFormat="1" applyFont="1" applyFill="1" applyBorder="1" applyAlignment="1">
      <alignment horizontal="center" vertical="center"/>
    </xf>
    <xf numFmtId="0" fontId="28" fillId="25" borderId="18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/>
    </xf>
    <xf numFmtId="0" fontId="0" fillId="0" borderId="0" xfId="0" applyAlignment="1">
      <alignment horizontal="center"/>
    </xf>
    <xf numFmtId="0" fontId="37" fillId="0" borderId="35" xfId="0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28" fillId="8" borderId="33" xfId="0" applyFont="1" applyFill="1" applyBorder="1" applyAlignment="1">
      <alignment horizontal="center" vertical="center"/>
    </xf>
    <xf numFmtId="0" fontId="28" fillId="8" borderId="34" xfId="0" applyFont="1" applyFill="1" applyBorder="1" applyAlignment="1">
      <alignment horizontal="center" vertical="center"/>
    </xf>
    <xf numFmtId="9" fontId="28" fillId="26" borderId="33" xfId="0" applyNumberFormat="1" applyFont="1" applyFill="1" applyBorder="1" applyAlignment="1">
      <alignment horizontal="center" vertical="center"/>
    </xf>
    <xf numFmtId="9" fontId="28" fillId="26" borderId="34" xfId="0" applyNumberFormat="1" applyFont="1" applyFill="1" applyBorder="1" applyAlignment="1">
      <alignment horizontal="center" vertical="center"/>
    </xf>
    <xf numFmtId="0" fontId="28" fillId="8" borderId="33" xfId="0" applyFont="1" applyFill="1" applyBorder="1" applyAlignment="1" applyProtection="1">
      <alignment horizontal="center" vertical="center"/>
      <protection locked="0"/>
    </xf>
    <xf numFmtId="0" fontId="28" fillId="8" borderId="39" xfId="0" applyFont="1" applyFill="1" applyBorder="1" applyAlignment="1" applyProtection="1">
      <alignment horizontal="center" vertical="center"/>
      <protection locked="0"/>
    </xf>
    <xf numFmtId="0" fontId="28" fillId="8" borderId="34" xfId="0" applyFont="1" applyFill="1" applyBorder="1" applyAlignment="1" applyProtection="1">
      <alignment horizontal="center" vertical="center"/>
      <protection locked="0"/>
    </xf>
    <xf numFmtId="9" fontId="28" fillId="26" borderId="39" xfId="0" applyNumberFormat="1" applyFont="1" applyFill="1" applyBorder="1" applyAlignment="1">
      <alignment horizontal="center" vertical="center"/>
    </xf>
    <xf numFmtId="0" fontId="31" fillId="13" borderId="33" xfId="0" applyFont="1" applyFill="1" applyBorder="1" applyAlignment="1">
      <alignment horizontal="center" vertical="center"/>
    </xf>
    <xf numFmtId="0" fontId="31" fillId="13" borderId="39" xfId="0" applyFont="1" applyFill="1" applyBorder="1" applyAlignment="1">
      <alignment horizontal="center" vertical="center"/>
    </xf>
    <xf numFmtId="0" fontId="31" fillId="13" borderId="34" xfId="0" applyFont="1" applyFill="1" applyBorder="1" applyAlignment="1">
      <alignment horizontal="center" vertical="center"/>
    </xf>
    <xf numFmtId="49" fontId="24" fillId="22" borderId="0" xfId="0" applyNumberFormat="1" applyFont="1" applyFill="1" applyBorder="1" applyAlignment="1">
      <alignment horizontal="center" vertical="center"/>
    </xf>
    <xf numFmtId="49" fontId="24" fillId="22" borderId="6" xfId="0" applyNumberFormat="1" applyFont="1" applyFill="1" applyBorder="1" applyAlignment="1">
      <alignment horizontal="center" vertical="center"/>
    </xf>
    <xf numFmtId="0" fontId="28" fillId="16" borderId="33" xfId="0" applyFont="1" applyFill="1" applyBorder="1" applyAlignment="1">
      <alignment horizontal="center" vertical="center"/>
    </xf>
    <xf numFmtId="0" fontId="28" fillId="16" borderId="39" xfId="0" applyFont="1" applyFill="1" applyBorder="1" applyAlignment="1">
      <alignment horizontal="center" vertical="center"/>
    </xf>
    <xf numFmtId="0" fontId="28" fillId="16" borderId="34" xfId="0" applyFont="1" applyFill="1" applyBorder="1" applyAlignment="1">
      <alignment horizontal="center" vertical="center"/>
    </xf>
    <xf numFmtId="10" fontId="28" fillId="10" borderId="33" xfId="0" applyNumberFormat="1" applyFont="1" applyFill="1" applyBorder="1" applyAlignment="1">
      <alignment horizontal="center" vertical="center"/>
    </xf>
    <xf numFmtId="10" fontId="28" fillId="10" borderId="34" xfId="0" applyNumberFormat="1" applyFont="1" applyFill="1" applyBorder="1" applyAlignment="1">
      <alignment horizontal="center" vertical="center"/>
    </xf>
    <xf numFmtId="10" fontId="28" fillId="17" borderId="33" xfId="0" applyNumberFormat="1" applyFont="1" applyFill="1" applyBorder="1" applyAlignment="1">
      <alignment horizontal="center" vertical="center"/>
    </xf>
    <xf numFmtId="10" fontId="28" fillId="17" borderId="39" xfId="0" applyNumberFormat="1" applyFont="1" applyFill="1" applyBorder="1" applyAlignment="1">
      <alignment horizontal="center" vertical="center"/>
    </xf>
    <xf numFmtId="10" fontId="28" fillId="17" borderId="34" xfId="0" applyNumberFormat="1" applyFont="1" applyFill="1" applyBorder="1" applyAlignment="1">
      <alignment horizontal="center" vertical="center"/>
    </xf>
    <xf numFmtId="0" fontId="28" fillId="16" borderId="94" xfId="0" applyFont="1" applyFill="1" applyBorder="1" applyAlignment="1">
      <alignment horizontal="center" vertical="center" wrapText="1"/>
    </xf>
    <xf numFmtId="0" fontId="28" fillId="16" borderId="105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29" fillId="16" borderId="94" xfId="0" applyFont="1" applyFill="1" applyBorder="1" applyAlignment="1" applyProtection="1">
      <alignment horizontal="center" vertical="center" wrapText="1"/>
    </xf>
    <xf numFmtId="0" fontId="29" fillId="16" borderId="105" xfId="0" applyFont="1" applyFill="1" applyBorder="1" applyAlignment="1" applyProtection="1">
      <alignment horizontal="center" vertical="center" wrapText="1"/>
    </xf>
    <xf numFmtId="0" fontId="26" fillId="12" borderId="33" xfId="0" applyFont="1" applyFill="1" applyBorder="1" applyAlignment="1">
      <alignment horizontal="center" vertical="center"/>
    </xf>
    <xf numFmtId="0" fontId="26" fillId="12" borderId="39" xfId="0" applyFont="1" applyFill="1" applyBorder="1" applyAlignment="1">
      <alignment horizontal="center" vertical="center"/>
    </xf>
    <xf numFmtId="0" fontId="26" fillId="12" borderId="34" xfId="0" applyFont="1" applyFill="1" applyBorder="1" applyAlignment="1">
      <alignment horizontal="center" vertical="center"/>
    </xf>
    <xf numFmtId="0" fontId="28" fillId="10" borderId="94" xfId="0" applyFont="1" applyFill="1" applyBorder="1" applyAlignment="1">
      <alignment horizontal="center" vertical="center"/>
    </xf>
    <xf numFmtId="0" fontId="28" fillId="10" borderId="105" xfId="0" applyFont="1" applyFill="1" applyBorder="1" applyAlignment="1">
      <alignment horizontal="center" vertical="center"/>
    </xf>
    <xf numFmtId="0" fontId="29" fillId="10" borderId="94" xfId="0" applyFont="1" applyFill="1" applyBorder="1" applyAlignment="1">
      <alignment horizontal="center" vertical="center" wrapText="1"/>
    </xf>
    <xf numFmtId="0" fontId="29" fillId="10" borderId="105" xfId="0" applyFont="1" applyFill="1" applyBorder="1" applyAlignment="1">
      <alignment horizontal="center" vertical="center" wrapText="1"/>
    </xf>
    <xf numFmtId="0" fontId="28" fillId="10" borderId="126" xfId="0" applyFont="1" applyFill="1" applyBorder="1" applyAlignment="1">
      <alignment horizontal="right" vertical="center"/>
    </xf>
    <xf numFmtId="0" fontId="28" fillId="10" borderId="125" xfId="0" applyFont="1" applyFill="1" applyBorder="1" applyAlignment="1">
      <alignment horizontal="right" vertical="center"/>
    </xf>
    <xf numFmtId="0" fontId="28" fillId="0" borderId="122" xfId="0" applyFont="1" applyFill="1" applyBorder="1" applyAlignment="1">
      <alignment horizontal="center" vertical="center"/>
    </xf>
    <xf numFmtId="0" fontId="28" fillId="0" borderId="144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28" fillId="43" borderId="0" xfId="0" applyFont="1" applyFill="1" applyBorder="1" applyAlignment="1">
      <alignment horizontal="center" vertical="center"/>
    </xf>
    <xf numFmtId="0" fontId="28" fillId="43" borderId="11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9" fillId="0" borderId="0" xfId="0" applyFont="1" applyBorder="1" applyAlignment="1">
      <alignment horizontal="left"/>
    </xf>
    <xf numFmtId="0" fontId="46" fillId="10" borderId="128" xfId="0" applyFont="1" applyFill="1" applyBorder="1" applyAlignment="1">
      <alignment horizontal="center" vertical="center"/>
    </xf>
    <xf numFmtId="0" fontId="46" fillId="10" borderId="118" xfId="0" applyFont="1" applyFill="1" applyBorder="1" applyAlignment="1">
      <alignment horizontal="center" vertical="center"/>
    </xf>
    <xf numFmtId="0" fontId="46" fillId="10" borderId="136" xfId="0" applyFont="1" applyFill="1" applyBorder="1" applyAlignment="1" applyProtection="1">
      <alignment horizontal="center" vertical="center"/>
      <protection locked="0"/>
    </xf>
    <xf numFmtId="0" fontId="46" fillId="10" borderId="137" xfId="0" applyFont="1" applyFill="1" applyBorder="1" applyAlignment="1" applyProtection="1">
      <alignment horizontal="center" vertical="center"/>
      <protection locked="0"/>
    </xf>
    <xf numFmtId="10" fontId="46" fillId="10" borderId="123" xfId="0" applyNumberFormat="1" applyFont="1" applyFill="1" applyBorder="1" applyAlignment="1">
      <alignment horizontal="center" vertical="center"/>
    </xf>
    <xf numFmtId="10" fontId="46" fillId="10" borderId="34" xfId="0" applyNumberFormat="1" applyFont="1" applyFill="1" applyBorder="1" applyAlignment="1">
      <alignment horizontal="center" vertical="center"/>
    </xf>
    <xf numFmtId="10" fontId="46" fillId="10" borderId="39" xfId="0" applyNumberFormat="1" applyFont="1" applyFill="1" applyBorder="1" applyAlignment="1">
      <alignment horizontal="center" vertical="center"/>
    </xf>
    <xf numFmtId="10" fontId="46" fillId="10" borderId="132" xfId="0" applyNumberFormat="1" applyFont="1" applyFill="1" applyBorder="1" applyAlignment="1">
      <alignment horizontal="center" vertical="center"/>
    </xf>
    <xf numFmtId="0" fontId="28" fillId="8" borderId="127" xfId="0" applyFont="1" applyFill="1" applyBorder="1" applyAlignment="1">
      <alignment horizontal="center" vertical="center"/>
    </xf>
    <xf numFmtId="0" fontId="28" fillId="8" borderId="117" xfId="0" applyFont="1" applyFill="1" applyBorder="1" applyAlignment="1">
      <alignment horizontal="center" vertical="center"/>
    </xf>
    <xf numFmtId="0" fontId="28" fillId="8" borderId="139" xfId="0" applyFont="1" applyFill="1" applyBorder="1" applyAlignment="1" applyProtection="1">
      <alignment horizontal="center" vertical="center"/>
      <protection locked="0"/>
    </xf>
    <xf numFmtId="0" fontId="28" fillId="8" borderId="140" xfId="0" applyFont="1" applyFill="1" applyBorder="1" applyAlignment="1" applyProtection="1">
      <alignment horizontal="center" vertical="center"/>
      <protection locked="0"/>
    </xf>
    <xf numFmtId="9" fontId="28" fillId="37" borderId="129" xfId="0" applyNumberFormat="1" applyFont="1" applyFill="1" applyBorder="1" applyAlignment="1">
      <alignment horizontal="center" vertical="center"/>
    </xf>
    <xf numFmtId="9" fontId="28" fillId="37" borderId="141" xfId="0" applyNumberFormat="1" applyFont="1" applyFill="1" applyBorder="1" applyAlignment="1">
      <alignment horizontal="center" vertical="center"/>
    </xf>
    <xf numFmtId="9" fontId="28" fillId="37" borderId="143" xfId="0" applyNumberFormat="1" applyFont="1" applyFill="1" applyBorder="1" applyAlignment="1">
      <alignment horizontal="center" vertical="center"/>
    </xf>
    <xf numFmtId="9" fontId="28" fillId="37" borderId="148" xfId="0" applyNumberFormat="1" applyFont="1" applyFill="1" applyBorder="1" applyAlignment="1">
      <alignment horizontal="center" vertical="center"/>
    </xf>
    <xf numFmtId="9" fontId="28" fillId="37" borderId="115" xfId="0" applyNumberFormat="1" applyFont="1" applyFill="1" applyBorder="1" applyAlignment="1">
      <alignment horizontal="center" vertical="center"/>
    </xf>
    <xf numFmtId="10" fontId="46" fillId="10" borderId="128" xfId="0" applyNumberFormat="1" applyFont="1" applyFill="1" applyBorder="1" applyAlignment="1">
      <alignment horizontal="center" vertical="center"/>
    </xf>
    <xf numFmtId="10" fontId="46" fillId="10" borderId="118" xfId="0" applyNumberFormat="1" applyFont="1" applyFill="1" applyBorder="1" applyAlignment="1">
      <alignment horizontal="center" vertical="center"/>
    </xf>
    <xf numFmtId="9" fontId="28" fillId="8" borderId="127" xfId="0" applyNumberFormat="1" applyFont="1" applyFill="1" applyBorder="1" applyAlignment="1">
      <alignment horizontal="center" vertical="center"/>
    </xf>
  </cellXfs>
  <cellStyles count="20">
    <cellStyle name="Milliers" xfId="9" builtinId="3"/>
    <cellStyle name="Milliers 2" xfId="19"/>
    <cellStyle name="Normal" xfId="0" builtinId="0"/>
    <cellStyle name="Normal 2" xfId="2"/>
    <cellStyle name="Normal 2 2" xfId="6"/>
    <cellStyle name="Normal 2 2 2" xfId="16"/>
    <cellStyle name="Normal 2 3" xfId="13"/>
    <cellStyle name="Normal 3" xfId="3"/>
    <cellStyle name="Normal 3 2" xfId="14"/>
    <cellStyle name="Normal 4" xfId="4"/>
    <cellStyle name="Normal 5" xfId="5"/>
    <cellStyle name="Normal 5 2" xfId="15"/>
    <cellStyle name="Normal 6" xfId="7"/>
    <cellStyle name="Normal 6 2" xfId="17"/>
    <cellStyle name="Normal 7" xfId="8"/>
    <cellStyle name="Normal 7 2" xfId="18"/>
    <cellStyle name="Normal 8" xfId="11"/>
    <cellStyle name="Normal 9" xfId="10"/>
    <cellStyle name="Pourcentage" xfId="1" builtinId="5"/>
    <cellStyle name="Pourcentage 2" xfId="12"/>
  </cellStyles>
  <dxfs count="4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0000"/>
        </patternFill>
      </fill>
    </dxf>
    <dxf>
      <font>
        <color theme="1"/>
      </font>
      <fill>
        <patternFill>
          <f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0000"/>
        </patternFill>
      </fill>
    </dxf>
    <dxf>
      <font>
        <color theme="1"/>
      </font>
      <fill>
        <patternFill>
          <f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0000"/>
        </patternFill>
      </fill>
    </dxf>
    <dxf>
      <font>
        <color theme="1"/>
      </font>
      <fill>
        <patternFill>
          <f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0000"/>
        </patternFill>
      </fill>
    </dxf>
    <dxf>
      <font>
        <color theme="1"/>
      </font>
      <fill>
        <patternFill>
          <f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0000"/>
        </patternFill>
      </fill>
    </dxf>
    <dxf>
      <font>
        <color theme="1"/>
      </font>
      <fill>
        <patternFill>
          <f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0000"/>
        </patternFill>
      </fill>
    </dxf>
    <dxf>
      <font>
        <color theme="1"/>
      </font>
      <fill>
        <patternFill>
          <f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0000"/>
        </patternFill>
      </fill>
    </dxf>
    <dxf>
      <font>
        <color theme="1"/>
      </font>
      <fill>
        <patternFill>
          <fgColor rgb="FFFF0000"/>
        </patternFill>
      </fill>
    </dxf>
  </dxfs>
  <tableStyles count="0" defaultTableStyle="TableStyleMedium9" defaultPivotStyle="PivotStyleLight16"/>
  <colors>
    <mruColors>
      <color rgb="FFFFCCCC"/>
      <color rgb="FFFFCC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777827932143228E-2"/>
          <c:y val="6.563718937995705E-2"/>
          <c:w val="0.8213340462969152"/>
          <c:h val="0.81467335053946865"/>
        </c:manualLayout>
      </c:layout>
      <c:lineChart>
        <c:grouping val="standard"/>
        <c:varyColors val="0"/>
        <c:ser>
          <c:idx val="0"/>
          <c:order val="0"/>
          <c:tx>
            <c:strRef>
              <c:f>'JANVIER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'JANVIER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'JANVIER 15'!$J$44:$J$55</c:f>
              <c:numCache>
                <c:formatCode>0.00%</c:formatCode>
                <c:ptCount val="12"/>
                <c:pt idx="0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'JANVIER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cat>
            <c:strRef>
              <c:f>'JANVIER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'JANVIER 15'!$L$44:$L$55</c:f>
              <c:numCache>
                <c:formatCode>0.00%</c:formatCode>
                <c:ptCount val="12"/>
                <c:pt idx="0">
                  <c:v>0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'JANVIER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'JANVIER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'JANVIER 15'!$Q$44:$Q$55</c:f>
              <c:numCache>
                <c:formatCode>0.00%</c:formatCode>
                <c:ptCount val="12"/>
                <c:pt idx="0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'JANVIER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'JANVIER 15'!$H$44:$H$55</c:f>
              <c:numCache>
                <c:formatCode>0.00%</c:formatCode>
                <c:ptCount val="12"/>
                <c:pt idx="0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'JANVIER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'JANVIER 15'!$N$44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082432"/>
        <c:axId val="124454016"/>
      </c:lineChart>
      <c:catAx>
        <c:axId val="124082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445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454016"/>
        <c:scaling>
          <c:orientation val="minMax"/>
          <c:max val="0.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4082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9244521913648089"/>
          <c:y val="7.3359211659952003E-2"/>
          <c:w val="0.10311120061736165"/>
          <c:h val="0.8185343616794644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435139400168565E-2"/>
          <c:y val="5.6603877881555652E-2"/>
          <c:w val="0.81393167693471691"/>
          <c:h val="0.8905676786698089"/>
        </c:manualLayout>
      </c:layout>
      <c:lineChart>
        <c:grouping val="standard"/>
        <c:varyColors val="0"/>
        <c:ser>
          <c:idx val="0"/>
          <c:order val="0"/>
          <c:tx>
            <c:strRef>
              <c:f>'FEVRIER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'FEVRIER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'FEVRIER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'FEVRIER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'FEVRIER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'FEVRIER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'FEVRIER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'FEVRIER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'FEVRIER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'FEVRIER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'FEVRIER 15'!$N$44:$N$45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062656"/>
        <c:axId val="137069312"/>
      </c:lineChart>
      <c:catAx>
        <c:axId val="137062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706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069312"/>
        <c:scaling>
          <c:orientation val="minMax"/>
          <c:max val="0.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7062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78630044313408"/>
          <c:y val="8.6792612751718651E-2"/>
          <c:w val="0.11545806906107835"/>
          <c:h val="0.8377373926470236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656521003792021E-2"/>
          <c:y val="6.3197026022304828E-2"/>
          <c:w val="0.8015270910025285"/>
          <c:h val="0.8773234200743496"/>
        </c:manualLayout>
      </c:layout>
      <c:lineChart>
        <c:grouping val="standard"/>
        <c:varyColors val="0"/>
        <c:ser>
          <c:idx val="0"/>
          <c:order val="0"/>
          <c:tx>
            <c:strRef>
              <c:f>'MARS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'MARS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'MARS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'MARS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'MARS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'MARS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'MARS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'MARS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'MARS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'MARS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'MARS 15'!$N$44:$N$55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973760"/>
        <c:axId val="95975680"/>
      </c:lineChart>
      <c:catAx>
        <c:axId val="95973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97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975680"/>
        <c:scaling>
          <c:orientation val="minMax"/>
          <c:max val="0.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973760"/>
        <c:crosses val="autoZero"/>
        <c:crossBetween val="between"/>
        <c:majorUnit val="0.05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454239685635383"/>
          <c:y val="9.2936802973978244E-2"/>
          <c:w val="0.11164127338963822"/>
          <c:h val="0.817843866171009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022929660909963E-2"/>
          <c:y val="5.9701601310346263E-2"/>
          <c:w val="0.80820648342754953"/>
          <c:h val="0.8843299694094886"/>
        </c:manualLayout>
      </c:layout>
      <c:lineChart>
        <c:grouping val="standard"/>
        <c:varyColors val="0"/>
        <c:ser>
          <c:idx val="0"/>
          <c:order val="0"/>
          <c:tx>
            <c:strRef>
              <c:f>'AVRIL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'AVRIL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'AVRIL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'AVRIL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'AVRIL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'AVRIL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'AVRIL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'AVRIL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'AVRIL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'AVRIL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'AVRIL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'AVRIL 15'!$N$44:$N$55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999104"/>
        <c:axId val="96001024"/>
      </c:lineChart>
      <c:catAx>
        <c:axId val="95999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600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0010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999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263399902063622"/>
          <c:y val="8.2089701801722897E-2"/>
          <c:w val="0.10591607988247699"/>
          <c:h val="0.813434317853453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384615384615402E-2"/>
          <c:y val="5.9479553903345833E-2"/>
          <c:w val="0.81346153846153868"/>
          <c:h val="0.88475836431226085"/>
        </c:manualLayout>
      </c:layout>
      <c:lineChart>
        <c:grouping val="standard"/>
        <c:varyColors val="0"/>
        <c:ser>
          <c:idx val="0"/>
          <c:order val="0"/>
          <c:tx>
            <c:strRef>
              <c:f>'MAI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'MAI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'MAI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'MAI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'MAI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'MAI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'MAI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'MAI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'MAI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'MAI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'MAI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'MAI 15'!$N$44:$N$55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501568"/>
        <c:axId val="101503744"/>
      </c:lineChart>
      <c:catAx>
        <c:axId val="101501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1503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5037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15015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846153846153841"/>
          <c:y val="7.8066914498142279E-2"/>
          <c:w val="0.10673076923077009"/>
          <c:h val="0.821561338289962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30769230769235E-2"/>
          <c:y val="5.9925312812034802E-2"/>
          <c:w val="0.80865384615385316"/>
          <c:h val="0.88389836397751342"/>
        </c:manualLayout>
      </c:layout>
      <c:lineChart>
        <c:grouping val="standard"/>
        <c:varyColors val="0"/>
        <c:ser>
          <c:idx val="0"/>
          <c:order val="0"/>
          <c:tx>
            <c:strRef>
              <c:f>'JUIN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'JUIN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'JUIN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'JUIN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'JUIN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'JUIN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'JUIN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'JUIN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'JUIN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'JUIN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'JUIN 15'!$N$44:$N$55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552128"/>
        <c:axId val="101554048"/>
      </c:lineChart>
      <c:catAx>
        <c:axId val="101552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1554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5540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15521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942307692307765"/>
          <c:y val="7.8651973065795688E-2"/>
          <c:w val="0.10673076923077009"/>
          <c:h val="0.8239730511654853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30769230769235E-2"/>
          <c:y val="5.9259473594739563E-2"/>
          <c:w val="0.80961538461538463"/>
          <c:h val="0.88518838682141621"/>
        </c:manualLayout>
      </c:layout>
      <c:lineChart>
        <c:grouping val="standard"/>
        <c:varyColors val="0"/>
        <c:ser>
          <c:idx val="0"/>
          <c:order val="0"/>
          <c:tx>
            <c:strRef>
              <c:f>'JUILLET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'JUILLET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'JUILLET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'JUILLET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'JUILLET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'JUILLET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'JUILLET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'JUILLET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'JUILLET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'JUILLET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'JUILLET 15'!$N$44:$N$55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696256"/>
        <c:axId val="101698176"/>
      </c:lineChart>
      <c:catAx>
        <c:axId val="101696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169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6981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16962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846153846153841"/>
          <c:y val="0.12222266428915181"/>
          <c:w val="0.10673076923077009"/>
          <c:h val="0.814817761927657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30769230769235E-2"/>
          <c:y val="5.9701601310346263E-2"/>
          <c:w val="0.80865384615385316"/>
          <c:h val="0.8843299694094886"/>
        </c:manualLayout>
      </c:layout>
      <c:lineChart>
        <c:grouping val="standard"/>
        <c:varyColors val="0"/>
        <c:ser>
          <c:idx val="0"/>
          <c:order val="0"/>
          <c:tx>
            <c:strRef>
              <c:f>'AOUT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'AOUT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'AOUT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'AOUT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'AOUT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'AOUT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'AOUT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'AOUT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'AOUT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'AOUT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'AOUT 15'!$N$44:$N$55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795712"/>
        <c:axId val="101797888"/>
      </c:lineChart>
      <c:catAx>
        <c:axId val="101795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179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7978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17957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846153846153841"/>
          <c:y val="0.10074645221120863"/>
          <c:w val="0.10673076923077009"/>
          <c:h val="0.820897018017246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30769230769235E-2"/>
          <c:y val="5.9925312812034802E-2"/>
          <c:w val="0.80865384615385316"/>
          <c:h val="0.88389836397751342"/>
        </c:manualLayout>
      </c:layout>
      <c:lineChart>
        <c:grouping val="standard"/>
        <c:varyColors val="0"/>
        <c:ser>
          <c:idx val="0"/>
          <c:order val="0"/>
          <c:tx>
            <c:strRef>
              <c:f>'SEPTEMBRE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'SEPTEMBRE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'SEPTEMBRE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'SEPTEMBRE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'SEPTEMBRE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'SEPTEMBRE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'SEPTEMBRE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'SEPTEMBRE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'SEPTEMBRE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'SEPTEMBRE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'SEPTEMBRE 15'!$N$44:$N$55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895168"/>
        <c:axId val="112727168"/>
      </c:lineChart>
      <c:catAx>
        <c:axId val="101895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72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27271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18951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942307692307765"/>
          <c:y val="7.8651973065795688E-2"/>
          <c:w val="0.10673076923077009"/>
          <c:h val="0.8314637152669825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 paperSize="9" orientation="landscape" horizontalDpi="-3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30769230769235E-2"/>
          <c:y val="5.9479553903345833E-2"/>
          <c:w val="0.80865384615385316"/>
          <c:h val="0.88475836431226085"/>
        </c:manualLayout>
      </c:layout>
      <c:lineChart>
        <c:grouping val="standard"/>
        <c:varyColors val="0"/>
        <c:ser>
          <c:idx val="0"/>
          <c:order val="0"/>
          <c:tx>
            <c:strRef>
              <c:f>'OCTOBRE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'OCTOBRE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'OCTOBRE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'OCTOBRE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'OCTOBRE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'OCTOBRE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'OCTOBRE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'OCTOBRE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'OCTOBRE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'OCTOBRE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'OCTOBRE 15'!$N$44:$N$55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55072"/>
        <c:axId val="112756992"/>
      </c:lineChart>
      <c:catAx>
        <c:axId val="112755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75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27569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755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942307692307765"/>
          <c:y val="8.5501858736061212E-2"/>
          <c:w val="0.10673076923077009"/>
          <c:h val="0.832713754646840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30769230769235E-2"/>
          <c:y val="5.9701601310346263E-2"/>
          <c:w val="0.80865384615385316"/>
          <c:h val="0.8843299694094886"/>
        </c:manualLayout>
      </c:layout>
      <c:lineChart>
        <c:grouping val="standard"/>
        <c:varyColors val="0"/>
        <c:ser>
          <c:idx val="0"/>
          <c:order val="0"/>
          <c:tx>
            <c:strRef>
              <c:f>'NOVEMBRE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'NOVEMBRE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'NOVEMBRE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'NOVEMBRE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'NOVEMBRE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'NOVEMBRE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'NOVEMBRE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'NOVEMBRE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'NOVEMBRE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'NOVEMBRE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'NOVEMBRE 15'!$N$44:$N$55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875008"/>
        <c:axId val="112876928"/>
      </c:lineChart>
      <c:catAx>
        <c:axId val="112875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87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28769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875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942307692307765"/>
          <c:y val="0.10074645221120863"/>
          <c:w val="0.10673076923077009"/>
          <c:h val="0.8059716176896689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237380259862769E-2"/>
          <c:y val="5.9925312812034802E-2"/>
          <c:w val="0.81692768987163544"/>
          <c:h val="0.88389836397751342"/>
        </c:manualLayout>
      </c:layout>
      <c:lineChart>
        <c:grouping val="standard"/>
        <c:varyColors val="0"/>
        <c:ser>
          <c:idx val="0"/>
          <c:order val="0"/>
          <c:tx>
            <c:strRef>
              <c:f>'DECEMBRE 15'!$J$42</c:f>
              <c:strCache>
                <c:ptCount val="1"/>
                <c:pt idx="0">
                  <c:v>MC FOOD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'DECEMBRE 15'!$A$44:$A$55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'DECEMBRE 15'!$J$44:$J$55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'DECEMBRE 15'!$L$42</c:f>
              <c:strCache>
                <c:ptCount val="1"/>
                <c:pt idx="0">
                  <c:v>MC BEV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'DECEMBRE 15'!$L$44:$L$55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'DECEMBRE 15'!$Q$42</c:f>
              <c:strCache>
                <c:ptCount val="1"/>
                <c:pt idx="0">
                  <c:v>MC TOTAL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'DECEMBRE 15'!$Q$44:$Q$55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'DECEMBRE 15'!$H$42</c:f>
              <c:strCache>
                <c:ptCount val="1"/>
                <c:pt idx="0">
                  <c:v>MC PUB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'DECEMBRE 15'!$H$44:$H$55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'DECEMBRE 15'!$N$42</c:f>
              <c:strCache>
                <c:ptCount val="1"/>
                <c:pt idx="0">
                  <c:v>MC MB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'DECEMBRE 15'!$N$44:$N$55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384064"/>
        <c:axId val="113423104"/>
      </c:lineChart>
      <c:catAx>
        <c:axId val="113384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342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4231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33840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9328466989342659"/>
          <c:y val="9.7378633319556512E-2"/>
          <c:w val="0.10211596123395512"/>
          <c:h val="0.816482387063973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267" footer="0.4921259845000026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55</xdr:row>
      <xdr:rowOff>85725</xdr:rowOff>
    </xdr:from>
    <xdr:to>
      <xdr:col>18</xdr:col>
      <xdr:colOff>9525</xdr:colOff>
      <xdr:row>72</xdr:row>
      <xdr:rowOff>114300</xdr:rowOff>
    </xdr:to>
    <xdr:graphicFrame macro="">
      <xdr:nvGraphicFramePr>
        <xdr:cNvPr id="440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55</xdr:row>
      <xdr:rowOff>95250</xdr:rowOff>
    </xdr:from>
    <xdr:to>
      <xdr:col>18</xdr:col>
      <xdr:colOff>9525</xdr:colOff>
      <xdr:row>73</xdr:row>
      <xdr:rowOff>38100</xdr:rowOff>
    </xdr:to>
    <xdr:graphicFrame macro="">
      <xdr:nvGraphicFramePr>
        <xdr:cNvPr id="450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57150</xdr:rowOff>
    </xdr:from>
    <xdr:to>
      <xdr:col>18</xdr:col>
      <xdr:colOff>0</xdr:colOff>
      <xdr:row>73</xdr:row>
      <xdr:rowOff>38100</xdr:rowOff>
    </xdr:to>
    <xdr:graphicFrame macro="">
      <xdr:nvGraphicFramePr>
        <xdr:cNvPr id="460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55</xdr:row>
      <xdr:rowOff>66675</xdr:rowOff>
    </xdr:from>
    <xdr:to>
      <xdr:col>18</xdr:col>
      <xdr:colOff>9525</xdr:colOff>
      <xdr:row>73</xdr:row>
      <xdr:rowOff>38100</xdr:rowOff>
    </xdr:to>
    <xdr:graphicFrame macro="">
      <xdr:nvGraphicFramePr>
        <xdr:cNvPr id="471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55</xdr:row>
      <xdr:rowOff>76200</xdr:rowOff>
    </xdr:from>
    <xdr:to>
      <xdr:col>18</xdr:col>
      <xdr:colOff>19050</xdr:colOff>
      <xdr:row>73</xdr:row>
      <xdr:rowOff>57150</xdr:rowOff>
    </xdr:to>
    <xdr:graphicFrame macro="">
      <xdr:nvGraphicFramePr>
        <xdr:cNvPr id="4812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28575</xdr:rowOff>
    </xdr:from>
    <xdr:to>
      <xdr:col>18</xdr:col>
      <xdr:colOff>0</xdr:colOff>
      <xdr:row>72</xdr:row>
      <xdr:rowOff>133350</xdr:rowOff>
    </xdr:to>
    <xdr:graphicFrame macro="">
      <xdr:nvGraphicFramePr>
        <xdr:cNvPr id="491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28575</xdr:rowOff>
    </xdr:from>
    <xdr:to>
      <xdr:col>18</xdr:col>
      <xdr:colOff>0</xdr:colOff>
      <xdr:row>73</xdr:row>
      <xdr:rowOff>19050</xdr:rowOff>
    </xdr:to>
    <xdr:graphicFrame macro="">
      <xdr:nvGraphicFramePr>
        <xdr:cNvPr id="5017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47625</xdr:rowOff>
    </xdr:from>
    <xdr:to>
      <xdr:col>18</xdr:col>
      <xdr:colOff>0</xdr:colOff>
      <xdr:row>73</xdr:row>
      <xdr:rowOff>19050</xdr:rowOff>
    </xdr:to>
    <xdr:graphicFrame macro="">
      <xdr:nvGraphicFramePr>
        <xdr:cNvPr id="512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85725</xdr:rowOff>
    </xdr:from>
    <xdr:to>
      <xdr:col>18</xdr:col>
      <xdr:colOff>0</xdr:colOff>
      <xdr:row>73</xdr:row>
      <xdr:rowOff>47625</xdr:rowOff>
    </xdr:to>
    <xdr:graphicFrame macro="">
      <xdr:nvGraphicFramePr>
        <xdr:cNvPr id="5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28575</xdr:rowOff>
    </xdr:from>
    <xdr:to>
      <xdr:col>18</xdr:col>
      <xdr:colOff>0</xdr:colOff>
      <xdr:row>73</xdr:row>
      <xdr:rowOff>9525</xdr:rowOff>
    </xdr:to>
    <xdr:graphicFrame macro="">
      <xdr:nvGraphicFramePr>
        <xdr:cNvPr id="532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85725</xdr:rowOff>
    </xdr:from>
    <xdr:to>
      <xdr:col>18</xdr:col>
      <xdr:colOff>0</xdr:colOff>
      <xdr:row>73</xdr:row>
      <xdr:rowOff>57150</xdr:rowOff>
    </xdr:to>
    <xdr:graphicFrame macro="">
      <xdr:nvGraphicFramePr>
        <xdr:cNvPr id="542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28575</xdr:rowOff>
    </xdr:from>
    <xdr:to>
      <xdr:col>18</xdr:col>
      <xdr:colOff>0</xdr:colOff>
      <xdr:row>72</xdr:row>
      <xdr:rowOff>133350</xdr:rowOff>
    </xdr:to>
    <xdr:graphicFrame macro="">
      <xdr:nvGraphicFramePr>
        <xdr:cNvPr id="552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</xdr:row>
          <xdr:rowOff>0</xdr:rowOff>
        </xdr:from>
        <xdr:to>
          <xdr:col>3</xdr:col>
          <xdr:colOff>180975</xdr:colOff>
          <xdr:row>1</xdr:row>
          <xdr:rowOff>219075</xdr:rowOff>
        </xdr:to>
        <xdr:sp macro="" textlink="">
          <xdr:nvSpPr>
            <xdr:cNvPr id="77832" name="cboMois" hidden="1">
              <a:extLst>
                <a:ext uri="{63B3BB69-23CF-44E3-9099-C40C66FF867C}">
                  <a14:compatExt spid="_x0000_s77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2</xdr:row>
          <xdr:rowOff>133350</xdr:rowOff>
        </xdr:from>
        <xdr:to>
          <xdr:col>3</xdr:col>
          <xdr:colOff>66675</xdr:colOff>
          <xdr:row>4</xdr:row>
          <xdr:rowOff>76200</xdr:rowOff>
        </xdr:to>
        <xdr:sp macro="" textlink="">
          <xdr:nvSpPr>
            <xdr:cNvPr id="77833" name="cmdCopierMois" hidden="1">
              <a:extLst>
                <a:ext uri="{63B3BB69-23CF-44E3-9099-C40C66FF867C}">
                  <a14:compatExt spid="_x0000_s77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3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7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52"/>
    <pageSetUpPr fitToPage="1"/>
  </sheetPr>
  <dimension ref="A1:S84"/>
  <sheetViews>
    <sheetView showGridLines="0" zoomScale="90" workbookViewId="0">
      <pane ySplit="3" topLeftCell="A4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11.140625" style="3" bestFit="1" customWidth="1"/>
    <col min="5" max="5" width="12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3" width="11.14062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8.28515625" style="3" customWidth="1"/>
    <col min="19" max="19" width="2.28515625" style="3" customWidth="1"/>
    <col min="20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614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615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179"/>
      <c r="G4" s="177"/>
      <c r="H4" s="178"/>
      <c r="I4" s="115"/>
      <c r="J4" s="113"/>
      <c r="K4" s="114"/>
      <c r="L4" s="114"/>
      <c r="M4" s="115"/>
      <c r="N4" s="40"/>
      <c r="O4" s="183"/>
      <c r="Q4" s="133"/>
      <c r="R4" s="20"/>
    </row>
    <row r="5" spans="1:18" x14ac:dyDescent="0.2">
      <c r="A5" s="88"/>
      <c r="B5" s="103" t="s">
        <v>10</v>
      </c>
      <c r="C5" s="22"/>
      <c r="D5" s="21"/>
      <c r="E5" s="180" t="str">
        <f>IF(SUM(C5:D5)=0,"",SUM(C5:D5))</f>
        <v/>
      </c>
      <c r="F5" s="7"/>
      <c r="G5" s="22"/>
      <c r="H5" s="21"/>
      <c r="I5" s="116" t="str">
        <f>IF(SUM(G5:H5)=0,"",SUM(G5:H5))</f>
        <v/>
      </c>
      <c r="J5" s="22"/>
      <c r="K5" s="21"/>
      <c r="L5" s="21"/>
      <c r="M5" s="116" t="str">
        <f>IF(SUM(J5:L5)=0,"",SUM(J5:L5))</f>
        <v/>
      </c>
      <c r="N5" s="43"/>
      <c r="O5" s="184" t="str">
        <f>IF(SUM(I5,M5,N5)=0,"",SUM(I5,M5,N5))</f>
        <v/>
      </c>
      <c r="P5" s="9"/>
      <c r="Q5" s="119" t="str">
        <f>IF(SUM(E5,O5)=0,"",SUM(E5,O5))</f>
        <v/>
      </c>
      <c r="R5" s="112" t="str">
        <f>IF(Q5="","",Q5/Q$13)</f>
        <v/>
      </c>
    </row>
    <row r="6" spans="1:18" ht="6.75" customHeight="1" x14ac:dyDescent="0.2">
      <c r="A6" s="88"/>
      <c r="B6" s="103"/>
      <c r="C6" s="8"/>
      <c r="D6" s="4"/>
      <c r="E6" s="180"/>
      <c r="F6" s="7"/>
      <c r="G6" s="8"/>
      <c r="H6" s="4"/>
      <c r="I6" s="116"/>
      <c r="J6" s="8"/>
      <c r="K6" s="4"/>
      <c r="L6" s="4"/>
      <c r="M6" s="116"/>
      <c r="N6" s="42"/>
      <c r="O6" s="184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180" t="str">
        <f>IF(SUM(C7:D7)=0,"",SUM(C7:D7))</f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184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180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184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2"/>
      <c r="D9" s="21"/>
      <c r="E9" s="180" t="str">
        <f>IF(SUM(C9:D9)=0,"",SUM(C9:D9))</f>
        <v/>
      </c>
      <c r="F9" s="7"/>
      <c r="G9" s="22"/>
      <c r="H9" s="21"/>
      <c r="I9" s="116" t="str">
        <f>IF(SUM(G9:H9)=0,"",SUM(G9:H9))</f>
        <v/>
      </c>
      <c r="J9" s="22"/>
      <c r="K9" s="21"/>
      <c r="L9" s="21"/>
      <c r="M9" s="116" t="str">
        <f>IF(SUM(J9:L9)=0,"",SUM(J9:L9))</f>
        <v/>
      </c>
      <c r="N9" s="43"/>
      <c r="O9" s="184" t="str">
        <f>IF(SUM(I9,M9,N9)=0,"",SUM(I9,M9,N9))</f>
        <v/>
      </c>
      <c r="P9" s="9"/>
      <c r="Q9" s="134" t="str">
        <f>IF(SUM(E9,O9)=0,"",SUM(E9,O9))</f>
        <v/>
      </c>
      <c r="R9" s="112"/>
    </row>
    <row r="10" spans="1:18" x14ac:dyDescent="0.2">
      <c r="A10" s="88"/>
      <c r="B10" s="103" t="s">
        <v>14</v>
      </c>
      <c r="C10" s="22"/>
      <c r="D10" s="21"/>
      <c r="E10" s="180" t="str">
        <f>IF(SUM(C10:D10)=0,"",SUM(C10:D10))</f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184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str">
        <f>IF(SUM(C7:C10)=0,"",SUM(C7:C10))</f>
        <v/>
      </c>
      <c r="D11" s="25" t="str">
        <f>IF(SUM(D7:D10)=0,"",SUM(D7:D10))</f>
        <v/>
      </c>
      <c r="E11" s="180" t="str">
        <f>IF(SUM(C11:D11)=0,"",SUM(C11:D11))</f>
        <v/>
      </c>
      <c r="F11" s="7"/>
      <c r="G11" s="26" t="str">
        <f>IF(SUM(G7:G10)=0,"",SUM(G7:G10))</f>
        <v/>
      </c>
      <c r="H11" s="25" t="str">
        <f>IF(SUM(H7:H10)=0,"",SUM(H7:H10))</f>
        <v/>
      </c>
      <c r="I11" s="116" t="str">
        <f>IF(SUM(G11:H11)=0,"",SUM(G11:H11))</f>
        <v/>
      </c>
      <c r="J11" s="26" t="str">
        <f>IF(SUM(J7:J10)=0,"",SUM(J7:J10))</f>
        <v/>
      </c>
      <c r="K11" s="25" t="str">
        <f>IF(SUM(K7:K10)=0,"",SUM(K7:K10))</f>
        <v/>
      </c>
      <c r="L11" s="25" t="str">
        <f>IF(SUM(L7:L10)=0,"",SUM(L7:L10))</f>
        <v/>
      </c>
      <c r="M11" s="116" t="str">
        <f>IF(SUM(J11:L11)=0,"",SUM(J11:L11))</f>
        <v/>
      </c>
      <c r="N11" s="28" t="str">
        <f>IF(SUM(N7:N10)=0,"",SUM(N7:N10))</f>
        <v/>
      </c>
      <c r="O11" s="184" t="str">
        <f>IF(SUM(I11,M11,N11)=0,"",SUM(I11,M11,N11))</f>
        <v/>
      </c>
      <c r="P11" s="9"/>
      <c r="Q11" s="134" t="str">
        <f>IF(SUM(E11,O11)=0,"",SUM(E11,O11))</f>
        <v/>
      </c>
      <c r="R11" s="112" t="str">
        <f>IF(Q11="","",Q11/Q$13)</f>
        <v/>
      </c>
    </row>
    <row r="12" spans="1:18" x14ac:dyDescent="0.2">
      <c r="A12" s="88"/>
      <c r="B12" s="103"/>
      <c r="C12" s="8"/>
      <c r="D12" s="4"/>
      <c r="E12" s="180"/>
      <c r="F12" s="7"/>
      <c r="G12" s="8"/>
      <c r="H12" s="4"/>
      <c r="I12" s="116"/>
      <c r="J12" s="8"/>
      <c r="K12" s="4"/>
      <c r="L12" s="4"/>
      <c r="M12" s="120"/>
      <c r="N12" s="42"/>
      <c r="O12" s="184"/>
      <c r="P12" s="9"/>
      <c r="Q12" s="134"/>
      <c r="R12" s="112"/>
    </row>
    <row r="13" spans="1:18" x14ac:dyDescent="0.2">
      <c r="A13" s="91"/>
      <c r="B13" s="106" t="s">
        <v>16</v>
      </c>
      <c r="C13" s="14" t="str">
        <f>IF(AND(C5="",C11=""),"",SUM(C5,C11))</f>
        <v/>
      </c>
      <c r="D13" s="11" t="str">
        <f>IF(AND(D5="",D11=""),"",SUM(D5,D11))</f>
        <v/>
      </c>
      <c r="E13" s="117" t="str">
        <f>IF(AND(E5="",E11=""),"",SUM(E5,E11))</f>
        <v/>
      </c>
      <c r="F13" s="13"/>
      <c r="G13" s="14" t="str">
        <f t="shared" ref="G13:O13" si="0">IF(AND(G5="",G11=""),"",SUM(G5,G11))</f>
        <v/>
      </c>
      <c r="H13" s="11" t="str">
        <f t="shared" si="0"/>
        <v/>
      </c>
      <c r="I13" s="117" t="str">
        <f t="shared" si="0"/>
        <v/>
      </c>
      <c r="J13" s="14" t="str">
        <f t="shared" si="0"/>
        <v/>
      </c>
      <c r="K13" s="11" t="str">
        <f t="shared" si="0"/>
        <v/>
      </c>
      <c r="L13" s="11" t="str">
        <f t="shared" si="0"/>
        <v/>
      </c>
      <c r="M13" s="118" t="str">
        <f t="shared" si="0"/>
        <v/>
      </c>
      <c r="N13" s="46" t="str">
        <f t="shared" si="0"/>
        <v/>
      </c>
      <c r="O13" s="48" t="str">
        <f t="shared" si="0"/>
        <v/>
      </c>
      <c r="P13" s="9"/>
      <c r="Q13" s="135" t="str">
        <f>IF(AND(Q5="",Q11=""),"",SUM(Q5,Q11))</f>
        <v/>
      </c>
      <c r="R13" s="136" t="str">
        <f>IF(Q13="","",Q13/Q$13)</f>
        <v/>
      </c>
    </row>
    <row r="14" spans="1:18" x14ac:dyDescent="0.2">
      <c r="A14" s="88"/>
      <c r="B14" s="103"/>
      <c r="C14" s="8"/>
      <c r="D14" s="4"/>
      <c r="E14" s="180"/>
      <c r="F14" s="7"/>
      <c r="G14" s="8"/>
      <c r="H14" s="4"/>
      <c r="I14" s="116"/>
      <c r="J14" s="8"/>
      <c r="K14" s="4"/>
      <c r="L14" s="4"/>
      <c r="M14" s="120"/>
      <c r="N14" s="42"/>
      <c r="O14" s="184"/>
      <c r="Q14" s="134"/>
      <c r="R14" s="112"/>
    </row>
    <row r="15" spans="1:18" x14ac:dyDescent="0.2">
      <c r="A15" s="90" t="s">
        <v>17</v>
      </c>
      <c r="B15" s="103"/>
      <c r="C15" s="8"/>
      <c r="D15" s="4"/>
      <c r="E15" s="180"/>
      <c r="F15" s="7"/>
      <c r="G15" s="8"/>
      <c r="H15" s="4"/>
      <c r="I15" s="116"/>
      <c r="J15" s="8"/>
      <c r="K15" s="4"/>
      <c r="L15" s="4"/>
      <c r="M15" s="120"/>
      <c r="N15" s="42"/>
      <c r="O15" s="184"/>
      <c r="Q15" s="134"/>
      <c r="R15" s="20"/>
    </row>
    <row r="16" spans="1:18" x14ac:dyDescent="0.2">
      <c r="A16" s="88"/>
      <c r="B16" s="103" t="s">
        <v>18</v>
      </c>
      <c r="C16" s="22"/>
      <c r="D16" s="21"/>
      <c r="E16" s="180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>IF(SUM(J16:L16)=0,"",SUM(J16:L16))</f>
        <v/>
      </c>
      <c r="N16" s="43"/>
      <c r="O16" s="184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180"/>
      <c r="F17" s="7"/>
      <c r="G17" s="8"/>
      <c r="H17" s="4"/>
      <c r="I17" s="116"/>
      <c r="J17" s="8"/>
      <c r="K17" s="4"/>
      <c r="L17" s="4"/>
      <c r="M17" s="120"/>
      <c r="N17" s="42"/>
      <c r="O17" s="184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180" t="str">
        <f t="shared" ref="E18:E26" si="1">IF(SUM(C18:D18)=0,"",SUM(C18:D18))</f>
        <v/>
      </c>
      <c r="F18" s="7"/>
      <c r="G18" s="22"/>
      <c r="H18" s="21"/>
      <c r="I18" s="116" t="str">
        <f t="shared" ref="I18:I26" si="2">IF(SUM(G18:H18)=0,"",SUM(G18:H18))</f>
        <v/>
      </c>
      <c r="J18" s="22"/>
      <c r="K18" s="21"/>
      <c r="L18" s="21"/>
      <c r="M18" s="116" t="str">
        <f t="shared" ref="M18:M26" si="3">IF(SUM(J18:L18)=0,"",SUM(J18:L18))</f>
        <v/>
      </c>
      <c r="N18" s="43"/>
      <c r="O18" s="184" t="str">
        <f t="shared" ref="O18:O26" si="4">IF(SUM(I18,M18,N18)=0,"",SUM(I18,M18,N18))</f>
        <v/>
      </c>
      <c r="P18" s="9"/>
      <c r="Q18" s="134" t="str">
        <f t="shared" ref="Q18:Q26" si="5">IF(SUM(E18,O18)=0,"",SUM(E18,O18))</f>
        <v/>
      </c>
      <c r="R18" s="112" t="str">
        <f t="shared" ref="R18:R26" si="6">IF(Q18="","",Q18/Q$28)</f>
        <v/>
      </c>
    </row>
    <row r="19" spans="1:18" x14ac:dyDescent="0.2">
      <c r="A19" s="88"/>
      <c r="B19" s="103" t="s">
        <v>20</v>
      </c>
      <c r="C19" s="22"/>
      <c r="D19" s="21"/>
      <c r="E19" s="180" t="str">
        <f t="shared" si="1"/>
        <v/>
      </c>
      <c r="F19" s="7"/>
      <c r="G19" s="22"/>
      <c r="H19" s="21"/>
      <c r="I19" s="116" t="str">
        <f t="shared" si="2"/>
        <v/>
      </c>
      <c r="J19" s="22"/>
      <c r="K19" s="21"/>
      <c r="L19" s="21"/>
      <c r="M19" s="116" t="str">
        <f t="shared" si="3"/>
        <v/>
      </c>
      <c r="N19" s="43"/>
      <c r="O19" s="184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57</v>
      </c>
      <c r="C20" s="22"/>
      <c r="D20" s="21"/>
      <c r="E20" s="180" t="str">
        <f t="shared" si="1"/>
        <v/>
      </c>
      <c r="F20" s="7"/>
      <c r="G20" s="22"/>
      <c r="H20" s="21"/>
      <c r="I20" s="116" t="str">
        <f t="shared" si="2"/>
        <v/>
      </c>
      <c r="J20" s="22"/>
      <c r="K20" s="21"/>
      <c r="L20" s="21"/>
      <c r="M20" s="116" t="str">
        <f t="shared" si="3"/>
        <v/>
      </c>
      <c r="N20" s="43"/>
      <c r="O20" s="184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180" t="str">
        <f t="shared" si="1"/>
        <v/>
      </c>
      <c r="F21" s="7"/>
      <c r="G21" s="22"/>
      <c r="H21" s="21"/>
      <c r="I21" s="116" t="str">
        <f t="shared" si="2"/>
        <v/>
      </c>
      <c r="J21" s="22"/>
      <c r="K21" s="21"/>
      <c r="L21" s="21"/>
      <c r="M21" s="116" t="str">
        <f t="shared" si="3"/>
        <v/>
      </c>
      <c r="N21" s="43"/>
      <c r="O21" s="184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55</v>
      </c>
      <c r="C22" s="22"/>
      <c r="D22" s="21"/>
      <c r="E22" s="180" t="str">
        <f t="shared" si="1"/>
        <v/>
      </c>
      <c r="F22" s="7"/>
      <c r="G22" s="22"/>
      <c r="H22" s="21"/>
      <c r="I22" s="116" t="str">
        <f t="shared" si="2"/>
        <v/>
      </c>
      <c r="J22" s="22"/>
      <c r="K22" s="21"/>
      <c r="L22" s="21"/>
      <c r="M22" s="116" t="str">
        <f t="shared" si="3"/>
        <v/>
      </c>
      <c r="N22" s="43"/>
      <c r="O22" s="184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56</v>
      </c>
      <c r="C23" s="22"/>
      <c r="D23" s="21"/>
      <c r="E23" s="180" t="str">
        <f t="shared" si="1"/>
        <v/>
      </c>
      <c r="F23" s="7"/>
      <c r="G23" s="22"/>
      <c r="H23" s="21"/>
      <c r="I23" s="116" t="str">
        <f t="shared" si="2"/>
        <v/>
      </c>
      <c r="J23" s="22"/>
      <c r="K23" s="21"/>
      <c r="L23" s="21"/>
      <c r="M23" s="116" t="str">
        <f t="shared" si="3"/>
        <v/>
      </c>
      <c r="N23" s="43"/>
      <c r="O23" s="184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180" t="str">
        <f t="shared" si="1"/>
        <v/>
      </c>
      <c r="F24" s="7"/>
      <c r="G24" s="22"/>
      <c r="H24" s="21"/>
      <c r="I24" s="116" t="str">
        <f t="shared" si="2"/>
        <v/>
      </c>
      <c r="J24" s="22"/>
      <c r="K24" s="21"/>
      <c r="L24" s="21"/>
      <c r="M24" s="116" t="str">
        <f t="shared" si="3"/>
        <v/>
      </c>
      <c r="N24" s="43"/>
      <c r="O24" s="184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180" t="str">
        <f t="shared" si="1"/>
        <v/>
      </c>
      <c r="F25" s="7"/>
      <c r="G25" s="22"/>
      <c r="H25" s="21"/>
      <c r="I25" s="116" t="str">
        <f t="shared" si="2"/>
        <v/>
      </c>
      <c r="J25" s="22"/>
      <c r="K25" s="21"/>
      <c r="L25" s="21"/>
      <c r="M25" s="116" t="str">
        <f t="shared" si="3"/>
        <v/>
      </c>
      <c r="N25" s="43"/>
      <c r="O25" s="184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/>
      <c r="D26" s="21"/>
      <c r="E26" s="180" t="str">
        <f t="shared" si="1"/>
        <v/>
      </c>
      <c r="F26" s="7"/>
      <c r="G26" s="22"/>
      <c r="H26" s="21"/>
      <c r="I26" s="116" t="str">
        <f t="shared" si="2"/>
        <v/>
      </c>
      <c r="J26" s="22"/>
      <c r="K26" s="21"/>
      <c r="L26" s="21"/>
      <c r="M26" s="116" t="str">
        <f t="shared" si="3"/>
        <v/>
      </c>
      <c r="N26" s="43"/>
      <c r="O26" s="184" t="str">
        <f t="shared" si="4"/>
        <v/>
      </c>
      <c r="P26" s="9"/>
      <c r="Q26" s="134" t="str">
        <f t="shared" si="5"/>
        <v/>
      </c>
      <c r="R26" s="112" t="str">
        <f t="shared" si="6"/>
        <v/>
      </c>
    </row>
    <row r="27" spans="1:18" x14ac:dyDescent="0.2">
      <c r="A27" s="88"/>
      <c r="B27" s="103"/>
      <c r="C27" s="8"/>
      <c r="D27" s="4"/>
      <c r="E27" s="180"/>
      <c r="F27" s="7"/>
      <c r="G27" s="8"/>
      <c r="H27" s="4"/>
      <c r="I27" s="116"/>
      <c r="J27" s="8"/>
      <c r="K27" s="4"/>
      <c r="L27" s="4"/>
      <c r="M27" s="120"/>
      <c r="N27" s="42"/>
      <c r="O27" s="184"/>
      <c r="P27" s="9"/>
      <c r="Q27" s="134"/>
      <c r="R27" s="112"/>
    </row>
    <row r="28" spans="1:18" x14ac:dyDescent="0.2">
      <c r="A28" s="91" t="s">
        <v>25</v>
      </c>
      <c r="B28" s="106"/>
      <c r="C28" s="14" t="str">
        <f>IF(SUM(C16:C27)=0,"",SUM(C16:C27))</f>
        <v/>
      </c>
      <c r="D28" s="11" t="str">
        <f>IF(SUM(D16:D27)=0,"",SUM(D16:D27))</f>
        <v/>
      </c>
      <c r="E28" s="11" t="str">
        <f>IF(SUM(E16:E27)=0,"",SUM(E16:E27))</f>
        <v/>
      </c>
      <c r="F28" s="119"/>
      <c r="G28" s="14" t="str">
        <f t="shared" ref="G28:O28" si="7">IF(SUM(G16:G27)=0,"",SUM(G16:G27))</f>
        <v/>
      </c>
      <c r="H28" s="11" t="str">
        <f t="shared" si="7"/>
        <v/>
      </c>
      <c r="I28" s="118" t="str">
        <f t="shared" si="7"/>
        <v/>
      </c>
      <c r="J28" s="14" t="str">
        <f t="shared" si="7"/>
        <v/>
      </c>
      <c r="K28" s="11" t="str">
        <f t="shared" si="7"/>
        <v/>
      </c>
      <c r="L28" s="11" t="str">
        <f t="shared" si="7"/>
        <v/>
      </c>
      <c r="M28" s="118" t="str">
        <f t="shared" si="7"/>
        <v/>
      </c>
      <c r="N28" s="44" t="str">
        <f t="shared" si="7"/>
        <v/>
      </c>
      <c r="O28" s="48" t="str">
        <f t="shared" si="7"/>
        <v/>
      </c>
      <c r="P28" s="9"/>
      <c r="Q28" s="137" t="str">
        <f>IF(SUM(Q16:Q27)=0,"",SUM(Q16:Q27))</f>
        <v/>
      </c>
      <c r="R28" s="136" t="str">
        <f>IF(Q28="","",Q28/Q$28)</f>
        <v/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#VALUE!</v>
      </c>
      <c r="D30" s="57" t="e">
        <f>D13-D28</f>
        <v>#VALUE!</v>
      </c>
      <c r="E30" s="181" t="e">
        <f>IF(SUM(C30:D30)=0,"",SUM(C30:D30))</f>
        <v>#VALUE!</v>
      </c>
      <c r="F30" s="7"/>
      <c r="G30" s="65" t="e">
        <f>G13-G28</f>
        <v>#VALUE!</v>
      </c>
      <c r="H30" s="57" t="e">
        <f>H13-H28</f>
        <v>#VALUE!</v>
      </c>
      <c r="I30" s="68" t="e">
        <f>IF(SUM(G30:H30)=0,"",SUM(G30:H30))</f>
        <v>#VALUE!</v>
      </c>
      <c r="J30" s="63" t="e">
        <f>J13-J28</f>
        <v>#VALUE!</v>
      </c>
      <c r="K30" s="57" t="e">
        <f>K13-K28</f>
        <v>#VALUE!</v>
      </c>
      <c r="L30" s="57" t="e">
        <f>L13-L28</f>
        <v>#VALUE!</v>
      </c>
      <c r="M30" s="71" t="e">
        <f>IF(SUM(J30:L30)=0,"",SUM(J30:L30))</f>
        <v>#VALUE!</v>
      </c>
      <c r="N30" s="83" t="str">
        <f>IF(OR(N13="",N28="",N16=""),"",N13-N28)</f>
        <v/>
      </c>
      <c r="O30" s="127" t="e">
        <f>IF(SUM(I30,M30,N30)=0,"",SUM(I30,M30,N30))</f>
        <v>#VALUE!</v>
      </c>
      <c r="Q30" s="666" t="e">
        <f>IF(SUM(E30,O30)=0,"",SUM(E30,O30))</f>
        <v>#VALUE!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182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#VALUE!</v>
      </c>
      <c r="D32" s="61" t="e">
        <f>IF(OR(D30="",D31=""),"",D30/D31)</f>
        <v>#VALUE!</v>
      </c>
      <c r="E32" s="62" t="e">
        <f>IF(OR(E30="",E31=""),"",E30/E31)</f>
        <v>#VALUE!</v>
      </c>
      <c r="F32" s="15"/>
      <c r="G32" s="67" t="e">
        <f t="shared" ref="G32:O32" si="8">IF(OR(G30="",G31=""),"",G30/G31)</f>
        <v>#VALUE!</v>
      </c>
      <c r="H32" s="61" t="e">
        <f t="shared" si="8"/>
        <v>#VALUE!</v>
      </c>
      <c r="I32" s="70" t="e">
        <f t="shared" si="8"/>
        <v>#VALUE!</v>
      </c>
      <c r="J32" s="73" t="e">
        <f t="shared" si="8"/>
        <v>#VALUE!</v>
      </c>
      <c r="K32" s="61" t="e">
        <f t="shared" si="8"/>
        <v>#VALUE!</v>
      </c>
      <c r="L32" s="61" t="e">
        <f t="shared" si="8"/>
        <v>#VALUE!</v>
      </c>
      <c r="M32" s="70" t="e">
        <f t="shared" si="8"/>
        <v>#VALUE!</v>
      </c>
      <c r="N32" s="85" t="str">
        <f t="shared" si="8"/>
        <v/>
      </c>
      <c r="O32" s="128" t="e">
        <f t="shared" si="8"/>
        <v>#VALUE!</v>
      </c>
      <c r="Q32" s="668" t="e">
        <f>IF(OR(Q30="",Q31=""),"",Q30/Q31)</f>
        <v>#VALUE!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IF(C30="","",C30)</f>
        <v>#VALUE!</v>
      </c>
      <c r="D34" s="57" t="e">
        <f>IF(D30="","",D30)</f>
        <v>#VALUE!</v>
      </c>
      <c r="E34" s="181" t="e">
        <f>IF(SUM(C34:D34)=0,"",SUM(C34:D34))</f>
        <v>#VALUE!</v>
      </c>
      <c r="F34" s="7"/>
      <c r="G34" s="65" t="e">
        <f>IF(G30="","",G30)</f>
        <v>#VALUE!</v>
      </c>
      <c r="H34" s="57" t="e">
        <f>IF(H30="","",H30)</f>
        <v>#VALUE!</v>
      </c>
      <c r="I34" s="68" t="e">
        <f>IF(SUM(G34:H34)=0,"",SUM(G34:H34))</f>
        <v>#VALUE!</v>
      </c>
      <c r="J34" s="63" t="e">
        <f t="shared" ref="J34:L35" si="9">IF(J30="","",J30)</f>
        <v>#VALUE!</v>
      </c>
      <c r="K34" s="57" t="e">
        <f t="shared" si="9"/>
        <v>#VALUE!</v>
      </c>
      <c r="L34" s="57" t="e">
        <f t="shared" si="9"/>
        <v>#VALUE!</v>
      </c>
      <c r="M34" s="71" t="e">
        <f>IF(SUM(J34:L34)=0,"",SUM(J34:L34))</f>
        <v>#VALUE!</v>
      </c>
      <c r="N34" s="83" t="str">
        <f>IF(N30="","",N30)</f>
        <v/>
      </c>
      <c r="O34" s="127" t="e">
        <f>IF(SUM(I34,M34,N34)=0,"",SUM(I34,M34,N34))</f>
        <v>#VALUE!</v>
      </c>
      <c r="Q34" s="666" t="e">
        <f>IF(OR(E34="",O34=""),"",SUM(E34,O34))</f>
        <v>#VALUE!</v>
      </c>
      <c r="R34" s="667"/>
    </row>
    <row r="35" spans="1:19" ht="12.75" customHeight="1" x14ac:dyDescent="0.2">
      <c r="A35" s="94" t="s">
        <v>29</v>
      </c>
      <c r="B35" s="95"/>
      <c r="C35" s="66" t="str">
        <f>IF(C31="","",C31)</f>
        <v/>
      </c>
      <c r="D35" s="59" t="str">
        <f>IF(D31="","",D31)</f>
        <v/>
      </c>
      <c r="E35" s="182" t="str">
        <f>IF(SUM(C35:D35)=0,"",SUM(C35:D35))</f>
        <v/>
      </c>
      <c r="F35" s="7"/>
      <c r="G35" s="66" t="str">
        <f>IF(G31="","",G31)</f>
        <v/>
      </c>
      <c r="H35" s="59" t="str">
        <f>IF(H31="","",H31)</f>
        <v/>
      </c>
      <c r="I35" s="69" t="str">
        <f>IF(SUM(G35:H35)=0,"",SUM(G35:H35))</f>
        <v/>
      </c>
      <c r="J35" s="64" t="str">
        <f t="shared" si="9"/>
        <v/>
      </c>
      <c r="K35" s="59" t="str">
        <f t="shared" si="9"/>
        <v/>
      </c>
      <c r="L35" s="59" t="str">
        <f t="shared" si="9"/>
        <v/>
      </c>
      <c r="M35" s="72" t="str">
        <f>IF(SUM(J35:L35)=0,"",SUM(J35:L35))</f>
        <v/>
      </c>
      <c r="N35" s="84" t="str">
        <f>IF(N31="","",N31)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10">IF(ISERROR(G34/G35),"",G34/G35)</f>
        <v/>
      </c>
      <c r="H36" s="61" t="str">
        <f t="shared" si="10"/>
        <v/>
      </c>
      <c r="I36" s="70" t="str">
        <f t="shared" si="10"/>
        <v/>
      </c>
      <c r="J36" s="73" t="str">
        <f t="shared" si="10"/>
        <v/>
      </c>
      <c r="K36" s="61" t="str">
        <f t="shared" si="10"/>
        <v/>
      </c>
      <c r="L36" s="61" t="str">
        <f t="shared" si="10"/>
        <v/>
      </c>
      <c r="M36" s="70" t="str">
        <f t="shared" si="10"/>
        <v/>
      </c>
      <c r="N36" s="85" t="str">
        <f t="shared" si="10"/>
        <v/>
      </c>
      <c r="O36" s="128" t="str">
        <f t="shared" si="10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#VALUE!</v>
      </c>
      <c r="D39" s="655"/>
      <c r="E39" s="594"/>
      <c r="F39" s="29"/>
      <c r="G39" s="626" t="e">
        <f>IF(I32="","",I32)</f>
        <v>#VALUE!</v>
      </c>
      <c r="H39" s="626"/>
      <c r="I39" s="626"/>
      <c r="J39" s="593" t="e">
        <f>IF(M32="","",M32)</f>
        <v>#VALUE!</v>
      </c>
      <c r="K39" s="655"/>
      <c r="L39" s="655"/>
      <c r="M39" s="594"/>
      <c r="N39" s="81" t="str">
        <f>N32</f>
        <v/>
      </c>
      <c r="O39" s="80" t="e">
        <f>IF(O32="","",O32)</f>
        <v>#VALUE!</v>
      </c>
      <c r="P39" s="30"/>
      <c r="Q39" s="593" t="e">
        <f>IF(Q32="","",Q32)</f>
        <v>#VALUE!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640" t="s">
        <v>35</v>
      </c>
      <c r="B44" s="641" t="s">
        <v>35</v>
      </c>
      <c r="C44" s="606" t="str">
        <f>IF($Q$31="","",$Q$31)</f>
        <v/>
      </c>
      <c r="D44" s="607"/>
      <c r="E44" s="606" t="e">
        <f>IF(Q30="","",Q30)</f>
        <v>#VALUE!</v>
      </c>
      <c r="F44" s="663"/>
      <c r="G44" s="607"/>
      <c r="H44" s="659" t="e">
        <f>IF($J$39="","",$J$39)</f>
        <v>#VALUE!</v>
      </c>
      <c r="I44" s="660"/>
      <c r="J44" s="659" t="e">
        <f>IF($C$39="","",$C$39)</f>
        <v>#VALUE!</v>
      </c>
      <c r="K44" s="660"/>
      <c r="L44" s="659" t="e">
        <f>IF($O$39="","",$O$39)</f>
        <v>#VALUE!</v>
      </c>
      <c r="M44" s="660"/>
      <c r="N44" s="659" t="str">
        <f>IF($N$39="","",$N$39)</f>
        <v/>
      </c>
      <c r="O44" s="658"/>
      <c r="P44" s="10"/>
      <c r="Q44" s="657" t="e">
        <f>IF($Q$39="","",$Q$39)</f>
        <v>#VALUE!</v>
      </c>
      <c r="R44" s="658"/>
      <c r="S44" s="6"/>
    </row>
    <row r="45" spans="1:19" ht="12.75" customHeight="1" x14ac:dyDescent="0.2">
      <c r="A45" s="589" t="s">
        <v>36</v>
      </c>
      <c r="B45" s="590" t="s">
        <v>35</v>
      </c>
      <c r="C45" s="603"/>
      <c r="D45" s="605"/>
      <c r="E45" s="603"/>
      <c r="F45" s="604"/>
      <c r="G45" s="605"/>
      <c r="H45" s="632"/>
      <c r="I45" s="637"/>
      <c r="J45" s="632"/>
      <c r="K45" s="637"/>
      <c r="L45" s="632"/>
      <c r="M45" s="637"/>
      <c r="N45" s="632"/>
      <c r="O45" s="609"/>
      <c r="P45" s="10"/>
      <c r="Q45" s="608"/>
      <c r="R45" s="609"/>
      <c r="S45" s="6"/>
    </row>
    <row r="46" spans="1:19" x14ac:dyDescent="0.2">
      <c r="A46" s="589" t="s">
        <v>37</v>
      </c>
      <c r="B46" s="590" t="s">
        <v>35</v>
      </c>
      <c r="C46" s="603"/>
      <c r="D46" s="605"/>
      <c r="E46" s="603"/>
      <c r="F46" s="604"/>
      <c r="G46" s="605"/>
      <c r="H46" s="632"/>
      <c r="I46" s="637"/>
      <c r="J46" s="632"/>
      <c r="K46" s="637"/>
      <c r="L46" s="632"/>
      <c r="M46" s="637"/>
      <c r="N46" s="632"/>
      <c r="O46" s="609"/>
      <c r="P46" s="10"/>
      <c r="Q46" s="608"/>
      <c r="R46" s="609"/>
      <c r="S46" s="6"/>
    </row>
    <row r="47" spans="1:19" ht="12.75" customHeight="1" x14ac:dyDescent="0.2">
      <c r="A47" s="589" t="s">
        <v>38</v>
      </c>
      <c r="B47" s="590" t="s">
        <v>35</v>
      </c>
      <c r="C47" s="603"/>
      <c r="D47" s="605"/>
      <c r="E47" s="603"/>
      <c r="F47" s="604"/>
      <c r="G47" s="605"/>
      <c r="H47" s="632"/>
      <c r="I47" s="637"/>
      <c r="J47" s="632"/>
      <c r="K47" s="637"/>
      <c r="L47" s="632"/>
      <c r="M47" s="637"/>
      <c r="N47" s="632"/>
      <c r="O47" s="609"/>
      <c r="P47" s="10"/>
      <c r="Q47" s="608"/>
      <c r="R47" s="609"/>
      <c r="S47" s="6"/>
    </row>
    <row r="48" spans="1:19" x14ac:dyDescent="0.2">
      <c r="A48" s="589" t="s">
        <v>39</v>
      </c>
      <c r="B48" s="590" t="s">
        <v>35</v>
      </c>
      <c r="C48" s="603"/>
      <c r="D48" s="605"/>
      <c r="E48" s="603"/>
      <c r="F48" s="604"/>
      <c r="G48" s="605"/>
      <c r="H48" s="632"/>
      <c r="I48" s="637"/>
      <c r="J48" s="632"/>
      <c r="K48" s="637"/>
      <c r="L48" s="632"/>
      <c r="M48" s="637"/>
      <c r="N48" s="632"/>
      <c r="O48" s="609"/>
      <c r="P48" s="10"/>
      <c r="Q48" s="608"/>
      <c r="R48" s="609"/>
      <c r="S48" s="6"/>
    </row>
    <row r="49" spans="1:19" x14ac:dyDescent="0.2">
      <c r="A49" s="589" t="s">
        <v>40</v>
      </c>
      <c r="B49" s="590" t="s">
        <v>35</v>
      </c>
      <c r="C49" s="603"/>
      <c r="D49" s="605"/>
      <c r="E49" s="603"/>
      <c r="F49" s="604"/>
      <c r="G49" s="605"/>
      <c r="H49" s="632"/>
      <c r="I49" s="637"/>
      <c r="J49" s="632"/>
      <c r="K49" s="637"/>
      <c r="L49" s="632"/>
      <c r="M49" s="637"/>
      <c r="N49" s="632"/>
      <c r="O49" s="609"/>
      <c r="P49" s="10"/>
      <c r="Q49" s="608"/>
      <c r="R49" s="609"/>
      <c r="S49" s="6"/>
    </row>
    <row r="50" spans="1:19" x14ac:dyDescent="0.2">
      <c r="A50" s="589" t="s">
        <v>41</v>
      </c>
      <c r="B50" s="590" t="s">
        <v>35</v>
      </c>
      <c r="C50" s="603"/>
      <c r="D50" s="605"/>
      <c r="E50" s="603"/>
      <c r="F50" s="604"/>
      <c r="G50" s="605"/>
      <c r="H50" s="632"/>
      <c r="I50" s="637"/>
      <c r="J50" s="632"/>
      <c r="K50" s="637"/>
      <c r="L50" s="632"/>
      <c r="M50" s="637"/>
      <c r="N50" s="632"/>
      <c r="O50" s="609"/>
      <c r="P50" s="10"/>
      <c r="Q50" s="608"/>
      <c r="R50" s="609"/>
      <c r="S50" s="6"/>
    </row>
    <row r="51" spans="1:19" x14ac:dyDescent="0.2">
      <c r="A51" s="589" t="s">
        <v>42</v>
      </c>
      <c r="B51" s="590" t="s">
        <v>35</v>
      </c>
      <c r="C51" s="603"/>
      <c r="D51" s="605"/>
      <c r="E51" s="603"/>
      <c r="F51" s="604"/>
      <c r="G51" s="605"/>
      <c r="H51" s="632"/>
      <c r="I51" s="637"/>
      <c r="J51" s="632"/>
      <c r="K51" s="637"/>
      <c r="L51" s="632"/>
      <c r="M51" s="637"/>
      <c r="N51" s="632"/>
      <c r="O51" s="609"/>
      <c r="P51" s="10"/>
      <c r="Q51" s="608"/>
      <c r="R51" s="609"/>
      <c r="S51" s="6"/>
    </row>
    <row r="52" spans="1:19" x14ac:dyDescent="0.2">
      <c r="A52" s="589" t="s">
        <v>43</v>
      </c>
      <c r="B52" s="590" t="s">
        <v>35</v>
      </c>
      <c r="C52" s="603"/>
      <c r="D52" s="605"/>
      <c r="E52" s="603"/>
      <c r="F52" s="604"/>
      <c r="G52" s="605"/>
      <c r="H52" s="632"/>
      <c r="I52" s="637"/>
      <c r="J52" s="632"/>
      <c r="K52" s="637"/>
      <c r="L52" s="632"/>
      <c r="M52" s="637"/>
      <c r="N52" s="632"/>
      <c r="O52" s="609"/>
      <c r="P52" s="10"/>
      <c r="Q52" s="608"/>
      <c r="R52" s="609"/>
      <c r="S52" s="6"/>
    </row>
    <row r="53" spans="1:19" x14ac:dyDescent="0.2">
      <c r="A53" s="589" t="s">
        <v>44</v>
      </c>
      <c r="B53" s="590" t="s">
        <v>35</v>
      </c>
      <c r="C53" s="603"/>
      <c r="D53" s="605"/>
      <c r="E53" s="603"/>
      <c r="F53" s="604"/>
      <c r="G53" s="605"/>
      <c r="H53" s="632"/>
      <c r="I53" s="637"/>
      <c r="J53" s="632"/>
      <c r="K53" s="637"/>
      <c r="L53" s="632"/>
      <c r="M53" s="637"/>
      <c r="N53" s="632"/>
      <c r="O53" s="609"/>
      <c r="P53" s="10"/>
      <c r="Q53" s="608"/>
      <c r="R53" s="609"/>
      <c r="S53" s="6"/>
    </row>
    <row r="54" spans="1:19" x14ac:dyDescent="0.2">
      <c r="A54" s="589" t="s">
        <v>45</v>
      </c>
      <c r="B54" s="590" t="s">
        <v>35</v>
      </c>
      <c r="C54" s="603"/>
      <c r="D54" s="605"/>
      <c r="E54" s="603"/>
      <c r="F54" s="604"/>
      <c r="G54" s="605"/>
      <c r="H54" s="632"/>
      <c r="I54" s="637"/>
      <c r="J54" s="632"/>
      <c r="K54" s="637"/>
      <c r="L54" s="632"/>
      <c r="M54" s="637"/>
      <c r="N54" s="632"/>
      <c r="O54" s="609"/>
      <c r="P54" s="10"/>
      <c r="Q54" s="608"/>
      <c r="R54" s="609"/>
      <c r="S54" s="6"/>
    </row>
    <row r="55" spans="1:19" ht="13.5" customHeight="1" thickBot="1" x14ac:dyDescent="0.25">
      <c r="A55" s="635" t="s">
        <v>46</v>
      </c>
      <c r="B55" s="636" t="s">
        <v>35</v>
      </c>
      <c r="C55" s="700"/>
      <c r="D55" s="701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10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684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685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1">IF(ISERROR((G30/G32)/100),"",(G30/G32)/100)</f>
        <v/>
      </c>
      <c r="H79" s="144" t="str">
        <f t="shared" si="11"/>
        <v/>
      </c>
      <c r="I79" s="148" t="str">
        <f t="shared" si="11"/>
        <v/>
      </c>
      <c r="J79" s="143" t="str">
        <f t="shared" si="11"/>
        <v/>
      </c>
      <c r="K79" s="144" t="str">
        <f t="shared" si="11"/>
        <v/>
      </c>
      <c r="L79" s="144" t="str">
        <f t="shared" si="11"/>
        <v/>
      </c>
      <c r="M79" s="149" t="str">
        <f t="shared" si="11"/>
        <v/>
      </c>
      <c r="N79" s="150" t="str">
        <f t="shared" si="11"/>
        <v/>
      </c>
      <c r="O79" s="146" t="str">
        <f t="shared" si="11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2">IF(ISERROR(((G32-G$76)*100)*G79),"",((G32-G$76)*100)*G79)</f>
        <v/>
      </c>
      <c r="H80" s="159" t="str">
        <f t="shared" si="12"/>
        <v/>
      </c>
      <c r="I80" s="163" t="str">
        <f t="shared" si="12"/>
        <v/>
      </c>
      <c r="J80" s="158" t="str">
        <f t="shared" si="12"/>
        <v/>
      </c>
      <c r="K80" s="159" t="str">
        <f t="shared" si="12"/>
        <v/>
      </c>
      <c r="L80" s="159" t="str">
        <f t="shared" si="12"/>
        <v/>
      </c>
      <c r="M80" s="163" t="str">
        <f t="shared" si="12"/>
        <v/>
      </c>
      <c r="N80" s="164" t="str">
        <f t="shared" si="12"/>
        <v/>
      </c>
      <c r="O80" s="165" t="str">
        <f t="shared" si="12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3">IF(ISERROR((G34/G36)/100),"",(G34/G36)/100)</f>
        <v/>
      </c>
      <c r="H82" s="144" t="str">
        <f t="shared" si="13"/>
        <v/>
      </c>
      <c r="I82" s="148" t="str">
        <f t="shared" si="13"/>
        <v/>
      </c>
      <c r="J82" s="143" t="str">
        <f t="shared" si="13"/>
        <v/>
      </c>
      <c r="K82" s="144" t="str">
        <f t="shared" si="13"/>
        <v/>
      </c>
      <c r="L82" s="144" t="str">
        <f t="shared" si="13"/>
        <v/>
      </c>
      <c r="M82" s="149" t="str">
        <f t="shared" si="13"/>
        <v/>
      </c>
      <c r="N82" s="150" t="str">
        <f t="shared" si="13"/>
        <v/>
      </c>
      <c r="O82" s="146" t="str">
        <f t="shared" si="13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4">IF(ISERROR(((G36-G$76)*100)*G82),"",((G36-G$76)*100)*G82)</f>
        <v/>
      </c>
      <c r="H83" s="159" t="str">
        <f t="shared" si="14"/>
        <v/>
      </c>
      <c r="I83" s="163" t="str">
        <f t="shared" si="14"/>
        <v/>
      </c>
      <c r="J83" s="158" t="str">
        <f t="shared" si="14"/>
        <v/>
      </c>
      <c r="K83" s="159" t="str">
        <f t="shared" si="14"/>
        <v/>
      </c>
      <c r="L83" s="159" t="str">
        <f t="shared" si="14"/>
        <v/>
      </c>
      <c r="M83" s="163" t="str">
        <f t="shared" si="14"/>
        <v/>
      </c>
      <c r="N83" s="164" t="str">
        <f t="shared" si="14"/>
        <v/>
      </c>
      <c r="O83" s="165" t="str">
        <f t="shared" si="14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57">
    <mergeCell ref="Q83:R83"/>
    <mergeCell ref="A77:B78"/>
    <mergeCell ref="O77:O78"/>
    <mergeCell ref="Q77:Q78"/>
    <mergeCell ref="R77:R78"/>
    <mergeCell ref="Q80:R80"/>
    <mergeCell ref="N77:N78"/>
    <mergeCell ref="Q79:R79"/>
    <mergeCell ref="C77:C78"/>
    <mergeCell ref="J54:K54"/>
    <mergeCell ref="D77:D78"/>
    <mergeCell ref="E77:E78"/>
    <mergeCell ref="G77:G78"/>
    <mergeCell ref="H77:H78"/>
    <mergeCell ref="Q82:R82"/>
    <mergeCell ref="Q53:R53"/>
    <mergeCell ref="I77:I78"/>
    <mergeCell ref="J77:J78"/>
    <mergeCell ref="M77:M78"/>
    <mergeCell ref="Q54:R54"/>
    <mergeCell ref="Q55:R55"/>
    <mergeCell ref="L54:M54"/>
    <mergeCell ref="L55:M55"/>
    <mergeCell ref="H54:I54"/>
    <mergeCell ref="H55:I55"/>
    <mergeCell ref="J55:K55"/>
    <mergeCell ref="C55:D55"/>
    <mergeCell ref="E53:G53"/>
    <mergeCell ref="E54:G54"/>
    <mergeCell ref="E55:G55"/>
    <mergeCell ref="C53:D53"/>
    <mergeCell ref="C54:D54"/>
    <mergeCell ref="N50:O50"/>
    <mergeCell ref="N51:O51"/>
    <mergeCell ref="Q50:R50"/>
    <mergeCell ref="Q76:R76"/>
    <mergeCell ref="N52:O52"/>
    <mergeCell ref="N53:O53"/>
    <mergeCell ref="N54:O54"/>
    <mergeCell ref="N55:O55"/>
    <mergeCell ref="Q51:R51"/>
    <mergeCell ref="Q52:R52"/>
    <mergeCell ref="J50:K50"/>
    <mergeCell ref="L46:M46"/>
    <mergeCell ref="J46:K46"/>
    <mergeCell ref="J47:K47"/>
    <mergeCell ref="L47:M47"/>
    <mergeCell ref="L48:M48"/>
    <mergeCell ref="L49:M49"/>
    <mergeCell ref="L50:M50"/>
    <mergeCell ref="H53:I53"/>
    <mergeCell ref="L51:M51"/>
    <mergeCell ref="L52:M52"/>
    <mergeCell ref="L53:M53"/>
    <mergeCell ref="J53:K53"/>
    <mergeCell ref="J51:K51"/>
    <mergeCell ref="J52:K52"/>
    <mergeCell ref="H51:I51"/>
    <mergeCell ref="H52:I52"/>
    <mergeCell ref="H50:I50"/>
    <mergeCell ref="C51:D51"/>
    <mergeCell ref="C52:D52"/>
    <mergeCell ref="H46:I46"/>
    <mergeCell ref="H47:I47"/>
    <mergeCell ref="H48:I48"/>
    <mergeCell ref="H49:I49"/>
    <mergeCell ref="C49:D49"/>
    <mergeCell ref="C50:D50"/>
    <mergeCell ref="E49:G49"/>
    <mergeCell ref="E50:G50"/>
    <mergeCell ref="E51:G51"/>
    <mergeCell ref="E52:G52"/>
    <mergeCell ref="E47:G47"/>
    <mergeCell ref="E48:G48"/>
    <mergeCell ref="C47:D47"/>
    <mergeCell ref="C48:D48"/>
    <mergeCell ref="Q44:R44"/>
    <mergeCell ref="Q45:R45"/>
    <mergeCell ref="L45:M45"/>
    <mergeCell ref="J44:K44"/>
    <mergeCell ref="J45:K45"/>
    <mergeCell ref="N44:O44"/>
    <mergeCell ref="N45:O45"/>
    <mergeCell ref="R2:R3"/>
    <mergeCell ref="E44:G44"/>
    <mergeCell ref="H44:I44"/>
    <mergeCell ref="Q35:R35"/>
    <mergeCell ref="Q30:R30"/>
    <mergeCell ref="Q31:R31"/>
    <mergeCell ref="Q32:R32"/>
    <mergeCell ref="Q34:R34"/>
    <mergeCell ref="L42:M43"/>
    <mergeCell ref="Q36:R36"/>
    <mergeCell ref="J42:K43"/>
    <mergeCell ref="L44:M44"/>
    <mergeCell ref="H45:I45"/>
    <mergeCell ref="J39:M39"/>
    <mergeCell ref="J40:M40"/>
    <mergeCell ref="G2:G3"/>
    <mergeCell ref="J2:J3"/>
    <mergeCell ref="N2:N3"/>
    <mergeCell ref="Q42:R43"/>
    <mergeCell ref="E43:G43"/>
    <mergeCell ref="J38:M38"/>
    <mergeCell ref="G38:I38"/>
    <mergeCell ref="C38:E38"/>
    <mergeCell ref="Q38:R38"/>
    <mergeCell ref="C39:E39"/>
    <mergeCell ref="C40:E40"/>
    <mergeCell ref="Q47:R47"/>
    <mergeCell ref="N42:O43"/>
    <mergeCell ref="N46:O46"/>
    <mergeCell ref="N47:O47"/>
    <mergeCell ref="C42:D43"/>
    <mergeCell ref="A54:B54"/>
    <mergeCell ref="A55:B55"/>
    <mergeCell ref="A50:B50"/>
    <mergeCell ref="A51:B51"/>
    <mergeCell ref="A52:B52"/>
    <mergeCell ref="A53:B53"/>
    <mergeCell ref="A46:B46"/>
    <mergeCell ref="A47:B47"/>
    <mergeCell ref="A48:B48"/>
    <mergeCell ref="A49:B49"/>
    <mergeCell ref="Q48:R48"/>
    <mergeCell ref="Q49:R49"/>
    <mergeCell ref="J48:K48"/>
    <mergeCell ref="J49:K49"/>
    <mergeCell ref="N48:O48"/>
    <mergeCell ref="N49:O49"/>
    <mergeCell ref="A43:B43"/>
    <mergeCell ref="A44:B44"/>
    <mergeCell ref="H42:I43"/>
    <mergeCell ref="A45:B45"/>
    <mergeCell ref="Q1:R1"/>
    <mergeCell ref="Q39:R39"/>
    <mergeCell ref="Q40:R40"/>
    <mergeCell ref="A42:B42"/>
    <mergeCell ref="C1:E1"/>
    <mergeCell ref="G1:O1"/>
    <mergeCell ref="E42:G42"/>
    <mergeCell ref="E46:G46"/>
    <mergeCell ref="C44:D44"/>
    <mergeCell ref="C45:D45"/>
    <mergeCell ref="C46:D46"/>
    <mergeCell ref="E45:G45"/>
    <mergeCell ref="Q46:R46"/>
    <mergeCell ref="C2:C3"/>
    <mergeCell ref="D2:D3"/>
    <mergeCell ref="E2:E3"/>
    <mergeCell ref="H2:H3"/>
    <mergeCell ref="I2:I3"/>
    <mergeCell ref="Q2:Q3"/>
    <mergeCell ref="O2:O3"/>
    <mergeCell ref="M2:M3"/>
    <mergeCell ref="G39:I39"/>
    <mergeCell ref="G40:I40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65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52"/>
    <pageSetUpPr fitToPage="1"/>
  </sheetPr>
  <dimension ref="A1:S84"/>
  <sheetViews>
    <sheetView showGridLines="0" zoomScale="80" zoomScaleNormal="120" workbookViewId="0">
      <pane ySplit="3" topLeftCell="A4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8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8.28515625" style="3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>IF(SUM(C5:D5)=0,"",SUM(C5:D5))</f>
        <v>#REF!</v>
      </c>
      <c r="F5" s="7"/>
      <c r="G5" s="24" t="e">
        <f>IF(#REF!="","",#REF!)</f>
        <v>#REF!</v>
      </c>
      <c r="H5" s="23" t="e">
        <f>IF(#REF!="","",#REF!)</f>
        <v>#REF!</v>
      </c>
      <c r="I5" s="116" t="e">
        <f>IF(SUM(G5:H5)=0,"",SUM(G5:H5))</f>
        <v>#REF!</v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41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/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27" t="str">
        <f>IF(SUM(C7:D7)=0,"",SUM(C7:D7))</f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45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27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>IF(SUM(C9:D9)=0,"",SUM(C9:D9))</f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 t="e">
        <f>IF(#REF!="","",-#REF!)</f>
        <v>#REF!</v>
      </c>
      <c r="L9" s="23" t="e">
        <f>IF(#REF!="","",-#REF!)</f>
        <v>#REF!</v>
      </c>
      <c r="M9" s="116" t="e">
        <f>IF(SUM(J9:L9)=0,"",SUM(J9:L9))</f>
        <v>#REF!</v>
      </c>
      <c r="N9" s="41" t="e">
        <f>IF(#REF!="","",-#REF!)</f>
        <v>#REF!</v>
      </c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>IF(SUM(C10:D10)=0,"",SUM(C10:D10))</f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45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>IF(SUM(C11:D11)=0,"",SUM(C11:D11))</f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 t="e">
        <f>IF(SUM(K7:K10)=0,"",SUM(K7:K10))</f>
        <v>#REF!</v>
      </c>
      <c r="L11" s="25" t="e">
        <f>IF(SUM(L7:L10)=0,"",SUM(L7:L10))</f>
        <v>#REF!</v>
      </c>
      <c r="M11" s="116" t="e">
        <f>IF(SUM(J11:L11)=0,"",SUM(J11:L11))</f>
        <v>#REF!</v>
      </c>
      <c r="N11" s="28" t="e">
        <f>IF(SUM(N7:N10)=0,"",SUM(N7:N10))</f>
        <v>#REF!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0">IF(AND(G5="",G11=""),"",SUM(G5,G11))</f>
        <v>#REF!</v>
      </c>
      <c r="H13" s="11" t="e">
        <f t="shared" si="0"/>
        <v>#REF!</v>
      </c>
      <c r="I13" s="117" t="e">
        <f t="shared" si="0"/>
        <v>#REF!</v>
      </c>
      <c r="J13" s="14" t="e">
        <f t="shared" si="0"/>
        <v>#REF!</v>
      </c>
      <c r="K13" s="11" t="e">
        <f t="shared" si="0"/>
        <v>#REF!</v>
      </c>
      <c r="L13" s="11" t="e">
        <f t="shared" si="0"/>
        <v>#REF!</v>
      </c>
      <c r="M13" s="118" t="e">
        <f t="shared" si="0"/>
        <v>#REF!</v>
      </c>
      <c r="N13" s="46" t="e">
        <f t="shared" si="0"/>
        <v>#REF!</v>
      </c>
      <c r="O13" s="47" t="e">
        <f t="shared" si="0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/>
      <c r="D16" s="21"/>
      <c r="E16" s="27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 t="shared" ref="M16:M26" si="1">IF(SUM(J16:L16)=0,"",SUM(J16:L16))</f>
        <v/>
      </c>
      <c r="N16" s="43"/>
      <c r="O16" s="45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16" t="str">
        <f t="shared" si="1"/>
        <v/>
      </c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27" t="str">
        <f t="shared" ref="E18:E26" si="2">IF(SUM(C18:D18)=0,"",SUM(C18:D18))</f>
        <v/>
      </c>
      <c r="F18" s="7"/>
      <c r="G18" s="22"/>
      <c r="H18" s="21"/>
      <c r="I18" s="116" t="str">
        <f t="shared" ref="I18:I26" si="3">IF(SUM(G18:H18)=0,"",SUM(G18:H18))</f>
        <v/>
      </c>
      <c r="J18" s="22"/>
      <c r="K18" s="21"/>
      <c r="L18" s="21"/>
      <c r="M18" s="116" t="str">
        <f t="shared" si="1"/>
        <v/>
      </c>
      <c r="N18" s="43"/>
      <c r="O18" s="45" t="str">
        <f t="shared" ref="O18:O26" si="4">IF(SUM(I18,M18,N18)=0,"",SUM(I18,M18,N18))</f>
        <v/>
      </c>
      <c r="P18" s="9"/>
      <c r="Q18" s="134" t="str">
        <f t="shared" ref="Q18:Q26" si="5">IF(SUM(E18,O18)=0,"",SUM(E18,O18))</f>
        <v/>
      </c>
      <c r="R18" s="112" t="str">
        <f t="shared" ref="R18:R26" si="6">IF(Q18="","",Q18/Q$28)</f>
        <v/>
      </c>
    </row>
    <row r="19" spans="1:18" x14ac:dyDescent="0.2">
      <c r="A19" s="88"/>
      <c r="B19" s="103" t="s">
        <v>20</v>
      </c>
      <c r="C19" s="22"/>
      <c r="D19" s="21"/>
      <c r="E19" s="27" t="str">
        <f t="shared" si="2"/>
        <v/>
      </c>
      <c r="F19" s="7"/>
      <c r="G19" s="22"/>
      <c r="H19" s="21"/>
      <c r="I19" s="116" t="str">
        <f t="shared" si="3"/>
        <v/>
      </c>
      <c r="J19" s="22"/>
      <c r="K19" s="21"/>
      <c r="L19" s="21"/>
      <c r="M19" s="116" t="str">
        <f t="shared" si="1"/>
        <v/>
      </c>
      <c r="N19" s="43"/>
      <c r="O19" s="45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57</v>
      </c>
      <c r="C20" s="22"/>
      <c r="D20" s="21"/>
      <c r="E20" s="27" t="str">
        <f t="shared" si="2"/>
        <v/>
      </c>
      <c r="F20" s="7"/>
      <c r="G20" s="22"/>
      <c r="H20" s="21"/>
      <c r="I20" s="116" t="str">
        <f t="shared" si="3"/>
        <v/>
      </c>
      <c r="J20" s="22"/>
      <c r="K20" s="21"/>
      <c r="L20" s="21"/>
      <c r="M20" s="116" t="str">
        <f t="shared" si="1"/>
        <v/>
      </c>
      <c r="N20" s="43"/>
      <c r="O20" s="45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2"/>
        <v/>
      </c>
      <c r="F21" s="7"/>
      <c r="G21" s="22"/>
      <c r="H21" s="21"/>
      <c r="I21" s="116" t="str">
        <f t="shared" si="3"/>
        <v/>
      </c>
      <c r="J21" s="22"/>
      <c r="K21" s="21"/>
      <c r="L21" s="21"/>
      <c r="M21" s="116" t="str">
        <f t="shared" si="1"/>
        <v/>
      </c>
      <c r="N21" s="43"/>
      <c r="O21" s="45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55</v>
      </c>
      <c r="C22" s="22"/>
      <c r="D22" s="21"/>
      <c r="E22" s="27" t="str">
        <f t="shared" si="2"/>
        <v/>
      </c>
      <c r="F22" s="7"/>
      <c r="G22" s="22"/>
      <c r="H22" s="21"/>
      <c r="I22" s="116" t="str">
        <f t="shared" si="3"/>
        <v/>
      </c>
      <c r="J22" s="22"/>
      <c r="K22" s="21"/>
      <c r="L22" s="21"/>
      <c r="M22" s="116" t="str">
        <f t="shared" si="1"/>
        <v/>
      </c>
      <c r="N22" s="43"/>
      <c r="O22" s="45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56</v>
      </c>
      <c r="C23" s="22"/>
      <c r="D23" s="21"/>
      <c r="E23" s="27" t="str">
        <f t="shared" si="2"/>
        <v/>
      </c>
      <c r="F23" s="7"/>
      <c r="G23" s="22"/>
      <c r="H23" s="21"/>
      <c r="I23" s="116" t="str">
        <f t="shared" si="3"/>
        <v/>
      </c>
      <c r="J23" s="22"/>
      <c r="K23" s="21"/>
      <c r="L23" s="21"/>
      <c r="M23" s="116" t="str">
        <f t="shared" si="1"/>
        <v/>
      </c>
      <c r="N23" s="43"/>
      <c r="O23" s="45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2"/>
        <v/>
      </c>
      <c r="F24" s="7"/>
      <c r="G24" s="22"/>
      <c r="H24" s="21"/>
      <c r="I24" s="116" t="str">
        <f t="shared" si="3"/>
        <v/>
      </c>
      <c r="J24" s="22"/>
      <c r="K24" s="21"/>
      <c r="L24" s="21"/>
      <c r="M24" s="116" t="str">
        <f t="shared" si="1"/>
        <v/>
      </c>
      <c r="N24" s="43"/>
      <c r="O24" s="45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2"/>
        <v/>
      </c>
      <c r="F25" s="7"/>
      <c r="G25" s="22"/>
      <c r="H25" s="21"/>
      <c r="I25" s="116" t="str">
        <f t="shared" si="3"/>
        <v/>
      </c>
      <c r="J25" s="22"/>
      <c r="K25" s="21"/>
      <c r="L25" s="21"/>
      <c r="M25" s="116" t="str">
        <f t="shared" si="1"/>
        <v/>
      </c>
      <c r="N25" s="43"/>
      <c r="O25" s="45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/>
      <c r="D26" s="21"/>
      <c r="E26" s="27" t="str">
        <f t="shared" si="2"/>
        <v/>
      </c>
      <c r="F26" s="7"/>
      <c r="G26" s="22"/>
      <c r="H26" s="21"/>
      <c r="I26" s="116" t="str">
        <f t="shared" si="3"/>
        <v/>
      </c>
      <c r="J26" s="22"/>
      <c r="K26" s="21"/>
      <c r="L26" s="21"/>
      <c r="M26" s="116" t="str">
        <f t="shared" si="1"/>
        <v/>
      </c>
      <c r="N26" s="43"/>
      <c r="O26" s="45" t="str">
        <f t="shared" si="4"/>
        <v/>
      </c>
      <c r="P26" s="9"/>
      <c r="Q26" s="134" t="str">
        <f t="shared" si="5"/>
        <v/>
      </c>
      <c r="R26" s="112" t="str">
        <f t="shared" si="6"/>
        <v/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0</v>
      </c>
      <c r="D28" s="14">
        <f>SUM(D16:D27)</f>
        <v>0</v>
      </c>
      <c r="E28" s="14">
        <f>SUM(E16:E27)</f>
        <v>0</v>
      </c>
      <c r="F28" s="119"/>
      <c r="G28" s="14">
        <f>SUM(G16:G27)</f>
        <v>0</v>
      </c>
      <c r="H28" s="14">
        <f>SUM(H16:H27)</f>
        <v>0</v>
      </c>
      <c r="I28" s="14">
        <f>SUM(I16:I27)</f>
        <v>0</v>
      </c>
      <c r="J28" s="14">
        <f>SUM(J16:J27)</f>
        <v>0</v>
      </c>
      <c r="K28" s="14">
        <f t="shared" ref="K28:Q28" si="7">SUM(K16:K27)</f>
        <v>0</v>
      </c>
      <c r="L28" s="14">
        <f t="shared" si="7"/>
        <v>0</v>
      </c>
      <c r="M28" s="176">
        <f t="shared" si="7"/>
        <v>0</v>
      </c>
      <c r="N28" s="175" t="str">
        <f>IF(SUM(N16:N27)=0,"",SUM(N16:N27))</f>
        <v/>
      </c>
      <c r="O28" s="14">
        <f t="shared" si="7"/>
        <v>0</v>
      </c>
      <c r="P28" s="9"/>
      <c r="Q28" s="137">
        <f t="shared" si="7"/>
        <v>0</v>
      </c>
      <c r="R28" s="136" t="e">
        <f>IF(Q28="","",Q28/Q$28)</f>
        <v>#DIV/0!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60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8">IF(OR(G30="",G31=""),"",G30/G31)</f>
        <v>#REF!</v>
      </c>
      <c r="H32" s="61" t="e">
        <f t="shared" si="8"/>
        <v>#REF!</v>
      </c>
      <c r="I32" s="70" t="e">
        <f t="shared" si="8"/>
        <v>#REF!</v>
      </c>
      <c r="J32" s="73" t="e">
        <f t="shared" si="8"/>
        <v>#REF!</v>
      </c>
      <c r="K32" s="61" t="e">
        <f t="shared" si="8"/>
        <v>#REF!</v>
      </c>
      <c r="L32" s="61" t="e">
        <f t="shared" si="8"/>
        <v>#REF!</v>
      </c>
      <c r="M32" s="70" t="e">
        <f t="shared" si="8"/>
        <v>#REF!</v>
      </c>
      <c r="N32" s="85" t="e">
        <f t="shared" si="8"/>
        <v>#REF!</v>
      </c>
      <c r="O32" s="128" t="e">
        <f t="shared" si="8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IF(OR(C30=0,C30="",ISERROR(#REF!+C30)),"",#REF!+C30)</f>
        <v>#REF!</v>
      </c>
      <c r="D34" s="57" t="e">
        <f>IF(OR(D30=0,D30="",ISERROR(#REF!+D30)),"",#REF!+D30)</f>
        <v>#REF!</v>
      </c>
      <c r="E34" s="58" t="e">
        <f>IF(SUM(C34:D34)=0,"",SUM(C34:D34))</f>
        <v>#REF!</v>
      </c>
      <c r="F34" s="7"/>
      <c r="G34" s="65" t="e">
        <f>IF(OR(G30=0,G30="",ISERROR(#REF!+G30)),"",#REF!+G30)</f>
        <v>#REF!</v>
      </c>
      <c r="H34" s="57" t="e">
        <f>IF(OR(H30=0,H30="",ISERROR(#REF!+H30)),"",#REF!+H30)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IF(OR(K30=0,K30="",ISERROR(#REF!+K30)),"",#REF!+K30)</f>
        <v>#REF!</v>
      </c>
      <c r="L34" s="57" t="e">
        <f>IF(OR(L30=0,L30="",ISERROR(#REF!+L30)),"",#REF!+L30)</f>
        <v>#REF!</v>
      </c>
      <c r="M34" s="71" t="e">
        <f>IF(SUM(J34:L34)=0,"",SUM(J34:L34))</f>
        <v>#REF!</v>
      </c>
      <c r="N34" s="83" t="e">
        <f>IF(OR(N30=0,N30="",ISERROR(#REF!+N30)),"",#REF!+N30)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9">IF(ISERROR(G34/G35),"",G34/G35)</f>
        <v/>
      </c>
      <c r="H36" s="61" t="str">
        <f t="shared" si="9"/>
        <v/>
      </c>
      <c r="I36" s="70" t="str">
        <f t="shared" si="9"/>
        <v/>
      </c>
      <c r="J36" s="73" t="str">
        <f t="shared" si="9"/>
        <v/>
      </c>
      <c r="K36" s="61" t="str">
        <f t="shared" si="9"/>
        <v/>
      </c>
      <c r="L36" s="61" t="str">
        <f t="shared" si="9"/>
        <v/>
      </c>
      <c r="M36" s="70" t="str">
        <f t="shared" si="9"/>
        <v/>
      </c>
      <c r="N36" s="85" t="str">
        <f t="shared" si="9"/>
        <v/>
      </c>
      <c r="O36" s="128" t="str">
        <f t="shared" si="9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#REF!</v>
      </c>
      <c r="D39" s="655"/>
      <c r="E39" s="594"/>
      <c r="F39" s="29"/>
      <c r="G39" s="626" t="e">
        <f>IF(I32="","",I32)</f>
        <v>#REF!</v>
      </c>
      <c r="H39" s="626"/>
      <c r="I39" s="626"/>
      <c r="J39" s="626" t="e">
        <f>IF(M32="","",M32)</f>
        <v>#REF!</v>
      </c>
      <c r="K39" s="626"/>
      <c r="L39" s="626"/>
      <c r="M39" s="626"/>
      <c r="N39" s="80" t="e">
        <f>N32</f>
        <v>#REF!</v>
      </c>
      <c r="O39" s="80" t="e">
        <f>IF(O32="","",O32)</f>
        <v>#REF!</v>
      </c>
      <c r="P39" s="30"/>
      <c r="Q39" s="593" t="e">
        <f>IF(Q32="","",Q32)</f>
        <v>#REF!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640" t="s">
        <v>35</v>
      </c>
      <c r="B44" s="641" t="s">
        <v>35</v>
      </c>
      <c r="C44" s="606" t="e">
        <f>IF(#REF!="","",#REF!)</f>
        <v>#REF!</v>
      </c>
      <c r="D44" s="607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58"/>
      <c r="P44" s="10"/>
      <c r="Q44" s="657" t="e">
        <f>IF(#REF!="","",#REF!)</f>
        <v>#REF!</v>
      </c>
      <c r="R44" s="658"/>
      <c r="S44" s="6"/>
    </row>
    <row r="45" spans="1:19" ht="12.75" customHeight="1" x14ac:dyDescent="0.2">
      <c r="A45" s="589" t="s">
        <v>36</v>
      </c>
      <c r="B45" s="590" t="s">
        <v>35</v>
      </c>
      <c r="C45" s="603" t="str">
        <f>IF($Q$31="","",$Q$31)</f>
        <v/>
      </c>
      <c r="D45" s="605"/>
      <c r="E45" s="603" t="e">
        <f>IF($Q$30="","",$Q$30)</f>
        <v>#REF!</v>
      </c>
      <c r="F45" s="604"/>
      <c r="G45" s="605"/>
      <c r="H45" s="632" t="e">
        <f>IF($J$39="","",$J$39)</f>
        <v>#REF!</v>
      </c>
      <c r="I45" s="637"/>
      <c r="J45" s="632" t="e">
        <f>IF($C$39="","",$C$39)</f>
        <v>#REF!</v>
      </c>
      <c r="K45" s="637"/>
      <c r="L45" s="632" t="e">
        <f>IF($O$39="","",$O$39)</f>
        <v>#REF!</v>
      </c>
      <c r="M45" s="637"/>
      <c r="N45" s="632" t="e">
        <f>IF($N$39="","",$N$39)</f>
        <v>#REF!</v>
      </c>
      <c r="O45" s="609"/>
      <c r="P45" s="10"/>
      <c r="Q45" s="608" t="e">
        <f>IF($Q$39="","",$Q$39)</f>
        <v>#REF!</v>
      </c>
      <c r="R45" s="609"/>
      <c r="S45" s="6"/>
    </row>
    <row r="46" spans="1:19" x14ac:dyDescent="0.2">
      <c r="A46" s="589" t="s">
        <v>37</v>
      </c>
      <c r="B46" s="590" t="s">
        <v>35</v>
      </c>
      <c r="C46" s="603"/>
      <c r="D46" s="605"/>
      <c r="E46" s="603"/>
      <c r="F46" s="604"/>
      <c r="G46" s="605"/>
      <c r="H46" s="632"/>
      <c r="I46" s="637"/>
      <c r="J46" s="632"/>
      <c r="K46" s="637"/>
      <c r="L46" s="632"/>
      <c r="M46" s="637"/>
      <c r="N46" s="632"/>
      <c r="O46" s="609"/>
      <c r="P46" s="10"/>
      <c r="Q46" s="608"/>
      <c r="R46" s="609"/>
      <c r="S46" s="6"/>
    </row>
    <row r="47" spans="1:19" ht="12.75" customHeight="1" x14ac:dyDescent="0.2">
      <c r="A47" s="589" t="s">
        <v>38</v>
      </c>
      <c r="B47" s="590" t="s">
        <v>35</v>
      </c>
      <c r="C47" s="603"/>
      <c r="D47" s="605"/>
      <c r="E47" s="603"/>
      <c r="F47" s="604"/>
      <c r="G47" s="605"/>
      <c r="H47" s="632"/>
      <c r="I47" s="637"/>
      <c r="J47" s="632"/>
      <c r="K47" s="637"/>
      <c r="L47" s="632"/>
      <c r="M47" s="637"/>
      <c r="N47" s="632"/>
      <c r="O47" s="609"/>
      <c r="P47" s="10"/>
      <c r="Q47" s="608"/>
      <c r="R47" s="609"/>
      <c r="S47" s="6"/>
    </row>
    <row r="48" spans="1:19" x14ac:dyDescent="0.2">
      <c r="A48" s="589" t="s">
        <v>39</v>
      </c>
      <c r="B48" s="590" t="s">
        <v>35</v>
      </c>
      <c r="C48" s="603"/>
      <c r="D48" s="605"/>
      <c r="E48" s="603"/>
      <c r="F48" s="604"/>
      <c r="G48" s="605"/>
      <c r="H48" s="632"/>
      <c r="I48" s="637"/>
      <c r="J48" s="632"/>
      <c r="K48" s="637"/>
      <c r="L48" s="632"/>
      <c r="M48" s="637"/>
      <c r="N48" s="632"/>
      <c r="O48" s="609"/>
      <c r="P48" s="10"/>
      <c r="Q48" s="608"/>
      <c r="R48" s="609"/>
      <c r="S48" s="6"/>
    </row>
    <row r="49" spans="1:19" x14ac:dyDescent="0.2">
      <c r="A49" s="589" t="s">
        <v>40</v>
      </c>
      <c r="B49" s="590" t="s">
        <v>35</v>
      </c>
      <c r="C49" s="603"/>
      <c r="D49" s="605"/>
      <c r="E49" s="603"/>
      <c r="F49" s="604"/>
      <c r="G49" s="605"/>
      <c r="H49" s="632"/>
      <c r="I49" s="637"/>
      <c r="J49" s="632"/>
      <c r="K49" s="637"/>
      <c r="L49" s="632"/>
      <c r="M49" s="637"/>
      <c r="N49" s="632"/>
      <c r="O49" s="609"/>
      <c r="P49" s="10"/>
      <c r="Q49" s="608"/>
      <c r="R49" s="609"/>
      <c r="S49" s="6"/>
    </row>
    <row r="50" spans="1:19" x14ac:dyDescent="0.2">
      <c r="A50" s="589" t="s">
        <v>41</v>
      </c>
      <c r="B50" s="590" t="s">
        <v>35</v>
      </c>
      <c r="C50" s="603"/>
      <c r="D50" s="605"/>
      <c r="E50" s="603"/>
      <c r="F50" s="604"/>
      <c r="G50" s="605"/>
      <c r="H50" s="632"/>
      <c r="I50" s="637"/>
      <c r="J50" s="632"/>
      <c r="K50" s="637"/>
      <c r="L50" s="632"/>
      <c r="M50" s="637"/>
      <c r="N50" s="632"/>
      <c r="O50" s="609"/>
      <c r="P50" s="10"/>
      <c r="Q50" s="608"/>
      <c r="R50" s="609"/>
      <c r="S50" s="6"/>
    </row>
    <row r="51" spans="1:19" x14ac:dyDescent="0.2">
      <c r="A51" s="589" t="s">
        <v>42</v>
      </c>
      <c r="B51" s="590" t="s">
        <v>35</v>
      </c>
      <c r="C51" s="603"/>
      <c r="D51" s="605"/>
      <c r="E51" s="603"/>
      <c r="F51" s="604"/>
      <c r="G51" s="605"/>
      <c r="H51" s="632"/>
      <c r="I51" s="637"/>
      <c r="J51" s="632"/>
      <c r="K51" s="637"/>
      <c r="L51" s="632"/>
      <c r="M51" s="637"/>
      <c r="N51" s="632"/>
      <c r="O51" s="609"/>
      <c r="P51" s="10"/>
      <c r="Q51" s="608"/>
      <c r="R51" s="609"/>
      <c r="S51" s="6"/>
    </row>
    <row r="52" spans="1:19" x14ac:dyDescent="0.2">
      <c r="A52" s="589" t="s">
        <v>43</v>
      </c>
      <c r="B52" s="590" t="s">
        <v>35</v>
      </c>
      <c r="C52" s="603"/>
      <c r="D52" s="605"/>
      <c r="E52" s="603"/>
      <c r="F52" s="604"/>
      <c r="G52" s="605"/>
      <c r="H52" s="632"/>
      <c r="I52" s="637"/>
      <c r="J52" s="632"/>
      <c r="K52" s="637"/>
      <c r="L52" s="632"/>
      <c r="M52" s="637"/>
      <c r="N52" s="632"/>
      <c r="O52" s="609"/>
      <c r="P52" s="10"/>
      <c r="Q52" s="608"/>
      <c r="R52" s="609"/>
      <c r="S52" s="6"/>
    </row>
    <row r="53" spans="1:19" x14ac:dyDescent="0.2">
      <c r="A53" s="589" t="s">
        <v>44</v>
      </c>
      <c r="B53" s="590" t="s">
        <v>35</v>
      </c>
      <c r="C53" s="603"/>
      <c r="D53" s="605"/>
      <c r="E53" s="603"/>
      <c r="F53" s="604"/>
      <c r="G53" s="605"/>
      <c r="H53" s="632"/>
      <c r="I53" s="637"/>
      <c r="J53" s="632"/>
      <c r="K53" s="637"/>
      <c r="L53" s="632"/>
      <c r="M53" s="637"/>
      <c r="N53" s="632"/>
      <c r="O53" s="609"/>
      <c r="P53" s="10"/>
      <c r="Q53" s="608"/>
      <c r="R53" s="609"/>
      <c r="S53" s="6"/>
    </row>
    <row r="54" spans="1:19" x14ac:dyDescent="0.2">
      <c r="A54" s="589" t="s">
        <v>45</v>
      </c>
      <c r="B54" s="590" t="s">
        <v>35</v>
      </c>
      <c r="C54" s="603"/>
      <c r="D54" s="605"/>
      <c r="E54" s="603"/>
      <c r="F54" s="604"/>
      <c r="G54" s="605"/>
      <c r="H54" s="632"/>
      <c r="I54" s="637"/>
      <c r="J54" s="632"/>
      <c r="K54" s="637"/>
      <c r="L54" s="632"/>
      <c r="M54" s="637"/>
      <c r="N54" s="632"/>
      <c r="O54" s="609"/>
      <c r="P54" s="10"/>
      <c r="Q54" s="608"/>
      <c r="R54" s="609"/>
      <c r="S54" s="6"/>
    </row>
    <row r="55" spans="1:19" ht="13.5" customHeight="1" thickBot="1" x14ac:dyDescent="0.25">
      <c r="A55" s="635" t="s">
        <v>46</v>
      </c>
      <c r="B55" s="636" t="s">
        <v>35</v>
      </c>
      <c r="C55" s="700"/>
      <c r="D55" s="701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10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0">IF(ISERROR((G30/G32)/100),"",(G30/G32)/100)</f>
        <v/>
      </c>
      <c r="H79" s="144" t="str">
        <f t="shared" si="10"/>
        <v/>
      </c>
      <c r="I79" s="148" t="str">
        <f t="shared" si="10"/>
        <v/>
      </c>
      <c r="J79" s="143" t="str">
        <f t="shared" si="10"/>
        <v/>
      </c>
      <c r="K79" s="144" t="str">
        <f t="shared" si="10"/>
        <v/>
      </c>
      <c r="L79" s="144" t="str">
        <f t="shared" si="10"/>
        <v/>
      </c>
      <c r="M79" s="149" t="str">
        <f t="shared" si="10"/>
        <v/>
      </c>
      <c r="N79" s="150" t="str">
        <f t="shared" si="10"/>
        <v/>
      </c>
      <c r="O79" s="146" t="str">
        <f t="shared" si="10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1">IF(ISERROR(((G32-G$76)*100)*G79),"",((G32-G$76)*100)*G79)</f>
        <v/>
      </c>
      <c r="H80" s="159" t="str">
        <f t="shared" si="11"/>
        <v/>
      </c>
      <c r="I80" s="163" t="str">
        <f t="shared" si="11"/>
        <v/>
      </c>
      <c r="J80" s="158" t="str">
        <f t="shared" si="11"/>
        <v/>
      </c>
      <c r="K80" s="159" t="str">
        <f t="shared" si="11"/>
        <v/>
      </c>
      <c r="L80" s="159" t="str">
        <f t="shared" si="11"/>
        <v/>
      </c>
      <c r="M80" s="163" t="str">
        <f t="shared" si="11"/>
        <v/>
      </c>
      <c r="N80" s="164" t="str">
        <f t="shared" si="11"/>
        <v/>
      </c>
      <c r="O80" s="165" t="str">
        <f t="shared" si="11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2">IF(ISERROR((G34/G36)/100),"",(G34/G36)/100)</f>
        <v/>
      </c>
      <c r="H82" s="144" t="str">
        <f t="shared" si="12"/>
        <v/>
      </c>
      <c r="I82" s="148" t="str">
        <f t="shared" si="12"/>
        <v/>
      </c>
      <c r="J82" s="143" t="str">
        <f t="shared" si="12"/>
        <v/>
      </c>
      <c r="K82" s="144" t="str">
        <f t="shared" si="12"/>
        <v/>
      </c>
      <c r="L82" s="144" t="str">
        <f t="shared" si="12"/>
        <v/>
      </c>
      <c r="M82" s="149" t="str">
        <f t="shared" si="12"/>
        <v/>
      </c>
      <c r="N82" s="150" t="str">
        <f t="shared" si="12"/>
        <v/>
      </c>
      <c r="O82" s="146" t="str">
        <f t="shared" si="12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3">IF(ISERROR(((G36-G$76)*100)*G82),"",((G36-G$76)*100)*G82)</f>
        <v/>
      </c>
      <c r="H83" s="159" t="str">
        <f t="shared" si="13"/>
        <v/>
      </c>
      <c r="I83" s="163" t="str">
        <f t="shared" si="13"/>
        <v/>
      </c>
      <c r="J83" s="158" t="str">
        <f t="shared" si="13"/>
        <v/>
      </c>
      <c r="K83" s="159" t="str">
        <f t="shared" si="13"/>
        <v/>
      </c>
      <c r="L83" s="159" t="str">
        <f t="shared" si="13"/>
        <v/>
      </c>
      <c r="M83" s="163" t="str">
        <f t="shared" si="13"/>
        <v/>
      </c>
      <c r="N83" s="164" t="str">
        <f t="shared" si="13"/>
        <v/>
      </c>
      <c r="O83" s="165" t="str">
        <f t="shared" si="13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57">
    <mergeCell ref="A77:B78"/>
    <mergeCell ref="R77:R78"/>
    <mergeCell ref="Q80:R80"/>
    <mergeCell ref="O77:O78"/>
    <mergeCell ref="Q77:Q78"/>
    <mergeCell ref="Q79:R79"/>
    <mergeCell ref="C77:C78"/>
    <mergeCell ref="D77:D78"/>
    <mergeCell ref="E77:E78"/>
    <mergeCell ref="G77:G78"/>
    <mergeCell ref="M77:M78"/>
    <mergeCell ref="N77:N78"/>
    <mergeCell ref="H77:H78"/>
    <mergeCell ref="I77:I78"/>
    <mergeCell ref="J77:J78"/>
    <mergeCell ref="Q83:R83"/>
    <mergeCell ref="Q36:R36"/>
    <mergeCell ref="N50:O50"/>
    <mergeCell ref="N51:O51"/>
    <mergeCell ref="Q76:R76"/>
    <mergeCell ref="N46:O46"/>
    <mergeCell ref="N47:O47"/>
    <mergeCell ref="N48:O48"/>
    <mergeCell ref="N49:O49"/>
    <mergeCell ref="Q52:R52"/>
    <mergeCell ref="Q48:R48"/>
    <mergeCell ref="Q49:R49"/>
    <mergeCell ref="Q50:R50"/>
    <mergeCell ref="Q51:R51"/>
    <mergeCell ref="Q45:R45"/>
    <mergeCell ref="Q46:R46"/>
    <mergeCell ref="Q47:R47"/>
    <mergeCell ref="N52:O52"/>
    <mergeCell ref="N53:O53"/>
    <mergeCell ref="N54:O54"/>
    <mergeCell ref="L52:M52"/>
    <mergeCell ref="L54:M54"/>
    <mergeCell ref="L55:M55"/>
    <mergeCell ref="L50:M50"/>
    <mergeCell ref="L51:M51"/>
    <mergeCell ref="Q53:R53"/>
    <mergeCell ref="Q54:R54"/>
    <mergeCell ref="Q55:R55"/>
    <mergeCell ref="Q82:R82"/>
    <mergeCell ref="N55:O55"/>
    <mergeCell ref="L53:M53"/>
    <mergeCell ref="E49:G49"/>
    <mergeCell ref="E50:G50"/>
    <mergeCell ref="E51:G51"/>
    <mergeCell ref="E52:G52"/>
    <mergeCell ref="E53:G53"/>
    <mergeCell ref="E54:G54"/>
    <mergeCell ref="E55:G55"/>
    <mergeCell ref="J49:K49"/>
    <mergeCell ref="H53:I53"/>
    <mergeCell ref="J50:K50"/>
    <mergeCell ref="J51:K51"/>
    <mergeCell ref="J52:K52"/>
    <mergeCell ref="J53:K53"/>
    <mergeCell ref="H54:I54"/>
    <mergeCell ref="H55:I55"/>
    <mergeCell ref="H50:I50"/>
    <mergeCell ref="H51:I51"/>
    <mergeCell ref="H52:I52"/>
    <mergeCell ref="H49:I49"/>
    <mergeCell ref="J54:K54"/>
    <mergeCell ref="J55:K55"/>
    <mergeCell ref="E47:G47"/>
    <mergeCell ref="E44:G44"/>
    <mergeCell ref="H44:I44"/>
    <mergeCell ref="N44:O44"/>
    <mergeCell ref="J45:K45"/>
    <mergeCell ref="J46:K46"/>
    <mergeCell ref="J47:K47"/>
    <mergeCell ref="J48:K48"/>
    <mergeCell ref="L46:M46"/>
    <mergeCell ref="L47:M47"/>
    <mergeCell ref="N45:O45"/>
    <mergeCell ref="L49:M49"/>
    <mergeCell ref="Q30:R30"/>
    <mergeCell ref="Q31:R31"/>
    <mergeCell ref="Q32:R32"/>
    <mergeCell ref="Q34:R34"/>
    <mergeCell ref="Q35:R35"/>
    <mergeCell ref="L48:M48"/>
    <mergeCell ref="A45:B45"/>
    <mergeCell ref="A42:B42"/>
    <mergeCell ref="A43:B43"/>
    <mergeCell ref="A44:B44"/>
    <mergeCell ref="C44:D44"/>
    <mergeCell ref="E45:G45"/>
    <mergeCell ref="H45:I45"/>
    <mergeCell ref="Q42:R43"/>
    <mergeCell ref="Q44:R44"/>
    <mergeCell ref="C38:E38"/>
    <mergeCell ref="G40:I40"/>
    <mergeCell ref="E48:G48"/>
    <mergeCell ref="H46:I46"/>
    <mergeCell ref="H47:I47"/>
    <mergeCell ref="H48:I48"/>
    <mergeCell ref="N42:O43"/>
    <mergeCell ref="E46:G46"/>
    <mergeCell ref="Q1:R1"/>
    <mergeCell ref="Q39:R39"/>
    <mergeCell ref="Q40:R40"/>
    <mergeCell ref="J39:M39"/>
    <mergeCell ref="J40:M40"/>
    <mergeCell ref="R2:R3"/>
    <mergeCell ref="J2:J3"/>
    <mergeCell ref="O2:O3"/>
    <mergeCell ref="M2:M3"/>
    <mergeCell ref="N2:N3"/>
    <mergeCell ref="Q38:R38"/>
    <mergeCell ref="C2:C3"/>
    <mergeCell ref="D2:D3"/>
    <mergeCell ref="Q2:Q3"/>
    <mergeCell ref="C45:D45"/>
    <mergeCell ref="G1:O1"/>
    <mergeCell ref="E42:G42"/>
    <mergeCell ref="C42:D43"/>
    <mergeCell ref="E43:G43"/>
    <mergeCell ref="C40:E40"/>
    <mergeCell ref="I2:I3"/>
    <mergeCell ref="J38:M38"/>
    <mergeCell ref="E2:E3"/>
    <mergeCell ref="H2:H3"/>
    <mergeCell ref="C1:E1"/>
    <mergeCell ref="C39:E39"/>
    <mergeCell ref="J42:K43"/>
    <mergeCell ref="L44:M44"/>
    <mergeCell ref="L42:M43"/>
    <mergeCell ref="J44:K44"/>
    <mergeCell ref="H42:I43"/>
    <mergeCell ref="L45:M45"/>
    <mergeCell ref="G2:G3"/>
    <mergeCell ref="G38:I38"/>
    <mergeCell ref="G39:I39"/>
    <mergeCell ref="A54:B54"/>
    <mergeCell ref="A55:B55"/>
    <mergeCell ref="A50:B50"/>
    <mergeCell ref="A51:B51"/>
    <mergeCell ref="A52:B52"/>
    <mergeCell ref="A53:B53"/>
    <mergeCell ref="C46:D46"/>
    <mergeCell ref="A48:B48"/>
    <mergeCell ref="A49:B49"/>
    <mergeCell ref="A46:B46"/>
    <mergeCell ref="C51:D51"/>
    <mergeCell ref="C47:D47"/>
    <mergeCell ref="C48:D48"/>
    <mergeCell ref="A47:B47"/>
    <mergeCell ref="C50:D50"/>
    <mergeCell ref="C52:D52"/>
    <mergeCell ref="C53:D53"/>
    <mergeCell ref="C49:D49"/>
    <mergeCell ref="C54:D54"/>
    <mergeCell ref="C55:D55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72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52"/>
    <pageSetUpPr fitToPage="1"/>
  </sheetPr>
  <dimension ref="A1:S84"/>
  <sheetViews>
    <sheetView showGridLines="0" zoomScale="80" zoomScaleNormal="120" workbookViewId="0">
      <pane ySplit="3" topLeftCell="A16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8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8.28515625" style="3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 t="shared" ref="E5:E11" si="0">IF(SUM(C5:D5)=0,"",SUM(C5:D5))</f>
        <v>#REF!</v>
      </c>
      <c r="F5" s="7"/>
      <c r="G5" s="24" t="e">
        <f>IF(#REF!="","",#REF!)</f>
        <v>#REF!</v>
      </c>
      <c r="H5" s="23" t="e">
        <f>IF(#REF!="","",#REF!)</f>
        <v>#REF!</v>
      </c>
      <c r="I5" s="116" t="e">
        <f>IF(SUM(G5:H5)=0,"",SUM(G5:H5))</f>
        <v>#REF!</v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41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 t="str">
        <f t="shared" si="0"/>
        <v/>
      </c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27" t="str">
        <f t="shared" si="0"/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45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27" t="str">
        <f t="shared" si="0"/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 t="shared" si="0"/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 t="e">
        <f>IF(#REF!="","",-#REF!)</f>
        <v>#REF!</v>
      </c>
      <c r="L9" s="23" t="e">
        <f>IF(#REF!="","",-#REF!)</f>
        <v>#REF!</v>
      </c>
      <c r="M9" s="116" t="e">
        <f>IF(SUM(J9:L9)=0,"",SUM(J9:L9))</f>
        <v>#REF!</v>
      </c>
      <c r="N9" s="41" t="e">
        <f>IF(#REF!="","",-#REF!)</f>
        <v>#REF!</v>
      </c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 t="shared" si="0"/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45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 t="shared" si="0"/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 t="e">
        <f>IF(SUM(K7:K10)=0,"",SUM(K7:K10))</f>
        <v>#REF!</v>
      </c>
      <c r="L11" s="25" t="e">
        <f>IF(SUM(L7:L10)=0,"",SUM(L7:L10))</f>
        <v>#REF!</v>
      </c>
      <c r="M11" s="116" t="e">
        <f>IF(SUM(J11:L11)=0,"",SUM(J11:L11))</f>
        <v>#REF!</v>
      </c>
      <c r="N11" s="28" t="e">
        <f>IF(SUM(N7:N10)=0,"",SUM(N7:N10))</f>
        <v>#REF!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1">IF(AND(G5="",G11=""),"",SUM(G5,G11))</f>
        <v>#REF!</v>
      </c>
      <c r="H13" s="11" t="e">
        <f t="shared" si="1"/>
        <v>#REF!</v>
      </c>
      <c r="I13" s="117" t="e">
        <f t="shared" si="1"/>
        <v>#REF!</v>
      </c>
      <c r="J13" s="14" t="e">
        <f t="shared" si="1"/>
        <v>#REF!</v>
      </c>
      <c r="K13" s="11" t="e">
        <f t="shared" si="1"/>
        <v>#REF!</v>
      </c>
      <c r="L13" s="11" t="e">
        <f t="shared" si="1"/>
        <v>#REF!</v>
      </c>
      <c r="M13" s="118" t="e">
        <f t="shared" si="1"/>
        <v>#REF!</v>
      </c>
      <c r="N13" s="46" t="e">
        <f t="shared" si="1"/>
        <v>#REF!</v>
      </c>
      <c r="O13" s="47" t="e">
        <f t="shared" si="1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/>
      <c r="D16" s="21"/>
      <c r="E16" s="27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>IF(SUM(J16:L16)=0,"",SUM(J16:L16))</f>
        <v/>
      </c>
      <c r="N16" s="43"/>
      <c r="O16" s="45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20"/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27" t="str">
        <f t="shared" ref="E18:E26" si="2">IF(SUM(C18:D18)=0,"",SUM(C18:D18))</f>
        <v/>
      </c>
      <c r="F18" s="7"/>
      <c r="G18" s="22"/>
      <c r="H18" s="21"/>
      <c r="I18" s="116" t="str">
        <f t="shared" ref="I18:I26" si="3">IF(SUM(G18:H18)=0,"",SUM(G18:H18))</f>
        <v/>
      </c>
      <c r="J18" s="22"/>
      <c r="K18" s="21"/>
      <c r="L18" s="21"/>
      <c r="M18" s="116" t="str">
        <f t="shared" ref="M18:M26" si="4">IF(SUM(J18:L18)=0,"",SUM(J18:L18))</f>
        <v/>
      </c>
      <c r="N18" s="43"/>
      <c r="O18" s="45" t="str">
        <f t="shared" ref="O18:O26" si="5">IF(SUM(I18,M18,N18)=0,"",SUM(I18,M18,N18))</f>
        <v/>
      </c>
      <c r="P18" s="9"/>
      <c r="Q18" s="134" t="str">
        <f t="shared" ref="Q18:Q26" si="6">IF(SUM(E18,O18)=0,"",SUM(E18,O18))</f>
        <v/>
      </c>
      <c r="R18" s="112" t="str">
        <f t="shared" ref="R18:R26" si="7">IF(Q18="","",Q18/Q$28)</f>
        <v/>
      </c>
    </row>
    <row r="19" spans="1:18" x14ac:dyDescent="0.2">
      <c r="A19" s="88"/>
      <c r="B19" s="103" t="s">
        <v>20</v>
      </c>
      <c r="C19" s="22"/>
      <c r="D19" s="21"/>
      <c r="E19" s="27" t="str">
        <f t="shared" si="2"/>
        <v/>
      </c>
      <c r="F19" s="7"/>
      <c r="G19" s="22"/>
      <c r="H19" s="21"/>
      <c r="I19" s="116" t="str">
        <f t="shared" si="3"/>
        <v/>
      </c>
      <c r="J19" s="22"/>
      <c r="K19" s="21"/>
      <c r="L19" s="21"/>
      <c r="M19" s="116" t="str">
        <f t="shared" si="4"/>
        <v/>
      </c>
      <c r="N19" s="43"/>
      <c r="O19" s="45" t="str">
        <f t="shared" si="5"/>
        <v/>
      </c>
      <c r="P19" s="9"/>
      <c r="Q19" s="134" t="str">
        <f t="shared" si="6"/>
        <v/>
      </c>
      <c r="R19" s="112" t="str">
        <f t="shared" si="7"/>
        <v/>
      </c>
    </row>
    <row r="20" spans="1:18" x14ac:dyDescent="0.2">
      <c r="A20" s="88"/>
      <c r="B20" s="103" t="s">
        <v>57</v>
      </c>
      <c r="C20" s="22"/>
      <c r="D20" s="21"/>
      <c r="E20" s="27" t="str">
        <f t="shared" si="2"/>
        <v/>
      </c>
      <c r="F20" s="7"/>
      <c r="G20" s="22"/>
      <c r="H20" s="21"/>
      <c r="I20" s="116" t="str">
        <f t="shared" si="3"/>
        <v/>
      </c>
      <c r="J20" s="22"/>
      <c r="K20" s="21"/>
      <c r="L20" s="21"/>
      <c r="M20" s="116" t="str">
        <f t="shared" si="4"/>
        <v/>
      </c>
      <c r="N20" s="43"/>
      <c r="O20" s="45" t="str">
        <f t="shared" si="5"/>
        <v/>
      </c>
      <c r="P20" s="9"/>
      <c r="Q20" s="134" t="str">
        <f t="shared" si="6"/>
        <v/>
      </c>
      <c r="R20" s="112" t="str">
        <f t="shared" si="7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2"/>
        <v/>
      </c>
      <c r="F21" s="7"/>
      <c r="G21" s="22"/>
      <c r="H21" s="21"/>
      <c r="I21" s="116" t="str">
        <f t="shared" si="3"/>
        <v/>
      </c>
      <c r="J21" s="22"/>
      <c r="K21" s="21"/>
      <c r="L21" s="21"/>
      <c r="M21" s="116" t="str">
        <f t="shared" si="4"/>
        <v/>
      </c>
      <c r="N21" s="43"/>
      <c r="O21" s="45" t="str">
        <f t="shared" si="5"/>
        <v/>
      </c>
      <c r="P21" s="9"/>
      <c r="Q21" s="134" t="str">
        <f t="shared" si="6"/>
        <v/>
      </c>
      <c r="R21" s="112" t="str">
        <f t="shared" si="7"/>
        <v/>
      </c>
    </row>
    <row r="22" spans="1:18" x14ac:dyDescent="0.2">
      <c r="A22" s="88"/>
      <c r="B22" s="103" t="s">
        <v>55</v>
      </c>
      <c r="C22" s="22"/>
      <c r="D22" s="21"/>
      <c r="E22" s="27" t="str">
        <f t="shared" si="2"/>
        <v/>
      </c>
      <c r="F22" s="7"/>
      <c r="G22" s="22"/>
      <c r="H22" s="21"/>
      <c r="I22" s="116" t="str">
        <f t="shared" si="3"/>
        <v/>
      </c>
      <c r="J22" s="22"/>
      <c r="K22" s="21"/>
      <c r="L22" s="21"/>
      <c r="M22" s="116" t="str">
        <f t="shared" si="4"/>
        <v/>
      </c>
      <c r="N22" s="43"/>
      <c r="O22" s="45" t="str">
        <f t="shared" si="5"/>
        <v/>
      </c>
      <c r="P22" s="9"/>
      <c r="Q22" s="134" t="str">
        <f t="shared" si="6"/>
        <v/>
      </c>
      <c r="R22" s="112" t="str">
        <f t="shared" si="7"/>
        <v/>
      </c>
    </row>
    <row r="23" spans="1:18" x14ac:dyDescent="0.2">
      <c r="A23" s="88"/>
      <c r="B23" s="103" t="s">
        <v>56</v>
      </c>
      <c r="C23" s="22"/>
      <c r="D23" s="21"/>
      <c r="E23" s="27" t="str">
        <f t="shared" si="2"/>
        <v/>
      </c>
      <c r="F23" s="7"/>
      <c r="G23" s="22"/>
      <c r="H23" s="21"/>
      <c r="I23" s="116" t="str">
        <f t="shared" si="3"/>
        <v/>
      </c>
      <c r="J23" s="22"/>
      <c r="K23" s="21"/>
      <c r="L23" s="21"/>
      <c r="M23" s="116" t="str">
        <f t="shared" si="4"/>
        <v/>
      </c>
      <c r="N23" s="43"/>
      <c r="O23" s="45" t="str">
        <f t="shared" si="5"/>
        <v/>
      </c>
      <c r="P23" s="9"/>
      <c r="Q23" s="134" t="str">
        <f t="shared" si="6"/>
        <v/>
      </c>
      <c r="R23" s="112" t="str">
        <f t="shared" si="7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2"/>
        <v/>
      </c>
      <c r="F24" s="7"/>
      <c r="G24" s="22"/>
      <c r="H24" s="21"/>
      <c r="I24" s="116" t="str">
        <f t="shared" si="3"/>
        <v/>
      </c>
      <c r="J24" s="22"/>
      <c r="K24" s="21"/>
      <c r="L24" s="21"/>
      <c r="M24" s="116" t="str">
        <f t="shared" si="4"/>
        <v/>
      </c>
      <c r="N24" s="43"/>
      <c r="O24" s="45" t="str">
        <f t="shared" si="5"/>
        <v/>
      </c>
      <c r="P24" s="9"/>
      <c r="Q24" s="134" t="str">
        <f t="shared" si="6"/>
        <v/>
      </c>
      <c r="R24" s="112" t="str">
        <f t="shared" si="7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2"/>
        <v/>
      </c>
      <c r="F25" s="7"/>
      <c r="G25" s="22"/>
      <c r="H25" s="21"/>
      <c r="I25" s="116" t="str">
        <f t="shared" si="3"/>
        <v/>
      </c>
      <c r="J25" s="22"/>
      <c r="K25" s="21"/>
      <c r="L25" s="21"/>
      <c r="M25" s="116" t="str">
        <f t="shared" si="4"/>
        <v/>
      </c>
      <c r="N25" s="43"/>
      <c r="O25" s="45" t="str">
        <f t="shared" si="5"/>
        <v/>
      </c>
      <c r="P25" s="9"/>
      <c r="Q25" s="134" t="str">
        <f t="shared" si="6"/>
        <v/>
      </c>
      <c r="R25" s="112" t="str">
        <f t="shared" si="7"/>
        <v/>
      </c>
    </row>
    <row r="26" spans="1:18" x14ac:dyDescent="0.2">
      <c r="A26" s="88"/>
      <c r="B26" s="103" t="s">
        <v>24</v>
      </c>
      <c r="C26" s="22"/>
      <c r="D26" s="21"/>
      <c r="E26" s="27" t="str">
        <f t="shared" si="2"/>
        <v/>
      </c>
      <c r="F26" s="7"/>
      <c r="G26" s="22"/>
      <c r="H26" s="21"/>
      <c r="I26" s="116" t="str">
        <f t="shared" si="3"/>
        <v/>
      </c>
      <c r="J26" s="22"/>
      <c r="K26" s="21"/>
      <c r="L26" s="21"/>
      <c r="M26" s="116" t="str">
        <f t="shared" si="4"/>
        <v/>
      </c>
      <c r="N26" s="43"/>
      <c r="O26" s="45" t="str">
        <f t="shared" si="5"/>
        <v/>
      </c>
      <c r="P26" s="9"/>
      <c r="Q26" s="134" t="str">
        <f t="shared" si="6"/>
        <v/>
      </c>
      <c r="R26" s="112" t="str">
        <f t="shared" si="7"/>
        <v/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0</v>
      </c>
      <c r="D28" s="14">
        <f>SUM(D16:D27)</f>
        <v>0</v>
      </c>
      <c r="E28" s="14">
        <f>SUM(E16:E27)</f>
        <v>0</v>
      </c>
      <c r="F28" s="119"/>
      <c r="G28" s="14">
        <f>SUM(G16:G27)</f>
        <v>0</v>
      </c>
      <c r="H28" s="14">
        <f>SUM(H16:H27)</f>
        <v>0</v>
      </c>
      <c r="I28" s="14">
        <f>SUM(I16:I27)</f>
        <v>0</v>
      </c>
      <c r="J28" s="14">
        <f>SUM(J16:J27)</f>
        <v>0</v>
      </c>
      <c r="K28" s="14">
        <f t="shared" ref="K28:Q28" si="8">SUM(K16:K27)</f>
        <v>0</v>
      </c>
      <c r="L28" s="14">
        <f t="shared" si="8"/>
        <v>0</v>
      </c>
      <c r="M28" s="176">
        <f t="shared" si="8"/>
        <v>0</v>
      </c>
      <c r="N28" s="175" t="str">
        <f>IF(SUM(N16:N27)=0,"",SUM(N16:N27))</f>
        <v/>
      </c>
      <c r="O28" s="14">
        <f t="shared" si="8"/>
        <v>0</v>
      </c>
      <c r="P28" s="9"/>
      <c r="Q28" s="137">
        <f t="shared" si="8"/>
        <v>0</v>
      </c>
      <c r="R28" s="136" t="e">
        <f>IF(Q28="","",Q28/Q$28)</f>
        <v>#DIV/0!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60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9">IF(OR(G30="",G31=""),"",G30/G31)</f>
        <v>#REF!</v>
      </c>
      <c r="H32" s="61" t="e">
        <f t="shared" si="9"/>
        <v>#REF!</v>
      </c>
      <c r="I32" s="70" t="e">
        <f t="shared" si="9"/>
        <v>#REF!</v>
      </c>
      <c r="J32" s="73" t="e">
        <f t="shared" si="9"/>
        <v>#REF!</v>
      </c>
      <c r="K32" s="61" t="e">
        <f t="shared" si="9"/>
        <v>#REF!</v>
      </c>
      <c r="L32" s="61" t="e">
        <f t="shared" si="9"/>
        <v>#REF!</v>
      </c>
      <c r="M32" s="70" t="e">
        <f t="shared" si="9"/>
        <v>#REF!</v>
      </c>
      <c r="N32" s="85" t="e">
        <f t="shared" si="9"/>
        <v>#REF!</v>
      </c>
      <c r="O32" s="128" t="e">
        <f t="shared" si="9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IF(OR(C30=0,C30="",ISERROR(#REF!+C30)),"",#REF!+C30)</f>
        <v>#REF!</v>
      </c>
      <c r="D34" s="57" t="e">
        <f>IF(OR(D30=0,D30="",ISERROR(#REF!+D30)),"",#REF!+D30)</f>
        <v>#REF!</v>
      </c>
      <c r="E34" s="58" t="e">
        <f>IF(SUM(C34:D34)=0,"",SUM(C34:D34))</f>
        <v>#REF!</v>
      </c>
      <c r="F34" s="7"/>
      <c r="G34" s="65" t="e">
        <f>IF(OR(G30=0,G30="",ISERROR(#REF!+G30)),"",#REF!+G30)</f>
        <v>#REF!</v>
      </c>
      <c r="H34" s="78" t="e">
        <f>IF(OR(H30=0,H30="",ISERROR(#REF!+H30)),"",#REF!+H30)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IF(OR(K30=0,K30="",ISERROR(#REF!+K30)),"",#REF!+K30)</f>
        <v>#REF!</v>
      </c>
      <c r="L34" s="57" t="e">
        <f>IF(OR(L30=0,L30="",ISERROR(#REF!+L30)),"",#REF!+L30)</f>
        <v>#REF!</v>
      </c>
      <c r="M34" s="71" t="e">
        <f>IF(SUM(J34:L34)=0,"",SUM(J34:L34))</f>
        <v>#REF!</v>
      </c>
      <c r="N34" s="83" t="e">
        <f>IF(OR(N30=0,N30="",ISERROR(#REF!+N30)),"",#REF!+N30)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10">IF(ISERROR(G34/G35),"",G34/G35)</f>
        <v/>
      </c>
      <c r="H36" s="79" t="str">
        <f t="shared" si="10"/>
        <v/>
      </c>
      <c r="I36" s="70" t="str">
        <f t="shared" si="10"/>
        <v/>
      </c>
      <c r="J36" s="73" t="str">
        <f t="shared" si="10"/>
        <v/>
      </c>
      <c r="K36" s="61" t="str">
        <f t="shared" si="10"/>
        <v/>
      </c>
      <c r="L36" s="61" t="str">
        <f t="shared" si="10"/>
        <v/>
      </c>
      <c r="M36" s="70" t="str">
        <f t="shared" si="10"/>
        <v/>
      </c>
      <c r="N36" s="85" t="str">
        <f t="shared" si="10"/>
        <v/>
      </c>
      <c r="O36" s="128" t="str">
        <f t="shared" si="10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#REF!</v>
      </c>
      <c r="D39" s="655"/>
      <c r="E39" s="594"/>
      <c r="F39" s="29"/>
      <c r="G39" s="626" t="e">
        <f>IF(I32="","",I32)</f>
        <v>#REF!</v>
      </c>
      <c r="H39" s="626"/>
      <c r="I39" s="626"/>
      <c r="J39" s="626" t="e">
        <f>IF(M32="","",M32)</f>
        <v>#REF!</v>
      </c>
      <c r="K39" s="626"/>
      <c r="L39" s="626"/>
      <c r="M39" s="626"/>
      <c r="N39" s="80" t="e">
        <f>N32</f>
        <v>#REF!</v>
      </c>
      <c r="O39" s="80" t="e">
        <f>IF(O32="","",O32)</f>
        <v>#REF!</v>
      </c>
      <c r="P39" s="30"/>
      <c r="Q39" s="593" t="e">
        <f>IF(Q32="","",Q32)</f>
        <v>#REF!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640" t="s">
        <v>35</v>
      </c>
      <c r="B44" s="641" t="s">
        <v>35</v>
      </c>
      <c r="C44" s="606" t="e">
        <f>IF(#REF!="","",#REF!)</f>
        <v>#REF!</v>
      </c>
      <c r="D44" s="607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58"/>
      <c r="P44" s="10"/>
      <c r="Q44" s="657" t="e">
        <f>IF(#REF!="","",#REF!)</f>
        <v>#REF!</v>
      </c>
      <c r="R44" s="658"/>
      <c r="S44" s="6"/>
    </row>
    <row r="45" spans="1:19" ht="12.75" customHeight="1" x14ac:dyDescent="0.2">
      <c r="A45" s="589" t="s">
        <v>36</v>
      </c>
      <c r="B45" s="590" t="s">
        <v>35</v>
      </c>
      <c r="C45" s="603" t="e">
        <f>IF(#REF!="","",#REF!)</f>
        <v>#REF!</v>
      </c>
      <c r="D45" s="605"/>
      <c r="E45" s="603" t="e">
        <f>IF(#REF!="","",#REF!)</f>
        <v>#REF!</v>
      </c>
      <c r="F45" s="604"/>
      <c r="G45" s="605"/>
      <c r="H45" s="632" t="e">
        <f>IF(#REF!="","",#REF!)</f>
        <v>#REF!</v>
      </c>
      <c r="I45" s="637"/>
      <c r="J45" s="632" t="e">
        <f>IF(#REF!="","",#REF!)</f>
        <v>#REF!</v>
      </c>
      <c r="K45" s="637"/>
      <c r="L45" s="632" t="e">
        <f>IF(#REF!="","",#REF!)</f>
        <v>#REF!</v>
      </c>
      <c r="M45" s="637"/>
      <c r="N45" s="632" t="e">
        <f>IF(#REF!="","",#REF!)</f>
        <v>#REF!</v>
      </c>
      <c r="O45" s="609"/>
      <c r="P45" s="10"/>
      <c r="Q45" s="608" t="e">
        <f>IF(#REF!="","",#REF!)</f>
        <v>#REF!</v>
      </c>
      <c r="R45" s="609"/>
      <c r="S45" s="6"/>
    </row>
    <row r="46" spans="1:19" x14ac:dyDescent="0.2">
      <c r="A46" s="589" t="s">
        <v>37</v>
      </c>
      <c r="B46" s="590" t="s">
        <v>35</v>
      </c>
      <c r="C46" s="603" t="str">
        <f>IF(Q31="","",Q31)</f>
        <v/>
      </c>
      <c r="D46" s="605"/>
      <c r="E46" s="603" t="e">
        <f>IF(Q30="","",Q30)</f>
        <v>#REF!</v>
      </c>
      <c r="F46" s="604"/>
      <c r="G46" s="605"/>
      <c r="H46" s="632" t="str">
        <f>IF(M36="","",M36)</f>
        <v/>
      </c>
      <c r="I46" s="637"/>
      <c r="J46" s="632" t="e">
        <f>IF($C$39="","",$C$39)</f>
        <v>#REF!</v>
      </c>
      <c r="K46" s="637"/>
      <c r="L46" s="632" t="e">
        <f>IF(O39="","",O39)</f>
        <v>#REF!</v>
      </c>
      <c r="M46" s="637"/>
      <c r="N46" s="632" t="e">
        <f>IF(N39="","",N39)</f>
        <v>#REF!</v>
      </c>
      <c r="O46" s="609"/>
      <c r="P46" s="10"/>
      <c r="Q46" s="608" t="e">
        <f>IF($Q$39="","",$Q$39)</f>
        <v>#REF!</v>
      </c>
      <c r="R46" s="609"/>
      <c r="S46" s="6"/>
    </row>
    <row r="47" spans="1:19" ht="12.75" customHeight="1" x14ac:dyDescent="0.2">
      <c r="A47" s="589" t="s">
        <v>38</v>
      </c>
      <c r="B47" s="590" t="s">
        <v>35</v>
      </c>
      <c r="C47" s="603"/>
      <c r="D47" s="605"/>
      <c r="E47" s="603"/>
      <c r="F47" s="604"/>
      <c r="G47" s="605"/>
      <c r="H47" s="632"/>
      <c r="I47" s="637"/>
      <c r="J47" s="632"/>
      <c r="K47" s="637"/>
      <c r="L47" s="632"/>
      <c r="M47" s="637"/>
      <c r="N47" s="632"/>
      <c r="O47" s="609"/>
      <c r="P47" s="10"/>
      <c r="Q47" s="608"/>
      <c r="R47" s="609"/>
      <c r="S47" s="6"/>
    </row>
    <row r="48" spans="1:19" x14ac:dyDescent="0.2">
      <c r="A48" s="589" t="s">
        <v>39</v>
      </c>
      <c r="B48" s="590" t="s">
        <v>35</v>
      </c>
      <c r="C48" s="603"/>
      <c r="D48" s="605"/>
      <c r="E48" s="603"/>
      <c r="F48" s="604"/>
      <c r="G48" s="605"/>
      <c r="H48" s="632"/>
      <c r="I48" s="637"/>
      <c r="J48" s="632"/>
      <c r="K48" s="637"/>
      <c r="L48" s="632"/>
      <c r="M48" s="637"/>
      <c r="N48" s="632"/>
      <c r="O48" s="609"/>
      <c r="P48" s="10"/>
      <c r="Q48" s="608"/>
      <c r="R48" s="609"/>
      <c r="S48" s="6"/>
    </row>
    <row r="49" spans="1:19" x14ac:dyDescent="0.2">
      <c r="A49" s="589" t="s">
        <v>40</v>
      </c>
      <c r="B49" s="590" t="s">
        <v>35</v>
      </c>
      <c r="C49" s="603"/>
      <c r="D49" s="605"/>
      <c r="E49" s="603"/>
      <c r="F49" s="604"/>
      <c r="G49" s="605"/>
      <c r="H49" s="632"/>
      <c r="I49" s="637"/>
      <c r="J49" s="632"/>
      <c r="K49" s="637"/>
      <c r="L49" s="632"/>
      <c r="M49" s="637"/>
      <c r="N49" s="632"/>
      <c r="O49" s="609"/>
      <c r="P49" s="10"/>
      <c r="Q49" s="608"/>
      <c r="R49" s="609"/>
      <c r="S49" s="6"/>
    </row>
    <row r="50" spans="1:19" x14ac:dyDescent="0.2">
      <c r="A50" s="589" t="s">
        <v>41</v>
      </c>
      <c r="B50" s="590" t="s">
        <v>35</v>
      </c>
      <c r="C50" s="603"/>
      <c r="D50" s="605"/>
      <c r="E50" s="603"/>
      <c r="F50" s="604"/>
      <c r="G50" s="605"/>
      <c r="H50" s="632"/>
      <c r="I50" s="637"/>
      <c r="J50" s="632"/>
      <c r="K50" s="637"/>
      <c r="L50" s="632"/>
      <c r="M50" s="637"/>
      <c r="N50" s="632"/>
      <c r="O50" s="609"/>
      <c r="P50" s="10"/>
      <c r="Q50" s="608"/>
      <c r="R50" s="609"/>
      <c r="S50" s="6"/>
    </row>
    <row r="51" spans="1:19" x14ac:dyDescent="0.2">
      <c r="A51" s="589" t="s">
        <v>42</v>
      </c>
      <c r="B51" s="590" t="s">
        <v>35</v>
      </c>
      <c r="C51" s="603"/>
      <c r="D51" s="605"/>
      <c r="E51" s="603"/>
      <c r="F51" s="604"/>
      <c r="G51" s="605"/>
      <c r="H51" s="632"/>
      <c r="I51" s="637"/>
      <c r="J51" s="632"/>
      <c r="K51" s="637"/>
      <c r="L51" s="632"/>
      <c r="M51" s="637"/>
      <c r="N51" s="632"/>
      <c r="O51" s="609"/>
      <c r="P51" s="10"/>
      <c r="Q51" s="608"/>
      <c r="R51" s="609"/>
      <c r="S51" s="6"/>
    </row>
    <row r="52" spans="1:19" x14ac:dyDescent="0.2">
      <c r="A52" s="589" t="s">
        <v>43</v>
      </c>
      <c r="B52" s="590" t="s">
        <v>35</v>
      </c>
      <c r="C52" s="603"/>
      <c r="D52" s="605"/>
      <c r="E52" s="603"/>
      <c r="F52" s="604"/>
      <c r="G52" s="605"/>
      <c r="H52" s="632"/>
      <c r="I52" s="637"/>
      <c r="J52" s="632"/>
      <c r="K52" s="637"/>
      <c r="L52" s="632"/>
      <c r="M52" s="637"/>
      <c r="N52" s="632"/>
      <c r="O52" s="609"/>
      <c r="P52" s="10"/>
      <c r="Q52" s="608"/>
      <c r="R52" s="609"/>
      <c r="S52" s="6"/>
    </row>
    <row r="53" spans="1:19" x14ac:dyDescent="0.2">
      <c r="A53" s="589" t="s">
        <v>44</v>
      </c>
      <c r="B53" s="590" t="s">
        <v>35</v>
      </c>
      <c r="C53" s="603"/>
      <c r="D53" s="605"/>
      <c r="E53" s="603"/>
      <c r="F53" s="604"/>
      <c r="G53" s="605"/>
      <c r="H53" s="632"/>
      <c r="I53" s="637"/>
      <c r="J53" s="632"/>
      <c r="K53" s="637"/>
      <c r="L53" s="632"/>
      <c r="M53" s="637"/>
      <c r="N53" s="632"/>
      <c r="O53" s="609"/>
      <c r="P53" s="10"/>
      <c r="Q53" s="608"/>
      <c r="R53" s="609"/>
      <c r="S53" s="6"/>
    </row>
    <row r="54" spans="1:19" x14ac:dyDescent="0.2">
      <c r="A54" s="589" t="s">
        <v>45</v>
      </c>
      <c r="B54" s="590" t="s">
        <v>35</v>
      </c>
      <c r="C54" s="603"/>
      <c r="D54" s="605"/>
      <c r="E54" s="603"/>
      <c r="F54" s="604"/>
      <c r="G54" s="605"/>
      <c r="H54" s="632"/>
      <c r="I54" s="637"/>
      <c r="J54" s="632"/>
      <c r="K54" s="637"/>
      <c r="L54" s="632"/>
      <c r="M54" s="637"/>
      <c r="N54" s="632"/>
      <c r="O54" s="609"/>
      <c r="P54" s="10"/>
      <c r="Q54" s="608"/>
      <c r="R54" s="609"/>
      <c r="S54" s="6"/>
    </row>
    <row r="55" spans="1:19" ht="13.5" customHeight="1" thickBot="1" x14ac:dyDescent="0.25">
      <c r="A55" s="635" t="s">
        <v>46</v>
      </c>
      <c r="B55" s="636" t="s">
        <v>35</v>
      </c>
      <c r="C55" s="700"/>
      <c r="D55" s="701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10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1">IF(ISERROR((G30/G32)/100),"",(G30/G32)/100)</f>
        <v/>
      </c>
      <c r="H79" s="144" t="str">
        <f t="shared" si="11"/>
        <v/>
      </c>
      <c r="I79" s="148" t="str">
        <f t="shared" si="11"/>
        <v/>
      </c>
      <c r="J79" s="143" t="str">
        <f t="shared" si="11"/>
        <v/>
      </c>
      <c r="K79" s="144" t="str">
        <f t="shared" si="11"/>
        <v/>
      </c>
      <c r="L79" s="144" t="str">
        <f t="shared" si="11"/>
        <v/>
      </c>
      <c r="M79" s="149" t="str">
        <f t="shared" si="11"/>
        <v/>
      </c>
      <c r="N79" s="150" t="str">
        <f t="shared" si="11"/>
        <v/>
      </c>
      <c r="O79" s="146" t="str">
        <f t="shared" si="11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2">IF(ISERROR(((G32-G$76)*100)*G79),"",((G32-G$76)*100)*G79)</f>
        <v/>
      </c>
      <c r="H80" s="159" t="str">
        <f t="shared" si="12"/>
        <v/>
      </c>
      <c r="I80" s="163" t="str">
        <f t="shared" si="12"/>
        <v/>
      </c>
      <c r="J80" s="158" t="str">
        <f t="shared" si="12"/>
        <v/>
      </c>
      <c r="K80" s="159" t="str">
        <f t="shared" si="12"/>
        <v/>
      </c>
      <c r="L80" s="159" t="str">
        <f t="shared" si="12"/>
        <v/>
      </c>
      <c r="M80" s="163" t="str">
        <f t="shared" si="12"/>
        <v/>
      </c>
      <c r="N80" s="164" t="str">
        <f t="shared" si="12"/>
        <v/>
      </c>
      <c r="O80" s="165" t="str">
        <f t="shared" si="12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3">IF(ISERROR((G34/G36)/100),"",(G34/G36)/100)</f>
        <v/>
      </c>
      <c r="H82" s="144" t="str">
        <f t="shared" si="13"/>
        <v/>
      </c>
      <c r="I82" s="148" t="str">
        <f t="shared" si="13"/>
        <v/>
      </c>
      <c r="J82" s="143" t="str">
        <f t="shared" si="13"/>
        <v/>
      </c>
      <c r="K82" s="144" t="str">
        <f t="shared" si="13"/>
        <v/>
      </c>
      <c r="L82" s="144" t="str">
        <f t="shared" si="13"/>
        <v/>
      </c>
      <c r="M82" s="149" t="str">
        <f t="shared" si="13"/>
        <v/>
      </c>
      <c r="N82" s="150" t="str">
        <f t="shared" si="13"/>
        <v/>
      </c>
      <c r="O82" s="146" t="str">
        <f t="shared" si="13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4">IF(ISERROR(((G36-G$76)*100)*G82),"",((G36-G$76)*100)*G82)</f>
        <v/>
      </c>
      <c r="H83" s="159" t="str">
        <f t="shared" si="14"/>
        <v/>
      </c>
      <c r="I83" s="163" t="str">
        <f t="shared" si="14"/>
        <v/>
      </c>
      <c r="J83" s="158" t="str">
        <f t="shared" si="14"/>
        <v/>
      </c>
      <c r="K83" s="159" t="str">
        <f t="shared" si="14"/>
        <v/>
      </c>
      <c r="L83" s="159" t="str">
        <f t="shared" si="14"/>
        <v/>
      </c>
      <c r="M83" s="163" t="str">
        <f t="shared" si="14"/>
        <v/>
      </c>
      <c r="N83" s="164" t="str">
        <f t="shared" si="14"/>
        <v/>
      </c>
      <c r="O83" s="165" t="str">
        <f t="shared" si="14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57">
    <mergeCell ref="Q83:R83"/>
    <mergeCell ref="A77:B78"/>
    <mergeCell ref="R77:R78"/>
    <mergeCell ref="Q80:R80"/>
    <mergeCell ref="Q76:R76"/>
    <mergeCell ref="M77:M78"/>
    <mergeCell ref="N77:N78"/>
    <mergeCell ref="O77:O78"/>
    <mergeCell ref="Q77:Q78"/>
    <mergeCell ref="Q82:R82"/>
    <mergeCell ref="Q79:R79"/>
    <mergeCell ref="C77:C78"/>
    <mergeCell ref="D77:D78"/>
    <mergeCell ref="E77:E78"/>
    <mergeCell ref="G77:G78"/>
    <mergeCell ref="H77:H78"/>
    <mergeCell ref="I77:I78"/>
    <mergeCell ref="J77:J78"/>
    <mergeCell ref="N52:O52"/>
    <mergeCell ref="N53:O53"/>
    <mergeCell ref="N54:O54"/>
    <mergeCell ref="N55:O55"/>
    <mergeCell ref="L52:M52"/>
    <mergeCell ref="L53:M53"/>
    <mergeCell ref="L54:M54"/>
    <mergeCell ref="L55:M55"/>
    <mergeCell ref="L50:M50"/>
    <mergeCell ref="L51:M51"/>
    <mergeCell ref="Q53:R53"/>
    <mergeCell ref="Q54:R54"/>
    <mergeCell ref="Q55:R55"/>
    <mergeCell ref="J44:K44"/>
    <mergeCell ref="J45:K45"/>
    <mergeCell ref="J46:K46"/>
    <mergeCell ref="J47:K47"/>
    <mergeCell ref="J48:K48"/>
    <mergeCell ref="J49:K49"/>
    <mergeCell ref="J50:K50"/>
    <mergeCell ref="J55:K55"/>
    <mergeCell ref="L44:M44"/>
    <mergeCell ref="Q45:R45"/>
    <mergeCell ref="Q46:R46"/>
    <mergeCell ref="Q47:R47"/>
    <mergeCell ref="Q48:R48"/>
    <mergeCell ref="Q49:R49"/>
    <mergeCell ref="Q50:R50"/>
    <mergeCell ref="Q51:R51"/>
    <mergeCell ref="Q52:R52"/>
    <mergeCell ref="N44:O44"/>
    <mergeCell ref="N45:O45"/>
    <mergeCell ref="N46:O46"/>
    <mergeCell ref="N47:O47"/>
    <mergeCell ref="H52:I52"/>
    <mergeCell ref="H53:I53"/>
    <mergeCell ref="H54:I54"/>
    <mergeCell ref="H55:I55"/>
    <mergeCell ref="L42:M43"/>
    <mergeCell ref="N42:O43"/>
    <mergeCell ref="J51:K51"/>
    <mergeCell ref="J52:K52"/>
    <mergeCell ref="J53:K53"/>
    <mergeCell ref="J54:K54"/>
    <mergeCell ref="H46:I46"/>
    <mergeCell ref="H47:I47"/>
    <mergeCell ref="H48:I48"/>
    <mergeCell ref="H49:I49"/>
    <mergeCell ref="H50:I50"/>
    <mergeCell ref="H51:I51"/>
    <mergeCell ref="N48:O48"/>
    <mergeCell ref="N49:O49"/>
    <mergeCell ref="L46:M46"/>
    <mergeCell ref="L47:M47"/>
    <mergeCell ref="L48:M48"/>
    <mergeCell ref="L49:M49"/>
    <mergeCell ref="N50:O50"/>
    <mergeCell ref="N51:O51"/>
    <mergeCell ref="C55:D55"/>
    <mergeCell ref="E49:G49"/>
    <mergeCell ref="E50:G50"/>
    <mergeCell ref="E51:G51"/>
    <mergeCell ref="E52:G52"/>
    <mergeCell ref="E53:G53"/>
    <mergeCell ref="E54:G54"/>
    <mergeCell ref="E55:G55"/>
    <mergeCell ref="C49:D49"/>
    <mergeCell ref="C50:D50"/>
    <mergeCell ref="C51:D51"/>
    <mergeCell ref="C52:D52"/>
    <mergeCell ref="C53:D53"/>
    <mergeCell ref="C54:D54"/>
    <mergeCell ref="E48:G48"/>
    <mergeCell ref="C44:D44"/>
    <mergeCell ref="C45:D45"/>
    <mergeCell ref="C46:D46"/>
    <mergeCell ref="C47:D47"/>
    <mergeCell ref="C48:D48"/>
    <mergeCell ref="R2:R3"/>
    <mergeCell ref="E44:G44"/>
    <mergeCell ref="E45:G45"/>
    <mergeCell ref="H44:I44"/>
    <mergeCell ref="H45:I45"/>
    <mergeCell ref="L45:M45"/>
    <mergeCell ref="Q35:R35"/>
    <mergeCell ref="Q36:R36"/>
    <mergeCell ref="N2:N3"/>
    <mergeCell ref="Q30:R30"/>
    <mergeCell ref="E43:G43"/>
    <mergeCell ref="C2:C3"/>
    <mergeCell ref="D2:D3"/>
    <mergeCell ref="E2:E3"/>
    <mergeCell ref="J2:J3"/>
    <mergeCell ref="Q2:Q3"/>
    <mergeCell ref="Q1:R1"/>
    <mergeCell ref="Q39:R39"/>
    <mergeCell ref="Q40:R40"/>
    <mergeCell ref="A42:B42"/>
    <mergeCell ref="C1:E1"/>
    <mergeCell ref="C39:E39"/>
    <mergeCell ref="Q42:R43"/>
    <mergeCell ref="J38:M38"/>
    <mergeCell ref="J40:M40"/>
    <mergeCell ref="J39:M39"/>
    <mergeCell ref="Q31:R31"/>
    <mergeCell ref="Q32:R32"/>
    <mergeCell ref="Q34:R34"/>
    <mergeCell ref="H2:H3"/>
    <mergeCell ref="G1:O1"/>
    <mergeCell ref="E42:G42"/>
    <mergeCell ref="I2:I3"/>
    <mergeCell ref="J42:K43"/>
    <mergeCell ref="C42:D43"/>
    <mergeCell ref="H42:I43"/>
    <mergeCell ref="A43:B43"/>
    <mergeCell ref="A54:B54"/>
    <mergeCell ref="A55:B55"/>
    <mergeCell ref="A50:B50"/>
    <mergeCell ref="A51:B51"/>
    <mergeCell ref="A52:B52"/>
    <mergeCell ref="A53:B53"/>
    <mergeCell ref="Q44:R44"/>
    <mergeCell ref="C40:E40"/>
    <mergeCell ref="O2:O3"/>
    <mergeCell ref="M2:M3"/>
    <mergeCell ref="G39:I39"/>
    <mergeCell ref="G40:I40"/>
    <mergeCell ref="G2:G3"/>
    <mergeCell ref="G38:I38"/>
    <mergeCell ref="C38:E38"/>
    <mergeCell ref="Q38:R38"/>
    <mergeCell ref="A46:B46"/>
    <mergeCell ref="A47:B47"/>
    <mergeCell ref="A48:B48"/>
    <mergeCell ref="A49:B49"/>
    <mergeCell ref="A45:B45"/>
    <mergeCell ref="A44:B44"/>
    <mergeCell ref="E46:G46"/>
    <mergeCell ref="E47:G47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72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52"/>
    <pageSetUpPr fitToPage="1"/>
  </sheetPr>
  <dimension ref="A1:S84"/>
  <sheetViews>
    <sheetView showGridLines="0" zoomScale="80" workbookViewId="0">
      <pane ySplit="3" topLeftCell="A4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8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8.28515625" style="3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>IF(SUM(C5:D5)=0,"",SUM(C5:D5))</f>
        <v>#REF!</v>
      </c>
      <c r="F5" s="7"/>
      <c r="G5" s="24" t="e">
        <f>IF(#REF!="","",#REF!)</f>
        <v>#REF!</v>
      </c>
      <c r="H5" s="23" t="e">
        <f>IF(#REF!="","",#REF!)</f>
        <v>#REF!</v>
      </c>
      <c r="I5" s="116" t="e">
        <f>IF(SUM(G5:H5)=0,"",SUM(G5:H5))</f>
        <v>#REF!</v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41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/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27" t="str">
        <f>IF(SUM(C7:D7)=0,"",SUM(C7:D7))</f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45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27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>IF(SUM(C9:D9)=0,"",SUM(C9:D9))</f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 t="e">
        <f>IF(#REF!="","",-#REF!)</f>
        <v>#REF!</v>
      </c>
      <c r="L9" s="23" t="e">
        <f>IF(#REF!="","",-#REF!)</f>
        <v>#REF!</v>
      </c>
      <c r="M9" s="116" t="e">
        <f>IF(SUM(J9:L9)=0,"",SUM(J9:L9))</f>
        <v>#REF!</v>
      </c>
      <c r="N9" s="41" t="e">
        <f>IF(#REF!="","",-#REF!)</f>
        <v>#REF!</v>
      </c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>IF(SUM(C10:D10)=0,"",SUM(C10:D10))</f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45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>IF(SUM(C11:D11)=0,"",SUM(C11:D11))</f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 t="e">
        <f>IF(SUM(K7:K10)=0,"",SUM(K7:K10))</f>
        <v>#REF!</v>
      </c>
      <c r="L11" s="25" t="e">
        <f>IF(SUM(L7:L10)=0,"",SUM(L7:L10))</f>
        <v>#REF!</v>
      </c>
      <c r="M11" s="116" t="e">
        <f>IF(SUM(J11:L11)=0,"",SUM(J11:L11))</f>
        <v>#REF!</v>
      </c>
      <c r="N11" s="28" t="e">
        <f>IF(SUM(N7:N10)=0,"",SUM(N7:N10))</f>
        <v>#REF!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0">IF(AND(G5="",G11=""),"",SUM(G5,G11))</f>
        <v>#REF!</v>
      </c>
      <c r="H13" s="11" t="e">
        <f t="shared" si="0"/>
        <v>#REF!</v>
      </c>
      <c r="I13" s="117" t="e">
        <f t="shared" si="0"/>
        <v>#REF!</v>
      </c>
      <c r="J13" s="14" t="e">
        <f t="shared" si="0"/>
        <v>#REF!</v>
      </c>
      <c r="K13" s="11" t="e">
        <f t="shared" si="0"/>
        <v>#REF!</v>
      </c>
      <c r="L13" s="11" t="e">
        <f t="shared" si="0"/>
        <v>#REF!</v>
      </c>
      <c r="M13" s="118" t="e">
        <f t="shared" si="0"/>
        <v>#REF!</v>
      </c>
      <c r="N13" s="46" t="e">
        <f t="shared" si="0"/>
        <v>#REF!</v>
      </c>
      <c r="O13" s="47" t="e">
        <f t="shared" si="0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/>
      <c r="D16" s="21"/>
      <c r="E16" s="27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>IF(SUM(J16:L16)=0,"",SUM(J16:L16))</f>
        <v/>
      </c>
      <c r="N16" s="43"/>
      <c r="O16" s="45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20"/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27" t="str">
        <f t="shared" ref="E18:E26" si="1">IF(SUM(C18:D18)=0,"",SUM(C18:D18))</f>
        <v/>
      </c>
      <c r="F18" s="7"/>
      <c r="G18" s="22"/>
      <c r="H18" s="21"/>
      <c r="I18" s="116" t="str">
        <f t="shared" ref="I18:I26" si="2">IF(SUM(G18:H18)=0,"",SUM(G18:H18))</f>
        <v/>
      </c>
      <c r="J18" s="22"/>
      <c r="K18" s="21"/>
      <c r="L18" s="21"/>
      <c r="M18" s="116" t="str">
        <f t="shared" ref="M18:M26" si="3">IF(SUM(J18:L18)=0,"",SUM(J18:L18))</f>
        <v/>
      </c>
      <c r="N18" s="43"/>
      <c r="O18" s="45" t="str">
        <f t="shared" ref="O18:O26" si="4">IF(SUM(I18,M18,N18)=0,"",SUM(I18,M18,N18))</f>
        <v/>
      </c>
      <c r="P18" s="9"/>
      <c r="Q18" s="134" t="str">
        <f t="shared" ref="Q18:Q26" si="5">IF(SUM(E18,O18)=0,"",SUM(E18,O18))</f>
        <v/>
      </c>
      <c r="R18" s="112" t="str">
        <f t="shared" ref="R18:R26" si="6">IF(Q18="","",Q18/Q$28)</f>
        <v/>
      </c>
    </row>
    <row r="19" spans="1:18" x14ac:dyDescent="0.2">
      <c r="A19" s="88"/>
      <c r="B19" s="103" t="s">
        <v>20</v>
      </c>
      <c r="C19" s="22"/>
      <c r="D19" s="21"/>
      <c r="E19" s="27" t="str">
        <f t="shared" si="1"/>
        <v/>
      </c>
      <c r="F19" s="7"/>
      <c r="G19" s="22"/>
      <c r="H19" s="21"/>
      <c r="I19" s="116" t="str">
        <f t="shared" si="2"/>
        <v/>
      </c>
      <c r="J19" s="22"/>
      <c r="K19" s="21"/>
      <c r="L19" s="21"/>
      <c r="M19" s="116" t="str">
        <f t="shared" si="3"/>
        <v/>
      </c>
      <c r="N19" s="43"/>
      <c r="O19" s="45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57</v>
      </c>
      <c r="C20" s="22"/>
      <c r="D20" s="21"/>
      <c r="E20" s="27" t="str">
        <f t="shared" si="1"/>
        <v/>
      </c>
      <c r="F20" s="7"/>
      <c r="G20" s="22"/>
      <c r="H20" s="21"/>
      <c r="I20" s="116" t="str">
        <f t="shared" si="2"/>
        <v/>
      </c>
      <c r="J20" s="22"/>
      <c r="K20" s="21"/>
      <c r="L20" s="21"/>
      <c r="M20" s="116" t="str">
        <f t="shared" si="3"/>
        <v/>
      </c>
      <c r="N20" s="43"/>
      <c r="O20" s="45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1"/>
        <v/>
      </c>
      <c r="F21" s="7"/>
      <c r="G21" s="22"/>
      <c r="H21" s="21"/>
      <c r="I21" s="116" t="str">
        <f t="shared" si="2"/>
        <v/>
      </c>
      <c r="J21" s="22"/>
      <c r="K21" s="21"/>
      <c r="L21" s="21"/>
      <c r="M21" s="116" t="str">
        <f t="shared" si="3"/>
        <v/>
      </c>
      <c r="N21" s="43"/>
      <c r="O21" s="45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55</v>
      </c>
      <c r="C22" s="22"/>
      <c r="D22" s="21"/>
      <c r="E22" s="27" t="str">
        <f t="shared" si="1"/>
        <v/>
      </c>
      <c r="F22" s="7"/>
      <c r="G22" s="22"/>
      <c r="H22" s="21"/>
      <c r="I22" s="116" t="str">
        <f t="shared" si="2"/>
        <v/>
      </c>
      <c r="J22" s="22"/>
      <c r="K22" s="21"/>
      <c r="L22" s="21"/>
      <c r="M22" s="116" t="str">
        <f t="shared" si="3"/>
        <v/>
      </c>
      <c r="N22" s="43"/>
      <c r="O22" s="45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56</v>
      </c>
      <c r="C23" s="22"/>
      <c r="D23" s="21"/>
      <c r="E23" s="27" t="str">
        <f t="shared" si="1"/>
        <v/>
      </c>
      <c r="F23" s="7"/>
      <c r="G23" s="22"/>
      <c r="H23" s="21"/>
      <c r="I23" s="116" t="str">
        <f t="shared" si="2"/>
        <v/>
      </c>
      <c r="J23" s="22"/>
      <c r="K23" s="21"/>
      <c r="L23" s="21"/>
      <c r="M23" s="116" t="str">
        <f t="shared" si="3"/>
        <v/>
      </c>
      <c r="N23" s="43"/>
      <c r="O23" s="45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1"/>
        <v/>
      </c>
      <c r="F24" s="7"/>
      <c r="G24" s="22"/>
      <c r="H24" s="21"/>
      <c r="I24" s="116" t="str">
        <f t="shared" si="2"/>
        <v/>
      </c>
      <c r="J24" s="22"/>
      <c r="K24" s="21"/>
      <c r="L24" s="21"/>
      <c r="M24" s="116" t="str">
        <f t="shared" si="3"/>
        <v/>
      </c>
      <c r="N24" s="43"/>
      <c r="O24" s="45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1"/>
        <v/>
      </c>
      <c r="F25" s="7"/>
      <c r="G25" s="22"/>
      <c r="H25" s="21"/>
      <c r="I25" s="116" t="str">
        <f t="shared" si="2"/>
        <v/>
      </c>
      <c r="J25" s="22"/>
      <c r="K25" s="21"/>
      <c r="L25" s="21"/>
      <c r="M25" s="116" t="str">
        <f t="shared" si="3"/>
        <v/>
      </c>
      <c r="N25" s="43"/>
      <c r="O25" s="45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/>
      <c r="D26" s="21"/>
      <c r="E26" s="27" t="str">
        <f t="shared" si="1"/>
        <v/>
      </c>
      <c r="F26" s="7"/>
      <c r="G26" s="22"/>
      <c r="H26" s="21"/>
      <c r="I26" s="116" t="str">
        <f t="shared" si="2"/>
        <v/>
      </c>
      <c r="J26" s="22"/>
      <c r="K26" s="21"/>
      <c r="L26" s="21"/>
      <c r="M26" s="116" t="str">
        <f t="shared" si="3"/>
        <v/>
      </c>
      <c r="N26" s="43"/>
      <c r="O26" s="45" t="str">
        <f t="shared" si="4"/>
        <v/>
      </c>
      <c r="P26" s="9"/>
      <c r="Q26" s="134" t="str">
        <f t="shared" si="5"/>
        <v/>
      </c>
      <c r="R26" s="112" t="str">
        <f t="shared" si="6"/>
        <v/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0</v>
      </c>
      <c r="D28" s="14">
        <f>SUM(D16:D27)</f>
        <v>0</v>
      </c>
      <c r="E28" s="14">
        <f>SUM(E16:E27)</f>
        <v>0</v>
      </c>
      <c r="F28" s="119"/>
      <c r="G28" s="14">
        <f>SUM(G16:G27)</f>
        <v>0</v>
      </c>
      <c r="H28" s="14">
        <f>SUM(H16:H27)</f>
        <v>0</v>
      </c>
      <c r="I28" s="14">
        <f>SUM(I16:I27)</f>
        <v>0</v>
      </c>
      <c r="J28" s="14">
        <f>SUM(J16:J27)</f>
        <v>0</v>
      </c>
      <c r="K28" s="14">
        <f t="shared" ref="K28:Q28" si="7">SUM(K16:K27)</f>
        <v>0</v>
      </c>
      <c r="L28" s="14">
        <f t="shared" si="7"/>
        <v>0</v>
      </c>
      <c r="M28" s="176">
        <f t="shared" si="7"/>
        <v>0</v>
      </c>
      <c r="N28" s="175" t="str">
        <f>IF(SUM(N16:N27)=0,"",SUM(N16:N27))</f>
        <v/>
      </c>
      <c r="O28" s="14">
        <f t="shared" si="7"/>
        <v>0</v>
      </c>
      <c r="P28" s="9"/>
      <c r="Q28" s="137">
        <f t="shared" si="7"/>
        <v>0</v>
      </c>
      <c r="R28" s="136" t="e">
        <f>IF(Q28="","",Q28/Q$28)</f>
        <v>#DIV/0!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60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8">IF(OR(G30="",G31=""),"",G30/G31)</f>
        <v>#REF!</v>
      </c>
      <c r="H32" s="61" t="e">
        <f t="shared" si="8"/>
        <v>#REF!</v>
      </c>
      <c r="I32" s="70" t="e">
        <f t="shared" si="8"/>
        <v>#REF!</v>
      </c>
      <c r="J32" s="73" t="e">
        <f t="shared" si="8"/>
        <v>#REF!</v>
      </c>
      <c r="K32" s="61" t="e">
        <f t="shared" si="8"/>
        <v>#REF!</v>
      </c>
      <c r="L32" s="61" t="e">
        <f t="shared" si="8"/>
        <v>#REF!</v>
      </c>
      <c r="M32" s="70" t="e">
        <f t="shared" si="8"/>
        <v>#REF!</v>
      </c>
      <c r="N32" s="85" t="e">
        <f t="shared" si="8"/>
        <v>#REF!</v>
      </c>
      <c r="O32" s="128" t="e">
        <f t="shared" si="8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IF(OR(C30="",ISERROR(#REF!+C30)),"",#REF!+C30)</f>
        <v>#REF!</v>
      </c>
      <c r="D34" s="57" t="e">
        <f>IF(OR(D30="",ISERROR(#REF!+D30)),"",#REF!+D30)</f>
        <v>#REF!</v>
      </c>
      <c r="E34" s="58" t="e">
        <f>IF(SUM(C34:D34)=0,"",SUM(C34:D34))</f>
        <v>#REF!</v>
      </c>
      <c r="F34" s="7"/>
      <c r="G34" s="65" t="e">
        <f>IF(OR(G30="",ISERROR(#REF!+G30)),"",#REF!+G30)</f>
        <v>#REF!</v>
      </c>
      <c r="H34" s="57" t="e">
        <f>IF(OR(H30="",ISERROR(#REF!+H30)),"",#REF!+H30)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IF(OR(K30="",ISERROR(#REF!+K30)),"",#REF!+K30)</f>
        <v>#REF!</v>
      </c>
      <c r="L34" s="57" t="e">
        <f>IF(OR(L30="",ISERROR(#REF!+L30)),"",#REF!+L30)</f>
        <v>#REF!</v>
      </c>
      <c r="M34" s="71" t="e">
        <f>IF(SUM(J34:L34)=0,"",SUM(J34:L34))</f>
        <v>#REF!</v>
      </c>
      <c r="N34" s="83" t="e">
        <f>IF(OR(N30="",ISERROR(#REF!+N30)),"",#REF!+N30)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9">IF(ISERROR(G34/G35),"",G34/G35)</f>
        <v/>
      </c>
      <c r="H36" s="61" t="str">
        <f t="shared" si="9"/>
        <v/>
      </c>
      <c r="I36" s="70" t="str">
        <f t="shared" si="9"/>
        <v/>
      </c>
      <c r="J36" s="73" t="str">
        <f t="shared" si="9"/>
        <v/>
      </c>
      <c r="K36" s="61" t="str">
        <f t="shared" si="9"/>
        <v/>
      </c>
      <c r="L36" s="61" t="str">
        <f t="shared" si="9"/>
        <v/>
      </c>
      <c r="M36" s="70" t="str">
        <f t="shared" si="9"/>
        <v/>
      </c>
      <c r="N36" s="85" t="str">
        <f t="shared" si="9"/>
        <v/>
      </c>
      <c r="O36" s="128" t="str">
        <f t="shared" si="9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#REF!</v>
      </c>
      <c r="D39" s="655"/>
      <c r="E39" s="594"/>
      <c r="F39" s="29"/>
      <c r="G39" s="626" t="e">
        <f>IF(I32="","",I32)</f>
        <v>#REF!</v>
      </c>
      <c r="H39" s="626"/>
      <c r="I39" s="626"/>
      <c r="J39" s="626" t="e">
        <f>IF(M32="","",M32)</f>
        <v>#REF!</v>
      </c>
      <c r="K39" s="626"/>
      <c r="L39" s="626"/>
      <c r="M39" s="626"/>
      <c r="N39" s="80" t="e">
        <f>N32</f>
        <v>#REF!</v>
      </c>
      <c r="O39" s="80" t="e">
        <f>IF(O32="","",O32)</f>
        <v>#REF!</v>
      </c>
      <c r="P39" s="30"/>
      <c r="Q39" s="593" t="e">
        <f>IF(Q32="","",Q32)</f>
        <v>#REF!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32" t="s">
        <v>35</v>
      </c>
      <c r="B44" s="33"/>
      <c r="C44" s="606" t="e">
        <f>IF(#REF!="","",#REF!)</f>
        <v>#REF!</v>
      </c>
      <c r="D44" s="607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58"/>
      <c r="P44" s="10"/>
      <c r="Q44" s="657" t="e">
        <f>IF(#REF!="","",#REF!)</f>
        <v>#REF!</v>
      </c>
      <c r="R44" s="658"/>
      <c r="S44" s="6"/>
    </row>
    <row r="45" spans="1:19" ht="12.75" customHeight="1" x14ac:dyDescent="0.2">
      <c r="A45" s="34" t="s">
        <v>36</v>
      </c>
      <c r="B45" s="35"/>
      <c r="C45" s="603" t="e">
        <f>IF(#REF!="","",#REF!)</f>
        <v>#REF!</v>
      </c>
      <c r="D45" s="605"/>
      <c r="E45" s="603" t="e">
        <f>IF(#REF!="","",#REF!)</f>
        <v>#REF!</v>
      </c>
      <c r="F45" s="604"/>
      <c r="G45" s="605"/>
      <c r="H45" s="632" t="e">
        <f>IF(#REF!="","",#REF!)</f>
        <v>#REF!</v>
      </c>
      <c r="I45" s="637"/>
      <c r="J45" s="632" t="e">
        <f>IF(#REF!="","",#REF!)</f>
        <v>#REF!</v>
      </c>
      <c r="K45" s="637"/>
      <c r="L45" s="632" t="e">
        <f>IF(#REF!="","",#REF!)</f>
        <v>#REF!</v>
      </c>
      <c r="M45" s="637"/>
      <c r="N45" s="632" t="e">
        <f>IF(#REF!="","",#REF!)</f>
        <v>#REF!</v>
      </c>
      <c r="O45" s="609"/>
      <c r="P45" s="10"/>
      <c r="Q45" s="608" t="e">
        <f>IF(#REF!="","",#REF!)</f>
        <v>#REF!</v>
      </c>
      <c r="R45" s="609"/>
      <c r="S45" s="6"/>
    </row>
    <row r="46" spans="1:19" ht="12.75" customHeight="1" x14ac:dyDescent="0.2">
      <c r="A46" s="34" t="s">
        <v>37</v>
      </c>
      <c r="B46" s="35"/>
      <c r="C46" s="603" t="e">
        <f>IF(#REF!="","",#REF!)</f>
        <v>#REF!</v>
      </c>
      <c r="D46" s="605"/>
      <c r="E46" s="603" t="e">
        <f>IF(#REF!="","",#REF!)</f>
        <v>#REF!</v>
      </c>
      <c r="F46" s="604"/>
      <c r="G46" s="605"/>
      <c r="H46" s="632" t="e">
        <f>IF(#REF!="","",#REF!)</f>
        <v>#REF!</v>
      </c>
      <c r="I46" s="637"/>
      <c r="J46" s="632" t="e">
        <f>IF(#REF!="","",#REF!)</f>
        <v>#REF!</v>
      </c>
      <c r="K46" s="637"/>
      <c r="L46" s="632" t="e">
        <f>IF(#REF!="","",#REF!)</f>
        <v>#REF!</v>
      </c>
      <c r="M46" s="637"/>
      <c r="N46" s="632" t="e">
        <f>IF(#REF!="","",#REF!)</f>
        <v>#REF!</v>
      </c>
      <c r="O46" s="609"/>
      <c r="P46" s="10"/>
      <c r="Q46" s="608" t="e">
        <f>IF(#REF!="","",#REF!)</f>
        <v>#REF!</v>
      </c>
      <c r="R46" s="609"/>
      <c r="S46" s="6"/>
    </row>
    <row r="47" spans="1:19" ht="12.75" customHeight="1" x14ac:dyDescent="0.2">
      <c r="A47" s="34" t="s">
        <v>38</v>
      </c>
      <c r="B47" s="35"/>
      <c r="C47" s="603" t="str">
        <f>IF(Q31="","",Q31)</f>
        <v/>
      </c>
      <c r="D47" s="605"/>
      <c r="E47" s="603" t="e">
        <f>IF(Q30="","",Q30)</f>
        <v>#REF!</v>
      </c>
      <c r="F47" s="604"/>
      <c r="G47" s="605"/>
      <c r="H47" s="632" t="e">
        <f>IF(J39="","",J39)</f>
        <v>#REF!</v>
      </c>
      <c r="I47" s="637"/>
      <c r="J47" s="632" t="e">
        <f>IF($C$39="","",$C$39)</f>
        <v>#REF!</v>
      </c>
      <c r="K47" s="637"/>
      <c r="L47" s="632" t="e">
        <f>IF($O$39="","",$O$39)</f>
        <v>#REF!</v>
      </c>
      <c r="M47" s="637"/>
      <c r="N47" s="632" t="e">
        <f>IF($N$39="","",$N$39)</f>
        <v>#REF!</v>
      </c>
      <c r="O47" s="609"/>
      <c r="P47" s="10"/>
      <c r="Q47" s="608" t="e">
        <f>IF($Q$39="","",$Q$39)</f>
        <v>#REF!</v>
      </c>
      <c r="R47" s="609"/>
      <c r="S47" s="6"/>
    </row>
    <row r="48" spans="1:19" ht="12.75" customHeight="1" x14ac:dyDescent="0.2">
      <c r="A48" s="34" t="s">
        <v>39</v>
      </c>
      <c r="B48" s="35"/>
      <c r="C48" s="603"/>
      <c r="D48" s="605"/>
      <c r="E48" s="603"/>
      <c r="F48" s="604"/>
      <c r="G48" s="605"/>
      <c r="H48" s="632"/>
      <c r="I48" s="637"/>
      <c r="J48" s="632"/>
      <c r="K48" s="637"/>
      <c r="L48" s="632"/>
      <c r="M48" s="637"/>
      <c r="N48" s="632"/>
      <c r="O48" s="609"/>
      <c r="P48" s="10"/>
      <c r="Q48" s="608"/>
      <c r="R48" s="609"/>
      <c r="S48" s="6"/>
    </row>
    <row r="49" spans="1:19" ht="12.75" customHeight="1" x14ac:dyDescent="0.2">
      <c r="A49" s="34" t="s">
        <v>40</v>
      </c>
      <c r="B49" s="35"/>
      <c r="C49" s="603"/>
      <c r="D49" s="605"/>
      <c r="E49" s="603"/>
      <c r="F49" s="604"/>
      <c r="G49" s="605"/>
      <c r="H49" s="632"/>
      <c r="I49" s="637"/>
      <c r="J49" s="632"/>
      <c r="K49" s="637"/>
      <c r="L49" s="632"/>
      <c r="M49" s="637"/>
      <c r="N49" s="632"/>
      <c r="O49" s="609"/>
      <c r="P49" s="10"/>
      <c r="Q49" s="608"/>
      <c r="R49" s="609"/>
      <c r="S49" s="6"/>
    </row>
    <row r="50" spans="1:19" ht="12.75" customHeight="1" x14ac:dyDescent="0.2">
      <c r="A50" s="34" t="s">
        <v>41</v>
      </c>
      <c r="B50" s="35"/>
      <c r="C50" s="603"/>
      <c r="D50" s="605"/>
      <c r="E50" s="603"/>
      <c r="F50" s="604"/>
      <c r="G50" s="605"/>
      <c r="H50" s="632"/>
      <c r="I50" s="637"/>
      <c r="J50" s="632"/>
      <c r="K50" s="637"/>
      <c r="L50" s="632"/>
      <c r="M50" s="637"/>
      <c r="N50" s="632"/>
      <c r="O50" s="609"/>
      <c r="P50" s="10"/>
      <c r="Q50" s="608"/>
      <c r="R50" s="609"/>
      <c r="S50" s="6"/>
    </row>
    <row r="51" spans="1:19" ht="12.75" customHeight="1" x14ac:dyDescent="0.2">
      <c r="A51" s="34" t="s">
        <v>42</v>
      </c>
      <c r="B51" s="35"/>
      <c r="C51" s="603"/>
      <c r="D51" s="605"/>
      <c r="E51" s="603"/>
      <c r="F51" s="604"/>
      <c r="G51" s="605"/>
      <c r="H51" s="632"/>
      <c r="I51" s="637"/>
      <c r="J51" s="632"/>
      <c r="K51" s="637"/>
      <c r="L51" s="632"/>
      <c r="M51" s="637"/>
      <c r="N51" s="632"/>
      <c r="O51" s="609"/>
      <c r="P51" s="10"/>
      <c r="Q51" s="608"/>
      <c r="R51" s="609"/>
      <c r="S51" s="6"/>
    </row>
    <row r="52" spans="1:19" ht="12.75" customHeight="1" x14ac:dyDescent="0.2">
      <c r="A52" s="34" t="s">
        <v>43</v>
      </c>
      <c r="B52" s="35"/>
      <c r="C52" s="603"/>
      <c r="D52" s="605"/>
      <c r="E52" s="603"/>
      <c r="F52" s="604"/>
      <c r="G52" s="605"/>
      <c r="H52" s="632"/>
      <c r="I52" s="637"/>
      <c r="J52" s="632"/>
      <c r="K52" s="637"/>
      <c r="L52" s="632"/>
      <c r="M52" s="637"/>
      <c r="N52" s="632"/>
      <c r="O52" s="609"/>
      <c r="P52" s="10"/>
      <c r="Q52" s="608"/>
      <c r="R52" s="609"/>
      <c r="S52" s="6"/>
    </row>
    <row r="53" spans="1:19" ht="12.75" customHeight="1" x14ac:dyDescent="0.2">
      <c r="A53" s="34" t="s">
        <v>44</v>
      </c>
      <c r="B53" s="35"/>
      <c r="C53" s="603"/>
      <c r="D53" s="605"/>
      <c r="E53" s="603"/>
      <c r="F53" s="604"/>
      <c r="G53" s="605"/>
      <c r="H53" s="632"/>
      <c r="I53" s="637"/>
      <c r="J53" s="632"/>
      <c r="K53" s="637"/>
      <c r="L53" s="632"/>
      <c r="M53" s="637"/>
      <c r="N53" s="632"/>
      <c r="O53" s="609"/>
      <c r="P53" s="10"/>
      <c r="Q53" s="608"/>
      <c r="R53" s="609"/>
      <c r="S53" s="6"/>
    </row>
    <row r="54" spans="1:19" ht="12.75" customHeight="1" x14ac:dyDescent="0.2">
      <c r="A54" s="34" t="s">
        <v>45</v>
      </c>
      <c r="B54" s="35"/>
      <c r="C54" s="603"/>
      <c r="D54" s="605"/>
      <c r="E54" s="603"/>
      <c r="F54" s="604"/>
      <c r="G54" s="605"/>
      <c r="H54" s="632"/>
      <c r="I54" s="637"/>
      <c r="J54" s="632"/>
      <c r="K54" s="637"/>
      <c r="L54" s="632"/>
      <c r="M54" s="637"/>
      <c r="N54" s="632"/>
      <c r="O54" s="609"/>
      <c r="P54" s="10"/>
      <c r="Q54" s="608"/>
      <c r="R54" s="609"/>
      <c r="S54" s="6"/>
    </row>
    <row r="55" spans="1:19" ht="13.5" customHeight="1" thickBot="1" x14ac:dyDescent="0.25">
      <c r="A55" s="36" t="s">
        <v>46</v>
      </c>
      <c r="B55" s="37"/>
      <c r="C55" s="700"/>
      <c r="D55" s="701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10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0">IF(ISERROR((G30/G32)/100),"",(G30/G32)/100)</f>
        <v/>
      </c>
      <c r="H79" s="144" t="str">
        <f t="shared" si="10"/>
        <v/>
      </c>
      <c r="I79" s="148" t="str">
        <f t="shared" si="10"/>
        <v/>
      </c>
      <c r="J79" s="143" t="str">
        <f t="shared" si="10"/>
        <v/>
      </c>
      <c r="K79" s="144" t="str">
        <f t="shared" si="10"/>
        <v/>
      </c>
      <c r="L79" s="144" t="str">
        <f t="shared" si="10"/>
        <v/>
      </c>
      <c r="M79" s="149" t="str">
        <f t="shared" si="10"/>
        <v/>
      </c>
      <c r="N79" s="150" t="str">
        <f t="shared" si="10"/>
        <v/>
      </c>
      <c r="O79" s="146" t="str">
        <f t="shared" si="10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1">IF(ISERROR(((G32-G$76)*100)*G79),"",((G32-G$76)*100)*G79)</f>
        <v/>
      </c>
      <c r="H80" s="159" t="str">
        <f t="shared" si="11"/>
        <v/>
      </c>
      <c r="I80" s="163" t="str">
        <f t="shared" si="11"/>
        <v/>
      </c>
      <c r="J80" s="158" t="str">
        <f t="shared" si="11"/>
        <v/>
      </c>
      <c r="K80" s="159" t="str">
        <f t="shared" si="11"/>
        <v/>
      </c>
      <c r="L80" s="159" t="str">
        <f t="shared" si="11"/>
        <v/>
      </c>
      <c r="M80" s="163" t="str">
        <f t="shared" si="11"/>
        <v/>
      </c>
      <c r="N80" s="164" t="str">
        <f t="shared" si="11"/>
        <v/>
      </c>
      <c r="O80" s="165" t="str">
        <f t="shared" si="11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2">IF(ISERROR((G34/G36)/100),"",(G34/G36)/100)</f>
        <v/>
      </c>
      <c r="H82" s="144" t="str">
        <f t="shared" si="12"/>
        <v/>
      </c>
      <c r="I82" s="148" t="str">
        <f t="shared" si="12"/>
        <v/>
      </c>
      <c r="J82" s="143" t="str">
        <f t="shared" si="12"/>
        <v/>
      </c>
      <c r="K82" s="144" t="str">
        <f t="shared" si="12"/>
        <v/>
      </c>
      <c r="L82" s="144" t="str">
        <f t="shared" si="12"/>
        <v/>
      </c>
      <c r="M82" s="149" t="str">
        <f t="shared" si="12"/>
        <v/>
      </c>
      <c r="N82" s="150" t="str">
        <f t="shared" si="12"/>
        <v/>
      </c>
      <c r="O82" s="146" t="str">
        <f t="shared" si="12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3">IF(ISERROR(((G36-G$76)*100)*G82),"",((G36-G$76)*100)*G82)</f>
        <v/>
      </c>
      <c r="H83" s="159" t="str">
        <f t="shared" si="13"/>
        <v/>
      </c>
      <c r="I83" s="163" t="str">
        <f t="shared" si="13"/>
        <v/>
      </c>
      <c r="J83" s="158" t="str">
        <f t="shared" si="13"/>
        <v/>
      </c>
      <c r="K83" s="159" t="str">
        <f t="shared" si="13"/>
        <v/>
      </c>
      <c r="L83" s="159" t="str">
        <f t="shared" si="13"/>
        <v/>
      </c>
      <c r="M83" s="163" t="str">
        <f t="shared" si="13"/>
        <v/>
      </c>
      <c r="N83" s="164" t="str">
        <f t="shared" si="13"/>
        <v/>
      </c>
      <c r="O83" s="165" t="str">
        <f t="shared" si="13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45">
    <mergeCell ref="Q82:R82"/>
    <mergeCell ref="Q83:R83"/>
    <mergeCell ref="A77:B78"/>
    <mergeCell ref="O77:O78"/>
    <mergeCell ref="Q77:Q78"/>
    <mergeCell ref="R77:R78"/>
    <mergeCell ref="Q80:R80"/>
    <mergeCell ref="N77:N78"/>
    <mergeCell ref="Q76:R76"/>
    <mergeCell ref="Q79:R79"/>
    <mergeCell ref="C77:C78"/>
    <mergeCell ref="D77:D78"/>
    <mergeCell ref="E77:E78"/>
    <mergeCell ref="G77:G78"/>
    <mergeCell ref="H77:H78"/>
    <mergeCell ref="I77:I78"/>
    <mergeCell ref="J77:J78"/>
    <mergeCell ref="M77:M78"/>
    <mergeCell ref="Q55:R55"/>
    <mergeCell ref="N55:O55"/>
    <mergeCell ref="N54:O54"/>
    <mergeCell ref="Q30:R30"/>
    <mergeCell ref="Q31:R31"/>
    <mergeCell ref="Q32:R32"/>
    <mergeCell ref="Q34:R34"/>
    <mergeCell ref="Q45:R45"/>
    <mergeCell ref="Q46:R46"/>
    <mergeCell ref="Q47:R47"/>
    <mergeCell ref="Q54:R54"/>
    <mergeCell ref="N53:O53"/>
    <mergeCell ref="Q53:R53"/>
    <mergeCell ref="Q48:R48"/>
    <mergeCell ref="Q49:R49"/>
    <mergeCell ref="Q50:R50"/>
    <mergeCell ref="Q51:R51"/>
    <mergeCell ref="Q52:R52"/>
    <mergeCell ref="N52:O52"/>
    <mergeCell ref="Q40:R40"/>
    <mergeCell ref="N46:O46"/>
    <mergeCell ref="N47:O47"/>
    <mergeCell ref="N48:O48"/>
    <mergeCell ref="N49:O49"/>
    <mergeCell ref="N50:O50"/>
    <mergeCell ref="L50:M50"/>
    <mergeCell ref="N51:O51"/>
    <mergeCell ref="L51:M51"/>
    <mergeCell ref="L52:M52"/>
    <mergeCell ref="L47:M47"/>
    <mergeCell ref="L48:M48"/>
    <mergeCell ref="L49:M49"/>
    <mergeCell ref="L46:M46"/>
    <mergeCell ref="H53:I53"/>
    <mergeCell ref="J54:K54"/>
    <mergeCell ref="J52:K52"/>
    <mergeCell ref="J53:K53"/>
    <mergeCell ref="J55:K55"/>
    <mergeCell ref="H47:I47"/>
    <mergeCell ref="L55:M55"/>
    <mergeCell ref="L53:M53"/>
    <mergeCell ref="L54:M54"/>
    <mergeCell ref="J48:K48"/>
    <mergeCell ref="H54:I54"/>
    <mergeCell ref="H55:I55"/>
    <mergeCell ref="H52:I52"/>
    <mergeCell ref="J46:K46"/>
    <mergeCell ref="J47:K47"/>
    <mergeCell ref="J49:K49"/>
    <mergeCell ref="J50:K50"/>
    <mergeCell ref="J51:K51"/>
    <mergeCell ref="H48:I48"/>
    <mergeCell ref="H49:I49"/>
    <mergeCell ref="H50:I50"/>
    <mergeCell ref="H51:I51"/>
    <mergeCell ref="H46:I46"/>
    <mergeCell ref="C54:D54"/>
    <mergeCell ref="C55:D55"/>
    <mergeCell ref="E49:G49"/>
    <mergeCell ref="E50:G50"/>
    <mergeCell ref="E51:G51"/>
    <mergeCell ref="E52:G52"/>
    <mergeCell ref="E53:G53"/>
    <mergeCell ref="E54:G54"/>
    <mergeCell ref="E55:G55"/>
    <mergeCell ref="C50:D50"/>
    <mergeCell ref="C51:D51"/>
    <mergeCell ref="C52:D52"/>
    <mergeCell ref="C53:D53"/>
    <mergeCell ref="C49:D49"/>
    <mergeCell ref="J40:M40"/>
    <mergeCell ref="L44:M44"/>
    <mergeCell ref="Q38:R38"/>
    <mergeCell ref="E45:G45"/>
    <mergeCell ref="H44:I44"/>
    <mergeCell ref="H45:I45"/>
    <mergeCell ref="N42:O43"/>
    <mergeCell ref="L42:M43"/>
    <mergeCell ref="E42:G42"/>
    <mergeCell ref="J42:K43"/>
    <mergeCell ref="Q42:R43"/>
    <mergeCell ref="L45:M45"/>
    <mergeCell ref="Q44:R44"/>
    <mergeCell ref="N44:O44"/>
    <mergeCell ref="N45:O45"/>
    <mergeCell ref="J44:K44"/>
    <mergeCell ref="J45:K45"/>
    <mergeCell ref="A43:B43"/>
    <mergeCell ref="E43:G43"/>
    <mergeCell ref="E46:G46"/>
    <mergeCell ref="E47:G47"/>
    <mergeCell ref="E48:G48"/>
    <mergeCell ref="C44:D44"/>
    <mergeCell ref="C45:D45"/>
    <mergeCell ref="A42:B42"/>
    <mergeCell ref="C1:E1"/>
    <mergeCell ref="C39:E39"/>
    <mergeCell ref="C40:E40"/>
    <mergeCell ref="C42:D43"/>
    <mergeCell ref="C38:E38"/>
    <mergeCell ref="C2:C3"/>
    <mergeCell ref="D2:D3"/>
    <mergeCell ref="E2:E3"/>
    <mergeCell ref="G38:I38"/>
    <mergeCell ref="E44:G44"/>
    <mergeCell ref="C46:D46"/>
    <mergeCell ref="C47:D47"/>
    <mergeCell ref="C48:D48"/>
    <mergeCell ref="H42:I43"/>
    <mergeCell ref="G39:I39"/>
    <mergeCell ref="G40:I40"/>
    <mergeCell ref="Q1:R1"/>
    <mergeCell ref="Q39:R39"/>
    <mergeCell ref="G1:O1"/>
    <mergeCell ref="G2:G3"/>
    <mergeCell ref="J2:J3"/>
    <mergeCell ref="H2:H3"/>
    <mergeCell ref="N2:N3"/>
    <mergeCell ref="I2:I3"/>
    <mergeCell ref="J38:M38"/>
    <mergeCell ref="Q2:Q3"/>
    <mergeCell ref="R2:R3"/>
    <mergeCell ref="Q35:R35"/>
    <mergeCell ref="Q36:R36"/>
    <mergeCell ref="O2:O3"/>
    <mergeCell ref="M2:M3"/>
    <mergeCell ref="J39:M39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65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indexed="52"/>
    <pageSetUpPr fitToPage="1"/>
  </sheetPr>
  <dimension ref="A1:S84"/>
  <sheetViews>
    <sheetView showGridLines="0" zoomScale="80" workbookViewId="0">
      <pane ySplit="3" topLeftCell="A4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8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7.140625" style="3" bestFit="1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>IF(SUM(C5:D5)=0,"",SUM(C5:D5))</f>
        <v>#REF!</v>
      </c>
      <c r="F5" s="7"/>
      <c r="G5" s="24" t="e">
        <f>IF(#REF!="","",#REF!)</f>
        <v>#REF!</v>
      </c>
      <c r="H5" s="23" t="e">
        <f>IF(#REF!="","",#REF!)</f>
        <v>#REF!</v>
      </c>
      <c r="I5" s="116" t="e">
        <f>IF(SUM(G5:H5)=0,"",SUM(G5:H5))</f>
        <v>#REF!</v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41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/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27" t="str">
        <f>IF(SUM(C7:D7)=0,"",SUM(C7:D7))</f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45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27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>IF(SUM(C9:D9)=0,"",SUM(C9:D9))</f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 t="e">
        <f>IF(#REF!="","",-#REF!)</f>
        <v>#REF!</v>
      </c>
      <c r="L9" s="23" t="e">
        <f>IF(#REF!="","",-#REF!)</f>
        <v>#REF!</v>
      </c>
      <c r="M9" s="116" t="e">
        <f>IF(SUM(J9:L9)=0,"",SUM(J9:L9))</f>
        <v>#REF!</v>
      </c>
      <c r="N9" s="41" t="e">
        <f>IF(#REF!="","",-#REF!)</f>
        <v>#REF!</v>
      </c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>IF(SUM(C10:D10)=0,"",SUM(C10:D10))</f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45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>IF(SUM(C11:D11)=0,"",SUM(C11:D11))</f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 t="e">
        <f>IF(SUM(K7:K10)=0,"",SUM(K7:K10))</f>
        <v>#REF!</v>
      </c>
      <c r="L11" s="25" t="e">
        <f>IF(SUM(L7:L10)=0,"",SUM(L7:L10))</f>
        <v>#REF!</v>
      </c>
      <c r="M11" s="116" t="e">
        <f>IF(SUM(J11:L11)=0,"",SUM(J11:L11))</f>
        <v>#REF!</v>
      </c>
      <c r="N11" s="28" t="e">
        <f>IF(SUM(N7:N10)=0,"",SUM(N7:N10))</f>
        <v>#REF!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0">IF(AND(G5="",G11=""),"",SUM(G5,G11))</f>
        <v>#REF!</v>
      </c>
      <c r="H13" s="11" t="e">
        <f t="shared" si="0"/>
        <v>#REF!</v>
      </c>
      <c r="I13" s="117" t="e">
        <f t="shared" si="0"/>
        <v>#REF!</v>
      </c>
      <c r="J13" s="14" t="e">
        <f t="shared" si="0"/>
        <v>#REF!</v>
      </c>
      <c r="K13" s="11" t="e">
        <f t="shared" si="0"/>
        <v>#REF!</v>
      </c>
      <c r="L13" s="11" t="e">
        <f t="shared" si="0"/>
        <v>#REF!</v>
      </c>
      <c r="M13" s="118" t="e">
        <f t="shared" si="0"/>
        <v>#REF!</v>
      </c>
      <c r="N13" s="46" t="e">
        <f t="shared" si="0"/>
        <v>#REF!</v>
      </c>
      <c r="O13" s="47" t="e">
        <f t="shared" si="0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/>
      <c r="D16" s="21"/>
      <c r="E16" s="27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>IF(SUM(J16:L16)=0,"",SUM(J16:L16))</f>
        <v/>
      </c>
      <c r="N16" s="43"/>
      <c r="O16" s="45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20"/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27" t="str">
        <f t="shared" ref="E18:E26" si="1">IF(SUM(C18:D18)=0,"",SUM(C18:D18))</f>
        <v/>
      </c>
      <c r="F18" s="7"/>
      <c r="G18" s="22"/>
      <c r="H18" s="21"/>
      <c r="I18" s="116" t="str">
        <f t="shared" ref="I18:I26" si="2">IF(SUM(G18:H18)=0,"",SUM(G18:H18))</f>
        <v/>
      </c>
      <c r="J18" s="22"/>
      <c r="K18" s="21"/>
      <c r="L18" s="21"/>
      <c r="M18" s="116" t="str">
        <f t="shared" ref="M18:M26" si="3">IF(SUM(J18:L18)=0,"",SUM(J18:L18))</f>
        <v/>
      </c>
      <c r="N18" s="43"/>
      <c r="O18" s="45" t="str">
        <f t="shared" ref="O18:O26" si="4">IF(SUM(I18,M18,N18)=0,"",SUM(I18,M18,N18))</f>
        <v/>
      </c>
      <c r="P18" s="9"/>
      <c r="Q18" s="134" t="str">
        <f t="shared" ref="Q18:Q26" si="5">IF(SUM(E18,O18)=0,"",SUM(E18,O18))</f>
        <v/>
      </c>
      <c r="R18" s="112" t="str">
        <f t="shared" ref="R18:R26" si="6">IF(Q18="","",Q18/Q$28)</f>
        <v/>
      </c>
    </row>
    <row r="19" spans="1:18" x14ac:dyDescent="0.2">
      <c r="A19" s="88"/>
      <c r="B19" s="103" t="s">
        <v>20</v>
      </c>
      <c r="C19" s="22"/>
      <c r="D19" s="21"/>
      <c r="E19" s="27" t="str">
        <f t="shared" si="1"/>
        <v/>
      </c>
      <c r="F19" s="7"/>
      <c r="G19" s="22"/>
      <c r="H19" s="21"/>
      <c r="I19" s="116" t="str">
        <f t="shared" si="2"/>
        <v/>
      </c>
      <c r="J19" s="22"/>
      <c r="K19" s="21"/>
      <c r="L19" s="21"/>
      <c r="M19" s="116" t="str">
        <f t="shared" si="3"/>
        <v/>
      </c>
      <c r="N19" s="43"/>
      <c r="O19" s="45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21</v>
      </c>
      <c r="C20" s="22"/>
      <c r="D20" s="21"/>
      <c r="E20" s="27" t="str">
        <f t="shared" si="1"/>
        <v/>
      </c>
      <c r="F20" s="7"/>
      <c r="G20" s="22"/>
      <c r="H20" s="21"/>
      <c r="I20" s="116" t="str">
        <f t="shared" si="2"/>
        <v/>
      </c>
      <c r="J20" s="22"/>
      <c r="K20" s="21"/>
      <c r="L20" s="21"/>
      <c r="M20" s="116" t="str">
        <f t="shared" si="3"/>
        <v/>
      </c>
      <c r="N20" s="43"/>
      <c r="O20" s="45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1"/>
        <v/>
      </c>
      <c r="F21" s="7"/>
      <c r="G21" s="22"/>
      <c r="H21" s="21"/>
      <c r="I21" s="116" t="str">
        <f t="shared" si="2"/>
        <v/>
      </c>
      <c r="J21" s="22"/>
      <c r="K21" s="21"/>
      <c r="L21" s="21"/>
      <c r="M21" s="116" t="str">
        <f t="shared" si="3"/>
        <v/>
      </c>
      <c r="N21" s="43"/>
      <c r="O21" s="45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23</v>
      </c>
      <c r="C22" s="22"/>
      <c r="D22" s="21"/>
      <c r="E22" s="27" t="str">
        <f t="shared" si="1"/>
        <v/>
      </c>
      <c r="F22" s="7"/>
      <c r="G22" s="22"/>
      <c r="H22" s="21"/>
      <c r="I22" s="116" t="str">
        <f t="shared" si="2"/>
        <v/>
      </c>
      <c r="J22" s="22"/>
      <c r="K22" s="21"/>
      <c r="L22" s="21"/>
      <c r="M22" s="116" t="str">
        <f t="shared" si="3"/>
        <v/>
      </c>
      <c r="N22" s="43"/>
      <c r="O22" s="45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50</v>
      </c>
      <c r="C23" s="22"/>
      <c r="D23" s="21"/>
      <c r="E23" s="27" t="str">
        <f t="shared" si="1"/>
        <v/>
      </c>
      <c r="F23" s="7"/>
      <c r="G23" s="22"/>
      <c r="H23" s="21"/>
      <c r="I23" s="116" t="str">
        <f t="shared" si="2"/>
        <v/>
      </c>
      <c r="J23" s="22"/>
      <c r="K23" s="21"/>
      <c r="L23" s="21"/>
      <c r="M23" s="116" t="str">
        <f t="shared" si="3"/>
        <v/>
      </c>
      <c r="N23" s="43"/>
      <c r="O23" s="45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1"/>
        <v/>
      </c>
      <c r="F24" s="7"/>
      <c r="G24" s="22"/>
      <c r="H24" s="21"/>
      <c r="I24" s="116" t="str">
        <f t="shared" si="2"/>
        <v/>
      </c>
      <c r="J24" s="22"/>
      <c r="K24" s="21"/>
      <c r="L24" s="21"/>
      <c r="M24" s="116" t="str">
        <f t="shared" si="3"/>
        <v/>
      </c>
      <c r="N24" s="43"/>
      <c r="O24" s="45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1"/>
        <v/>
      </c>
      <c r="F25" s="7"/>
      <c r="G25" s="22"/>
      <c r="H25" s="21"/>
      <c r="I25" s="116" t="str">
        <f t="shared" si="2"/>
        <v/>
      </c>
      <c r="J25" s="22"/>
      <c r="K25" s="21"/>
      <c r="L25" s="21"/>
      <c r="M25" s="116" t="str">
        <f t="shared" si="3"/>
        <v/>
      </c>
      <c r="N25" s="43"/>
      <c r="O25" s="45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/>
      <c r="D26" s="21"/>
      <c r="E26" s="27" t="str">
        <f t="shared" si="1"/>
        <v/>
      </c>
      <c r="F26" s="7"/>
      <c r="G26" s="22"/>
      <c r="H26" s="21"/>
      <c r="I26" s="116" t="str">
        <f t="shared" si="2"/>
        <v/>
      </c>
      <c r="J26" s="22"/>
      <c r="K26" s="21"/>
      <c r="L26" s="21"/>
      <c r="M26" s="116" t="str">
        <f t="shared" si="3"/>
        <v/>
      </c>
      <c r="N26" s="43"/>
      <c r="O26" s="45" t="str">
        <f t="shared" si="4"/>
        <v/>
      </c>
      <c r="P26" s="9"/>
      <c r="Q26" s="134" t="str">
        <f t="shared" si="5"/>
        <v/>
      </c>
      <c r="R26" s="112" t="str">
        <f t="shared" si="6"/>
        <v/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0</v>
      </c>
      <c r="D28" s="14">
        <f>SUM(D16:D27)</f>
        <v>0</v>
      </c>
      <c r="E28" s="14">
        <f>SUM(E16:E27)</f>
        <v>0</v>
      </c>
      <c r="F28" s="119"/>
      <c r="G28" s="14">
        <f>SUM(G16:G27)</f>
        <v>0</v>
      </c>
      <c r="H28" s="14">
        <f>SUM(H16:H27)</f>
        <v>0</v>
      </c>
      <c r="I28" s="14">
        <f>SUM(I16:I27)</f>
        <v>0</v>
      </c>
      <c r="J28" s="14">
        <f>SUM(J16:J27)</f>
        <v>0</v>
      </c>
      <c r="K28" s="14">
        <f t="shared" ref="K28:Q28" si="7">SUM(K16:K27)</f>
        <v>0</v>
      </c>
      <c r="L28" s="14">
        <f t="shared" si="7"/>
        <v>0</v>
      </c>
      <c r="M28" s="176">
        <f t="shared" si="7"/>
        <v>0</v>
      </c>
      <c r="N28" s="175" t="str">
        <f>IF(SUM(N16:N27)=0,"",SUM(N16:N27))</f>
        <v/>
      </c>
      <c r="O28" s="14">
        <f t="shared" si="7"/>
        <v>0</v>
      </c>
      <c r="P28" s="9"/>
      <c r="Q28" s="137">
        <f t="shared" si="7"/>
        <v>0</v>
      </c>
      <c r="R28" s="136" t="e">
        <f>IF(Q28="","",Q28/Q$28)</f>
        <v>#DIV/0!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60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8">IF(OR(G30="",G31=""),"",G30/G31)</f>
        <v>#REF!</v>
      </c>
      <c r="H32" s="61" t="e">
        <f t="shared" si="8"/>
        <v>#REF!</v>
      </c>
      <c r="I32" s="70" t="e">
        <f t="shared" si="8"/>
        <v>#REF!</v>
      </c>
      <c r="J32" s="73" t="e">
        <f t="shared" si="8"/>
        <v>#REF!</v>
      </c>
      <c r="K32" s="61" t="e">
        <f t="shared" si="8"/>
        <v>#REF!</v>
      </c>
      <c r="L32" s="61" t="e">
        <f t="shared" si="8"/>
        <v>#REF!</v>
      </c>
      <c r="M32" s="70" t="e">
        <f t="shared" si="8"/>
        <v>#REF!</v>
      </c>
      <c r="N32" s="85" t="e">
        <f t="shared" si="8"/>
        <v>#REF!</v>
      </c>
      <c r="O32" s="128" t="e">
        <f t="shared" si="8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IF(OR(C30="",ISERROR(#REF!+C30)),"",#REF!+C30)</f>
        <v>#REF!</v>
      </c>
      <c r="D34" s="57" t="e">
        <f>IF(OR(D30="",ISERROR(#REF!+D30)),"",#REF!+D30)</f>
        <v>#REF!</v>
      </c>
      <c r="E34" s="58" t="e">
        <f>IF(SUM(C34:D34)=0,"",SUM(C34:D34))</f>
        <v>#REF!</v>
      </c>
      <c r="F34" s="7"/>
      <c r="G34" s="65" t="e">
        <f>IF(OR(G30="",ISERROR(#REF!+G30)),"",#REF!+G30)</f>
        <v>#REF!</v>
      </c>
      <c r="H34" s="57" t="e">
        <f>IF(OR(H30="",ISERROR(#REF!+H30)),"",#REF!+H30)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IF(OR(K30="",ISERROR(#REF!+K30)),"",#REF!+K30)</f>
        <v>#REF!</v>
      </c>
      <c r="L34" s="57" t="e">
        <f>IF(OR(L30="",ISERROR(#REF!+L30)),"",#REF!+L30)</f>
        <v>#REF!</v>
      </c>
      <c r="M34" s="71" t="e">
        <f>IF(SUM(J34:L34)=0,"",SUM(J34:L34))</f>
        <v>#REF!</v>
      </c>
      <c r="N34" s="83" t="e">
        <f>IF(OR(N30="",ISERROR(#REF!+N30)),"",#REF!+N30)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9">IF(ISERROR(G34/G35),"",G34/G35)</f>
        <v/>
      </c>
      <c r="H36" s="61" t="str">
        <f t="shared" si="9"/>
        <v/>
      </c>
      <c r="I36" s="70" t="str">
        <f t="shared" si="9"/>
        <v/>
      </c>
      <c r="J36" s="73" t="str">
        <f t="shared" si="9"/>
        <v/>
      </c>
      <c r="K36" s="61" t="str">
        <f t="shared" si="9"/>
        <v/>
      </c>
      <c r="L36" s="61" t="str">
        <f t="shared" si="9"/>
        <v/>
      </c>
      <c r="M36" s="70" t="str">
        <f t="shared" si="9"/>
        <v/>
      </c>
      <c r="N36" s="85" t="str">
        <f t="shared" si="9"/>
        <v/>
      </c>
      <c r="O36" s="128" t="str">
        <f t="shared" si="9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#REF!</v>
      </c>
      <c r="D39" s="655"/>
      <c r="E39" s="594"/>
      <c r="F39" s="29"/>
      <c r="G39" s="626" t="e">
        <f>IF(I32="","",I32)</f>
        <v>#REF!</v>
      </c>
      <c r="H39" s="626"/>
      <c r="I39" s="626"/>
      <c r="J39" s="626" t="e">
        <f>IF(M32="","",M32)</f>
        <v>#REF!</v>
      </c>
      <c r="K39" s="626"/>
      <c r="L39" s="626"/>
      <c r="M39" s="626"/>
      <c r="N39" s="80" t="e">
        <f>N32</f>
        <v>#REF!</v>
      </c>
      <c r="O39" s="80" t="e">
        <f>IF(O32="","",O32)</f>
        <v>#REF!</v>
      </c>
      <c r="P39" s="30"/>
      <c r="Q39" s="593" t="e">
        <f>IF(Q32="","",Q32)</f>
        <v>#REF!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32" t="s">
        <v>35</v>
      </c>
      <c r="B44" s="33"/>
      <c r="C44" s="606" t="e">
        <f>IF(#REF!="","",#REF!)</f>
        <v>#REF!</v>
      </c>
      <c r="D44" s="607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58"/>
      <c r="P44" s="39"/>
      <c r="Q44" s="657" t="e">
        <f>IF(#REF!="","",#REF!)</f>
        <v>#REF!</v>
      </c>
      <c r="R44" s="658"/>
      <c r="S44" s="6"/>
    </row>
    <row r="45" spans="1:19" ht="12.75" customHeight="1" x14ac:dyDescent="0.2">
      <c r="A45" s="34" t="s">
        <v>36</v>
      </c>
      <c r="B45" s="35"/>
      <c r="C45" s="603" t="e">
        <f>IF(#REF!="","",#REF!)</f>
        <v>#REF!</v>
      </c>
      <c r="D45" s="605"/>
      <c r="E45" s="603" t="e">
        <f>IF(#REF!="","",#REF!)</f>
        <v>#REF!</v>
      </c>
      <c r="F45" s="604"/>
      <c r="G45" s="605"/>
      <c r="H45" s="632" t="e">
        <f>IF(#REF!="","",#REF!)</f>
        <v>#REF!</v>
      </c>
      <c r="I45" s="637"/>
      <c r="J45" s="632" t="e">
        <f>IF(#REF!="","",#REF!)</f>
        <v>#REF!</v>
      </c>
      <c r="K45" s="637"/>
      <c r="L45" s="632" t="e">
        <f>IF(#REF!="","",#REF!)</f>
        <v>#REF!</v>
      </c>
      <c r="M45" s="637"/>
      <c r="N45" s="632" t="e">
        <f>IF(#REF!="","",#REF!)</f>
        <v>#REF!</v>
      </c>
      <c r="O45" s="609"/>
      <c r="P45" s="39"/>
      <c r="Q45" s="608" t="e">
        <f>IF(#REF!="","",#REF!)</f>
        <v>#REF!</v>
      </c>
      <c r="R45" s="609"/>
      <c r="S45" s="6"/>
    </row>
    <row r="46" spans="1:19" ht="12.75" customHeight="1" x14ac:dyDescent="0.2">
      <c r="A46" s="34" t="s">
        <v>37</v>
      </c>
      <c r="B46" s="35"/>
      <c r="C46" s="603" t="e">
        <f>IF(#REF!="","",#REF!)</f>
        <v>#REF!</v>
      </c>
      <c r="D46" s="605"/>
      <c r="E46" s="603" t="e">
        <f>IF(#REF!="","",#REF!)</f>
        <v>#REF!</v>
      </c>
      <c r="F46" s="604"/>
      <c r="G46" s="605"/>
      <c r="H46" s="632" t="e">
        <f>IF(#REF!="","",#REF!)</f>
        <v>#REF!</v>
      </c>
      <c r="I46" s="637"/>
      <c r="J46" s="632" t="e">
        <f>IF(#REF!="","",#REF!)</f>
        <v>#REF!</v>
      </c>
      <c r="K46" s="637"/>
      <c r="L46" s="632" t="e">
        <f>IF(#REF!="","",#REF!)</f>
        <v>#REF!</v>
      </c>
      <c r="M46" s="637"/>
      <c r="N46" s="632" t="e">
        <f>IF(#REF!="","",#REF!)</f>
        <v>#REF!</v>
      </c>
      <c r="O46" s="609"/>
      <c r="P46" s="39"/>
      <c r="Q46" s="608" t="e">
        <f>IF(#REF!="","",#REF!)</f>
        <v>#REF!</v>
      </c>
      <c r="R46" s="609"/>
      <c r="S46" s="6"/>
    </row>
    <row r="47" spans="1:19" ht="12.75" customHeight="1" x14ac:dyDescent="0.2">
      <c r="A47" s="34" t="s">
        <v>38</v>
      </c>
      <c r="B47" s="35"/>
      <c r="C47" s="603" t="e">
        <f>IF(#REF!="","",#REF!)</f>
        <v>#REF!</v>
      </c>
      <c r="D47" s="605"/>
      <c r="E47" s="603" t="e">
        <f>IF(#REF!="","",#REF!)</f>
        <v>#REF!</v>
      </c>
      <c r="F47" s="604"/>
      <c r="G47" s="605"/>
      <c r="H47" s="632" t="e">
        <f>IF(#REF!="","",#REF!)</f>
        <v>#REF!</v>
      </c>
      <c r="I47" s="637"/>
      <c r="J47" s="632" t="e">
        <f>IF(#REF!="","",#REF!)</f>
        <v>#REF!</v>
      </c>
      <c r="K47" s="637"/>
      <c r="L47" s="632" t="e">
        <f>IF(#REF!="","",#REF!)</f>
        <v>#REF!</v>
      </c>
      <c r="M47" s="637"/>
      <c r="N47" s="632" t="e">
        <f>IF(#REF!="","",#REF!)</f>
        <v>#REF!</v>
      </c>
      <c r="O47" s="609"/>
      <c r="P47" s="39"/>
      <c r="Q47" s="608" t="e">
        <f>IF(#REF!="","",#REF!)</f>
        <v>#REF!</v>
      </c>
      <c r="R47" s="609"/>
      <c r="S47" s="6"/>
    </row>
    <row r="48" spans="1:19" ht="12.75" customHeight="1" x14ac:dyDescent="0.2">
      <c r="A48" s="34" t="s">
        <v>39</v>
      </c>
      <c r="B48" s="35"/>
      <c r="C48" s="603" t="str">
        <f>IF(Q31="","",Q31)</f>
        <v/>
      </c>
      <c r="D48" s="605"/>
      <c r="E48" s="603" t="e">
        <f>IF(Q30="","",Q30)</f>
        <v>#REF!</v>
      </c>
      <c r="F48" s="604"/>
      <c r="G48" s="605"/>
      <c r="H48" s="632" t="e">
        <f>IF(J39="","",J39)</f>
        <v>#REF!</v>
      </c>
      <c r="I48" s="637"/>
      <c r="J48" s="632" t="e">
        <f>IF($C$39="","",$C$39)</f>
        <v>#REF!</v>
      </c>
      <c r="K48" s="637"/>
      <c r="L48" s="632" t="e">
        <f>IF($O$39="","",$O$39)</f>
        <v>#REF!</v>
      </c>
      <c r="M48" s="637"/>
      <c r="N48" s="632" t="e">
        <f>IF($N$39="","",$N$39)</f>
        <v>#REF!</v>
      </c>
      <c r="O48" s="609"/>
      <c r="P48" s="39"/>
      <c r="Q48" s="608" t="e">
        <f>IF($Q$39="","",$Q$39)</f>
        <v>#REF!</v>
      </c>
      <c r="R48" s="609"/>
      <c r="S48" s="6"/>
    </row>
    <row r="49" spans="1:19" ht="12.75" customHeight="1" x14ac:dyDescent="0.2">
      <c r="A49" s="34" t="s">
        <v>40</v>
      </c>
      <c r="B49" s="35"/>
      <c r="C49" s="603"/>
      <c r="D49" s="605"/>
      <c r="E49" s="603"/>
      <c r="F49" s="604"/>
      <c r="G49" s="605"/>
      <c r="H49" s="632"/>
      <c r="I49" s="637"/>
      <c r="J49" s="632"/>
      <c r="K49" s="637"/>
      <c r="L49" s="632"/>
      <c r="M49" s="637"/>
      <c r="N49" s="632"/>
      <c r="O49" s="609"/>
      <c r="P49" s="39"/>
      <c r="Q49" s="608"/>
      <c r="R49" s="609"/>
      <c r="S49" s="6"/>
    </row>
    <row r="50" spans="1:19" ht="12.75" customHeight="1" x14ac:dyDescent="0.2">
      <c r="A50" s="34" t="s">
        <v>41</v>
      </c>
      <c r="B50" s="35"/>
      <c r="C50" s="603"/>
      <c r="D50" s="605"/>
      <c r="E50" s="603"/>
      <c r="F50" s="604"/>
      <c r="G50" s="605"/>
      <c r="H50" s="632"/>
      <c r="I50" s="637"/>
      <c r="J50" s="632"/>
      <c r="K50" s="637"/>
      <c r="L50" s="632"/>
      <c r="M50" s="637"/>
      <c r="N50" s="632"/>
      <c r="O50" s="609"/>
      <c r="P50" s="39"/>
      <c r="Q50" s="608"/>
      <c r="R50" s="609"/>
      <c r="S50" s="6"/>
    </row>
    <row r="51" spans="1:19" ht="12.75" customHeight="1" x14ac:dyDescent="0.2">
      <c r="A51" s="34" t="s">
        <v>42</v>
      </c>
      <c r="B51" s="35"/>
      <c r="C51" s="603"/>
      <c r="D51" s="605"/>
      <c r="E51" s="603"/>
      <c r="F51" s="604"/>
      <c r="G51" s="605"/>
      <c r="H51" s="632"/>
      <c r="I51" s="637"/>
      <c r="J51" s="632"/>
      <c r="K51" s="637"/>
      <c r="L51" s="632"/>
      <c r="M51" s="637"/>
      <c r="N51" s="632"/>
      <c r="O51" s="609"/>
      <c r="P51" s="39"/>
      <c r="Q51" s="608"/>
      <c r="R51" s="609"/>
      <c r="S51" s="6"/>
    </row>
    <row r="52" spans="1:19" ht="12.75" customHeight="1" x14ac:dyDescent="0.2">
      <c r="A52" s="34" t="s">
        <v>43</v>
      </c>
      <c r="B52" s="35"/>
      <c r="C52" s="603"/>
      <c r="D52" s="605"/>
      <c r="E52" s="603"/>
      <c r="F52" s="604"/>
      <c r="G52" s="605"/>
      <c r="H52" s="632"/>
      <c r="I52" s="637"/>
      <c r="J52" s="632"/>
      <c r="K52" s="637"/>
      <c r="L52" s="632"/>
      <c r="M52" s="637"/>
      <c r="N52" s="632"/>
      <c r="O52" s="609"/>
      <c r="P52" s="39"/>
      <c r="Q52" s="608"/>
      <c r="R52" s="609"/>
      <c r="S52" s="6"/>
    </row>
    <row r="53" spans="1:19" ht="12.75" customHeight="1" x14ac:dyDescent="0.2">
      <c r="A53" s="34" t="s">
        <v>44</v>
      </c>
      <c r="B53" s="35"/>
      <c r="C53" s="603"/>
      <c r="D53" s="605"/>
      <c r="E53" s="603"/>
      <c r="F53" s="604"/>
      <c r="G53" s="605"/>
      <c r="H53" s="632"/>
      <c r="I53" s="637"/>
      <c r="J53" s="632"/>
      <c r="K53" s="637"/>
      <c r="L53" s="632"/>
      <c r="M53" s="637"/>
      <c r="N53" s="632"/>
      <c r="O53" s="609"/>
      <c r="P53" s="39"/>
      <c r="Q53" s="608"/>
      <c r="R53" s="609"/>
      <c r="S53" s="6"/>
    </row>
    <row r="54" spans="1:19" ht="12.75" customHeight="1" x14ac:dyDescent="0.2">
      <c r="A54" s="34" t="s">
        <v>45</v>
      </c>
      <c r="B54" s="35"/>
      <c r="C54" s="603"/>
      <c r="D54" s="605"/>
      <c r="E54" s="603"/>
      <c r="F54" s="604"/>
      <c r="G54" s="605"/>
      <c r="H54" s="632"/>
      <c r="I54" s="637"/>
      <c r="J54" s="632"/>
      <c r="K54" s="637"/>
      <c r="L54" s="632"/>
      <c r="M54" s="637"/>
      <c r="N54" s="632"/>
      <c r="O54" s="609"/>
      <c r="P54" s="39"/>
      <c r="Q54" s="608"/>
      <c r="R54" s="609"/>
      <c r="S54" s="6"/>
    </row>
    <row r="55" spans="1:19" ht="13.5" customHeight="1" thickBot="1" x14ac:dyDescent="0.25">
      <c r="A55" s="36" t="s">
        <v>46</v>
      </c>
      <c r="B55" s="37"/>
      <c r="C55" s="700"/>
      <c r="D55" s="701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39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0">IF(ISERROR((G30/G32)/100),"",(G30/G32)/100)</f>
        <v/>
      </c>
      <c r="H79" s="144" t="str">
        <f t="shared" si="10"/>
        <v/>
      </c>
      <c r="I79" s="148" t="str">
        <f t="shared" si="10"/>
        <v/>
      </c>
      <c r="J79" s="143" t="str">
        <f t="shared" si="10"/>
        <v/>
      </c>
      <c r="K79" s="144" t="str">
        <f t="shared" si="10"/>
        <v/>
      </c>
      <c r="L79" s="144" t="str">
        <f t="shared" si="10"/>
        <v/>
      </c>
      <c r="M79" s="149" t="str">
        <f t="shared" si="10"/>
        <v/>
      </c>
      <c r="N79" s="150" t="str">
        <f t="shared" si="10"/>
        <v/>
      </c>
      <c r="O79" s="146" t="str">
        <f t="shared" si="10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1">IF(ISERROR(((G32-G$76)*100)*G79),"",((G32-G$76)*100)*G79)</f>
        <v/>
      </c>
      <c r="H80" s="159" t="str">
        <f t="shared" si="11"/>
        <v/>
      </c>
      <c r="I80" s="163" t="str">
        <f t="shared" si="11"/>
        <v/>
      </c>
      <c r="J80" s="158" t="str">
        <f t="shared" si="11"/>
        <v/>
      </c>
      <c r="K80" s="159" t="str">
        <f t="shared" si="11"/>
        <v/>
      </c>
      <c r="L80" s="159" t="str">
        <f t="shared" si="11"/>
        <v/>
      </c>
      <c r="M80" s="163" t="str">
        <f t="shared" si="11"/>
        <v/>
      </c>
      <c r="N80" s="164" t="str">
        <f t="shared" si="11"/>
        <v/>
      </c>
      <c r="O80" s="165" t="str">
        <f t="shared" si="11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2">IF(ISERROR((G34/G36)/100),"",(G34/G36)/100)</f>
        <v/>
      </c>
      <c r="H82" s="144" t="str">
        <f t="shared" si="12"/>
        <v/>
      </c>
      <c r="I82" s="148" t="str">
        <f t="shared" si="12"/>
        <v/>
      </c>
      <c r="J82" s="143" t="str">
        <f t="shared" si="12"/>
        <v/>
      </c>
      <c r="K82" s="144" t="str">
        <f t="shared" si="12"/>
        <v/>
      </c>
      <c r="L82" s="144" t="str">
        <f t="shared" si="12"/>
        <v/>
      </c>
      <c r="M82" s="149" t="str">
        <f t="shared" si="12"/>
        <v/>
      </c>
      <c r="N82" s="150" t="str">
        <f t="shared" si="12"/>
        <v/>
      </c>
      <c r="O82" s="146" t="str">
        <f t="shared" si="12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3">IF(ISERROR(((G36-G$76)*100)*G82),"",((G36-G$76)*100)*G82)</f>
        <v/>
      </c>
      <c r="H83" s="159" t="str">
        <f t="shared" si="13"/>
        <v/>
      </c>
      <c r="I83" s="163" t="str">
        <f t="shared" si="13"/>
        <v/>
      </c>
      <c r="J83" s="158" t="str">
        <f t="shared" si="13"/>
        <v/>
      </c>
      <c r="K83" s="159" t="str">
        <f t="shared" si="13"/>
        <v/>
      </c>
      <c r="L83" s="159" t="str">
        <f t="shared" si="13"/>
        <v/>
      </c>
      <c r="M83" s="163" t="str">
        <f t="shared" si="13"/>
        <v/>
      </c>
      <c r="N83" s="164" t="str">
        <f t="shared" si="13"/>
        <v/>
      </c>
      <c r="O83" s="165" t="str">
        <f t="shared" si="13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45">
    <mergeCell ref="Q83:R83"/>
    <mergeCell ref="A77:B78"/>
    <mergeCell ref="O77:O78"/>
    <mergeCell ref="Q77:Q78"/>
    <mergeCell ref="R77:R78"/>
    <mergeCell ref="Q80:R80"/>
    <mergeCell ref="N77:N78"/>
    <mergeCell ref="H77:H78"/>
    <mergeCell ref="I77:I78"/>
    <mergeCell ref="J77:J78"/>
    <mergeCell ref="M77:M78"/>
    <mergeCell ref="C77:C78"/>
    <mergeCell ref="D77:D78"/>
    <mergeCell ref="E77:E78"/>
    <mergeCell ref="G77:G78"/>
    <mergeCell ref="Q76:R76"/>
    <mergeCell ref="Q79:R79"/>
    <mergeCell ref="Q54:R54"/>
    <mergeCell ref="Q55:R55"/>
    <mergeCell ref="N52:O52"/>
    <mergeCell ref="N53:O53"/>
    <mergeCell ref="N54:O54"/>
    <mergeCell ref="N55:O55"/>
    <mergeCell ref="Q82:R82"/>
    <mergeCell ref="Q52:R52"/>
    <mergeCell ref="Q53:R53"/>
    <mergeCell ref="Q48:R48"/>
    <mergeCell ref="Q49:R49"/>
    <mergeCell ref="Q50:R50"/>
    <mergeCell ref="Q51:R51"/>
    <mergeCell ref="J50:K50"/>
    <mergeCell ref="J51:K51"/>
    <mergeCell ref="J52:K52"/>
    <mergeCell ref="J53:K53"/>
    <mergeCell ref="L48:M48"/>
    <mergeCell ref="L49:M49"/>
    <mergeCell ref="L50:M50"/>
    <mergeCell ref="L51:M51"/>
    <mergeCell ref="N48:O48"/>
    <mergeCell ref="N49:O49"/>
    <mergeCell ref="N50:O50"/>
    <mergeCell ref="N51:O51"/>
    <mergeCell ref="H54:I54"/>
    <mergeCell ref="H55:I55"/>
    <mergeCell ref="L42:M43"/>
    <mergeCell ref="J44:K44"/>
    <mergeCell ref="J45:K45"/>
    <mergeCell ref="J46:K46"/>
    <mergeCell ref="J47:K47"/>
    <mergeCell ref="J48:K48"/>
    <mergeCell ref="H46:I46"/>
    <mergeCell ref="H47:I47"/>
    <mergeCell ref="H48:I48"/>
    <mergeCell ref="H49:I49"/>
    <mergeCell ref="H50:I50"/>
    <mergeCell ref="H51:I51"/>
    <mergeCell ref="J54:K54"/>
    <mergeCell ref="J55:K55"/>
    <mergeCell ref="L52:M52"/>
    <mergeCell ref="L53:M53"/>
    <mergeCell ref="L54:M54"/>
    <mergeCell ref="L55:M55"/>
    <mergeCell ref="J49:K49"/>
    <mergeCell ref="L44:M44"/>
    <mergeCell ref="L45:M45"/>
    <mergeCell ref="L46:M46"/>
    <mergeCell ref="C54:D54"/>
    <mergeCell ref="C55:D55"/>
    <mergeCell ref="E49:G49"/>
    <mergeCell ref="E50:G50"/>
    <mergeCell ref="E51:G51"/>
    <mergeCell ref="E52:G52"/>
    <mergeCell ref="E53:G53"/>
    <mergeCell ref="E54:G54"/>
    <mergeCell ref="E55:G55"/>
    <mergeCell ref="H52:I52"/>
    <mergeCell ref="H53:I53"/>
    <mergeCell ref="L47:M47"/>
    <mergeCell ref="N46:O46"/>
    <mergeCell ref="N47:O47"/>
    <mergeCell ref="E44:G44"/>
    <mergeCell ref="E45:G45"/>
    <mergeCell ref="C44:D44"/>
    <mergeCell ref="C45:D45"/>
    <mergeCell ref="C46:D46"/>
    <mergeCell ref="C47:D47"/>
    <mergeCell ref="C39:E39"/>
    <mergeCell ref="C48:D48"/>
    <mergeCell ref="C49:D49"/>
    <mergeCell ref="C50:D50"/>
    <mergeCell ref="C51:D51"/>
    <mergeCell ref="C52:D52"/>
    <mergeCell ref="C53:D53"/>
    <mergeCell ref="E47:G47"/>
    <mergeCell ref="E48:G48"/>
    <mergeCell ref="A43:B43"/>
    <mergeCell ref="J42:K43"/>
    <mergeCell ref="H42:I43"/>
    <mergeCell ref="A42:B42"/>
    <mergeCell ref="N44:O44"/>
    <mergeCell ref="N45:O45"/>
    <mergeCell ref="E46:G46"/>
    <mergeCell ref="C42:D43"/>
    <mergeCell ref="C40:E40"/>
    <mergeCell ref="H44:I44"/>
    <mergeCell ref="H45:I45"/>
    <mergeCell ref="N42:O43"/>
    <mergeCell ref="G2:G3"/>
    <mergeCell ref="H2:H3"/>
    <mergeCell ref="N2:N3"/>
    <mergeCell ref="I2:I3"/>
    <mergeCell ref="Q46:R46"/>
    <mergeCell ref="Q47:R47"/>
    <mergeCell ref="Q32:R32"/>
    <mergeCell ref="Q34:R34"/>
    <mergeCell ref="Q35:R35"/>
    <mergeCell ref="Q36:R36"/>
    <mergeCell ref="Q42:R43"/>
    <mergeCell ref="Q44:R44"/>
    <mergeCell ref="Q45:R45"/>
    <mergeCell ref="Q38:R38"/>
    <mergeCell ref="G1:O1"/>
    <mergeCell ref="E42:G42"/>
    <mergeCell ref="E43:G43"/>
    <mergeCell ref="Q1:R1"/>
    <mergeCell ref="Q39:R39"/>
    <mergeCell ref="Q40:R40"/>
    <mergeCell ref="M2:M3"/>
    <mergeCell ref="G39:I39"/>
    <mergeCell ref="C1:E1"/>
    <mergeCell ref="C38:E38"/>
    <mergeCell ref="C2:C3"/>
    <mergeCell ref="Q2:Q3"/>
    <mergeCell ref="R2:R3"/>
    <mergeCell ref="Q30:R30"/>
    <mergeCell ref="Q31:R31"/>
    <mergeCell ref="D2:D3"/>
    <mergeCell ref="E2:E3"/>
    <mergeCell ref="O2:O3"/>
    <mergeCell ref="G40:I40"/>
    <mergeCell ref="J39:M39"/>
    <mergeCell ref="J40:M40"/>
    <mergeCell ref="J2:J3"/>
    <mergeCell ref="J38:M38"/>
    <mergeCell ref="G38:I38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65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indexed="52"/>
    <pageSetUpPr fitToPage="1"/>
  </sheetPr>
  <dimension ref="A1:S84"/>
  <sheetViews>
    <sheetView showGridLines="0" zoomScale="80" workbookViewId="0">
      <pane ySplit="3" topLeftCell="A58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8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7.140625" style="3" bestFit="1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>IF(SUM(C5:D5)=0,"",SUM(C5:D5))</f>
        <v>#REF!</v>
      </c>
      <c r="F5" s="7"/>
      <c r="G5" s="24" t="e">
        <f>IF(#REF!="","",#REF!)</f>
        <v>#REF!</v>
      </c>
      <c r="H5" s="23" t="e">
        <f>IF(#REF!="","",#REF!)</f>
        <v>#REF!</v>
      </c>
      <c r="I5" s="116" t="e">
        <f>IF(SUM(G5:H5)=0,"",SUM(G5:H5))</f>
        <v>#REF!</v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41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/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27" t="str">
        <f>IF(SUM(C7:D7)=0,"",SUM(C7:D7))</f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45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27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>IF(SUM(C9:D9)=0,"",SUM(C9:D9))</f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 t="e">
        <f>IF(#REF!="","",-#REF!)</f>
        <v>#REF!</v>
      </c>
      <c r="L9" s="23" t="e">
        <f>IF(#REF!="","",-#REF!)</f>
        <v>#REF!</v>
      </c>
      <c r="M9" s="116" t="e">
        <f>IF(SUM(J9:L9)=0,"",SUM(J9:L9))</f>
        <v>#REF!</v>
      </c>
      <c r="N9" s="41" t="e">
        <f>IF(#REF!="","",-#REF!)</f>
        <v>#REF!</v>
      </c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>IF(SUM(C10:D10)=0,"",SUM(C10:D10))</f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45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>IF(SUM(C11:D11)=0,"",SUM(C11:D11))</f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 t="e">
        <f>IF(SUM(K7:K10)=0,"",SUM(K7:K10))</f>
        <v>#REF!</v>
      </c>
      <c r="L11" s="25" t="e">
        <f>IF(SUM(L7:L10)=0,"",SUM(L7:L10))</f>
        <v>#REF!</v>
      </c>
      <c r="M11" s="116" t="e">
        <f>IF(SUM(J11:L11)=0,"",SUM(J11:L11))</f>
        <v>#REF!</v>
      </c>
      <c r="N11" s="28" t="e">
        <f>IF(SUM(N7:N10)=0,"",SUM(N7:N10))</f>
        <v>#REF!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0">IF(AND(G5="",G11=""),"",SUM(G5,G11))</f>
        <v>#REF!</v>
      </c>
      <c r="H13" s="11" t="e">
        <f t="shared" si="0"/>
        <v>#REF!</v>
      </c>
      <c r="I13" s="117" t="e">
        <f t="shared" si="0"/>
        <v>#REF!</v>
      </c>
      <c r="J13" s="14" t="e">
        <f t="shared" si="0"/>
        <v>#REF!</v>
      </c>
      <c r="K13" s="11" t="e">
        <f t="shared" si="0"/>
        <v>#REF!</v>
      </c>
      <c r="L13" s="11" t="e">
        <f t="shared" si="0"/>
        <v>#REF!</v>
      </c>
      <c r="M13" s="118" t="e">
        <f t="shared" si="0"/>
        <v>#REF!</v>
      </c>
      <c r="N13" s="46" t="e">
        <f t="shared" si="0"/>
        <v>#REF!</v>
      </c>
      <c r="O13" s="47" t="e">
        <f t="shared" si="0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/>
      <c r="D16" s="21"/>
      <c r="E16" s="27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>IF(SUM(J16:L16)=0,"",SUM(J16:L16))</f>
        <v/>
      </c>
      <c r="N16" s="43"/>
      <c r="O16" s="45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20"/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27" t="str">
        <f t="shared" ref="E18:E26" si="1">IF(SUM(C18:D18)=0,"",SUM(C18:D18))</f>
        <v/>
      </c>
      <c r="F18" s="7"/>
      <c r="G18" s="22"/>
      <c r="H18" s="21"/>
      <c r="I18" s="116" t="str">
        <f t="shared" ref="I18:I26" si="2">IF(SUM(G18:H18)=0,"",SUM(G18:H18))</f>
        <v/>
      </c>
      <c r="J18" s="22"/>
      <c r="K18" s="21"/>
      <c r="L18" s="21"/>
      <c r="M18" s="116" t="str">
        <f t="shared" ref="M18:M26" si="3">IF(SUM(J18:L18)=0,"",SUM(J18:L18))</f>
        <v/>
      </c>
      <c r="N18" s="43"/>
      <c r="O18" s="45" t="str">
        <f t="shared" ref="O18:O26" si="4">IF(SUM(I18,M18,N18)=0,"",SUM(I18,M18,N18))</f>
        <v/>
      </c>
      <c r="P18" s="9"/>
      <c r="Q18" s="134" t="str">
        <f t="shared" ref="Q18:Q26" si="5">IF(SUM(E18,O18)=0,"",SUM(E18,O18))</f>
        <v/>
      </c>
      <c r="R18" s="112" t="str">
        <f t="shared" ref="R18:R26" si="6">IF(Q18="","",Q18/Q$28)</f>
        <v/>
      </c>
    </row>
    <row r="19" spans="1:18" x14ac:dyDescent="0.2">
      <c r="A19" s="88"/>
      <c r="B19" s="103" t="s">
        <v>20</v>
      </c>
      <c r="C19" s="22"/>
      <c r="D19" s="21"/>
      <c r="E19" s="27" t="str">
        <f t="shared" si="1"/>
        <v/>
      </c>
      <c r="F19" s="7"/>
      <c r="G19" s="22"/>
      <c r="H19" s="21"/>
      <c r="I19" s="116" t="str">
        <f t="shared" si="2"/>
        <v/>
      </c>
      <c r="J19" s="22"/>
      <c r="K19" s="21"/>
      <c r="L19" s="21"/>
      <c r="M19" s="116" t="str">
        <f t="shared" si="3"/>
        <v/>
      </c>
      <c r="N19" s="43"/>
      <c r="O19" s="45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21</v>
      </c>
      <c r="C20" s="22"/>
      <c r="D20" s="21"/>
      <c r="E20" s="27" t="str">
        <f t="shared" si="1"/>
        <v/>
      </c>
      <c r="F20" s="7"/>
      <c r="G20" s="22"/>
      <c r="H20" s="21"/>
      <c r="I20" s="116" t="str">
        <f t="shared" si="2"/>
        <v/>
      </c>
      <c r="J20" s="22"/>
      <c r="K20" s="21"/>
      <c r="L20" s="21"/>
      <c r="M20" s="116" t="str">
        <f t="shared" si="3"/>
        <v/>
      </c>
      <c r="N20" s="43"/>
      <c r="O20" s="45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1"/>
        <v/>
      </c>
      <c r="F21" s="7"/>
      <c r="G21" s="22"/>
      <c r="H21" s="21"/>
      <c r="I21" s="116" t="str">
        <f t="shared" si="2"/>
        <v/>
      </c>
      <c r="J21" s="22"/>
      <c r="K21" s="21"/>
      <c r="L21" s="21"/>
      <c r="M21" s="116" t="str">
        <f t="shared" si="3"/>
        <v/>
      </c>
      <c r="N21" s="43"/>
      <c r="O21" s="45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23</v>
      </c>
      <c r="C22" s="22"/>
      <c r="D22" s="21"/>
      <c r="E22" s="27" t="str">
        <f t="shared" si="1"/>
        <v/>
      </c>
      <c r="F22" s="7"/>
      <c r="G22" s="22"/>
      <c r="H22" s="21"/>
      <c r="I22" s="116" t="str">
        <f t="shared" si="2"/>
        <v/>
      </c>
      <c r="J22" s="22"/>
      <c r="K22" s="21"/>
      <c r="L22" s="21"/>
      <c r="M22" s="116" t="str">
        <f t="shared" si="3"/>
        <v/>
      </c>
      <c r="N22" s="43"/>
      <c r="O22" s="45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50</v>
      </c>
      <c r="C23" s="22"/>
      <c r="D23" s="21"/>
      <c r="E23" s="27" t="str">
        <f t="shared" si="1"/>
        <v/>
      </c>
      <c r="F23" s="7"/>
      <c r="G23" s="22"/>
      <c r="H23" s="21"/>
      <c r="I23" s="116" t="str">
        <f t="shared" si="2"/>
        <v/>
      </c>
      <c r="J23" s="22"/>
      <c r="K23" s="21"/>
      <c r="L23" s="21"/>
      <c r="M23" s="116" t="str">
        <f t="shared" si="3"/>
        <v/>
      </c>
      <c r="N23" s="43"/>
      <c r="O23" s="45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1"/>
        <v/>
      </c>
      <c r="F24" s="7"/>
      <c r="G24" s="22"/>
      <c r="H24" s="21"/>
      <c r="I24" s="116" t="str">
        <f t="shared" si="2"/>
        <v/>
      </c>
      <c r="J24" s="22"/>
      <c r="K24" s="21"/>
      <c r="L24" s="21"/>
      <c r="M24" s="116" t="str">
        <f t="shared" si="3"/>
        <v/>
      </c>
      <c r="N24" s="43"/>
      <c r="O24" s="45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1"/>
        <v/>
      </c>
      <c r="F25" s="7"/>
      <c r="G25" s="22"/>
      <c r="H25" s="21"/>
      <c r="I25" s="116" t="str">
        <f t="shared" si="2"/>
        <v/>
      </c>
      <c r="J25" s="22"/>
      <c r="K25" s="21"/>
      <c r="L25" s="21"/>
      <c r="M25" s="116" t="str">
        <f t="shared" si="3"/>
        <v/>
      </c>
      <c r="N25" s="43"/>
      <c r="O25" s="45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/>
      <c r="D26" s="21"/>
      <c r="E26" s="27" t="str">
        <f t="shared" si="1"/>
        <v/>
      </c>
      <c r="F26" s="7"/>
      <c r="G26" s="22"/>
      <c r="H26" s="21"/>
      <c r="I26" s="116" t="str">
        <f t="shared" si="2"/>
        <v/>
      </c>
      <c r="J26" s="22"/>
      <c r="K26" s="21"/>
      <c r="L26" s="21"/>
      <c r="M26" s="116" t="str">
        <f t="shared" si="3"/>
        <v/>
      </c>
      <c r="N26" s="43"/>
      <c r="O26" s="45" t="str">
        <f t="shared" si="4"/>
        <v/>
      </c>
      <c r="P26" s="9"/>
      <c r="Q26" s="134" t="str">
        <f t="shared" si="5"/>
        <v/>
      </c>
      <c r="R26" s="112" t="str">
        <f t="shared" si="6"/>
        <v/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0</v>
      </c>
      <c r="D28" s="14">
        <f>SUM(D16:D27)</f>
        <v>0</v>
      </c>
      <c r="E28" s="14">
        <f>SUM(E16:E27)</f>
        <v>0</v>
      </c>
      <c r="F28" s="119"/>
      <c r="G28" s="14">
        <f>SUM(G16:G27)</f>
        <v>0</v>
      </c>
      <c r="H28" s="14">
        <f>SUM(H16:H27)</f>
        <v>0</v>
      </c>
      <c r="I28" s="14">
        <f>SUM(I16:I27)</f>
        <v>0</v>
      </c>
      <c r="J28" s="14">
        <f>SUM(J16:J27)</f>
        <v>0</v>
      </c>
      <c r="K28" s="14">
        <f t="shared" ref="K28:Q28" si="7">SUM(K16:K27)</f>
        <v>0</v>
      </c>
      <c r="L28" s="14">
        <f t="shared" si="7"/>
        <v>0</v>
      </c>
      <c r="M28" s="176">
        <f t="shared" si="7"/>
        <v>0</v>
      </c>
      <c r="N28" s="175" t="str">
        <f>IF(SUM(N16:N27)=0,"",SUM(N16:N27))</f>
        <v/>
      </c>
      <c r="O28" s="14">
        <f t="shared" si="7"/>
        <v>0</v>
      </c>
      <c r="P28" s="9"/>
      <c r="Q28" s="137">
        <f t="shared" si="7"/>
        <v>0</v>
      </c>
      <c r="R28" s="136" t="e">
        <f>IF(Q28="","",Q28/Q$28)</f>
        <v>#DIV/0!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60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8">IF(OR(G30="",G31=""),"",G30/G31)</f>
        <v>#REF!</v>
      </c>
      <c r="H32" s="61" t="e">
        <f t="shared" si="8"/>
        <v>#REF!</v>
      </c>
      <c r="I32" s="70" t="e">
        <f t="shared" si="8"/>
        <v>#REF!</v>
      </c>
      <c r="J32" s="73" t="e">
        <f t="shared" si="8"/>
        <v>#REF!</v>
      </c>
      <c r="K32" s="61" t="e">
        <f t="shared" si="8"/>
        <v>#REF!</v>
      </c>
      <c r="L32" s="61" t="e">
        <f t="shared" si="8"/>
        <v>#REF!</v>
      </c>
      <c r="M32" s="70" t="e">
        <f t="shared" si="8"/>
        <v>#REF!</v>
      </c>
      <c r="N32" s="85" t="e">
        <f t="shared" si="8"/>
        <v>#REF!</v>
      </c>
      <c r="O32" s="128" t="e">
        <f t="shared" si="8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IF(OR(C30="",ISERROR(#REF!+C30)),"",#REF!+C30)</f>
        <v>#REF!</v>
      </c>
      <c r="D34" s="57" t="e">
        <f>IF(OR(D30="",ISERROR(#REF!+D30)),"",#REF!+D30)</f>
        <v>#REF!</v>
      </c>
      <c r="E34" s="58" t="e">
        <f>IF(SUM(C34:D34)=0,"",SUM(C34:D34))</f>
        <v>#REF!</v>
      </c>
      <c r="F34" s="7"/>
      <c r="G34" s="65" t="e">
        <f>IF(OR(G30="",ISERROR(#REF!+G30)),"",#REF!+G30)</f>
        <v>#REF!</v>
      </c>
      <c r="H34" s="57" t="e">
        <f>IF(OR(H30="",ISERROR(#REF!+H30)),"",#REF!+H30)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IF(OR(K30="",ISERROR(#REF!+K30)),"",#REF!+K30)</f>
        <v>#REF!</v>
      </c>
      <c r="L34" s="57" t="e">
        <f>IF(OR(L30="",ISERROR(#REF!+L30)),"",#REF!+L30)</f>
        <v>#REF!</v>
      </c>
      <c r="M34" s="71" t="e">
        <f>IF(SUM(J34:L34)=0,"",SUM(J34:L34))</f>
        <v>#REF!</v>
      </c>
      <c r="N34" s="83" t="e">
        <f>IF(OR(N30="",ISERROR(#REF!+N30)),"",#REF!+N30)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9">IF(ISERROR(G34/G35),"",G34/G35)</f>
        <v/>
      </c>
      <c r="H36" s="61" t="str">
        <f t="shared" si="9"/>
        <v/>
      </c>
      <c r="I36" s="70" t="str">
        <f t="shared" si="9"/>
        <v/>
      </c>
      <c r="J36" s="73" t="str">
        <f t="shared" si="9"/>
        <v/>
      </c>
      <c r="K36" s="61" t="str">
        <f t="shared" si="9"/>
        <v/>
      </c>
      <c r="L36" s="61" t="str">
        <f t="shared" si="9"/>
        <v/>
      </c>
      <c r="M36" s="70" t="str">
        <f t="shared" si="9"/>
        <v/>
      </c>
      <c r="N36" s="85" t="str">
        <f t="shared" si="9"/>
        <v/>
      </c>
      <c r="O36" s="128" t="str">
        <f t="shared" si="9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#REF!</v>
      </c>
      <c r="D39" s="655"/>
      <c r="E39" s="594"/>
      <c r="F39" s="29"/>
      <c r="G39" s="626" t="e">
        <f>IF(I32="","",I32)</f>
        <v>#REF!</v>
      </c>
      <c r="H39" s="626"/>
      <c r="I39" s="626"/>
      <c r="J39" s="626" t="e">
        <f>IF(M32="","",M32)</f>
        <v>#REF!</v>
      </c>
      <c r="K39" s="626"/>
      <c r="L39" s="626"/>
      <c r="M39" s="626"/>
      <c r="N39" s="80" t="e">
        <f>N32</f>
        <v>#REF!</v>
      </c>
      <c r="O39" s="80" t="e">
        <f>IF(O32="","",O32)</f>
        <v>#REF!</v>
      </c>
      <c r="P39" s="30"/>
      <c r="Q39" s="593" t="e">
        <f>IF(Q32="","",Q32)</f>
        <v>#REF!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32" t="s">
        <v>35</v>
      </c>
      <c r="B44" s="33"/>
      <c r="C44" s="725" t="e">
        <f>IF(#REF!="","",#REF!)</f>
        <v>#REF!</v>
      </c>
      <c r="D44" s="726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58"/>
      <c r="P44" s="39"/>
      <c r="Q44" s="657" t="e">
        <f>IF(#REF!="","",#REF!)</f>
        <v>#REF!</v>
      </c>
      <c r="R44" s="658"/>
      <c r="S44" s="6"/>
    </row>
    <row r="45" spans="1:19" ht="12.75" customHeight="1" x14ac:dyDescent="0.2">
      <c r="A45" s="34" t="s">
        <v>36</v>
      </c>
      <c r="B45" s="35"/>
      <c r="C45" s="723" t="e">
        <f>IF(#REF!="","",#REF!)</f>
        <v>#REF!</v>
      </c>
      <c r="D45" s="724"/>
      <c r="E45" s="603" t="e">
        <f>IF(#REF!="","",#REF!)</f>
        <v>#REF!</v>
      </c>
      <c r="F45" s="604"/>
      <c r="G45" s="605"/>
      <c r="H45" s="632" t="e">
        <f>IF(#REF!="","",#REF!)</f>
        <v>#REF!</v>
      </c>
      <c r="I45" s="637"/>
      <c r="J45" s="632" t="e">
        <f>IF(#REF!="","",#REF!)</f>
        <v>#REF!</v>
      </c>
      <c r="K45" s="637"/>
      <c r="L45" s="632" t="e">
        <f>IF(#REF!="","",#REF!)</f>
        <v>#REF!</v>
      </c>
      <c r="M45" s="637"/>
      <c r="N45" s="632" t="e">
        <f>IF(#REF!="","",#REF!)</f>
        <v>#REF!</v>
      </c>
      <c r="O45" s="609"/>
      <c r="P45" s="39"/>
      <c r="Q45" s="608" t="e">
        <f>IF(#REF!="","",#REF!)</f>
        <v>#REF!</v>
      </c>
      <c r="R45" s="609"/>
      <c r="S45" s="6"/>
    </row>
    <row r="46" spans="1:19" ht="12.75" customHeight="1" x14ac:dyDescent="0.2">
      <c r="A46" s="34" t="s">
        <v>37</v>
      </c>
      <c r="B46" s="35"/>
      <c r="C46" s="723" t="e">
        <f>IF(#REF!="","",#REF!)</f>
        <v>#REF!</v>
      </c>
      <c r="D46" s="724"/>
      <c r="E46" s="603" t="e">
        <f>IF(#REF!="","",#REF!)</f>
        <v>#REF!</v>
      </c>
      <c r="F46" s="604"/>
      <c r="G46" s="605"/>
      <c r="H46" s="632" t="e">
        <f>IF(#REF!="","",#REF!)</f>
        <v>#REF!</v>
      </c>
      <c r="I46" s="637"/>
      <c r="J46" s="632" t="e">
        <f>IF(#REF!="","",#REF!)</f>
        <v>#REF!</v>
      </c>
      <c r="K46" s="637"/>
      <c r="L46" s="632" t="e">
        <f>IF(#REF!="","",#REF!)</f>
        <v>#REF!</v>
      </c>
      <c r="M46" s="637"/>
      <c r="N46" s="632" t="e">
        <f>IF(#REF!="","",#REF!)</f>
        <v>#REF!</v>
      </c>
      <c r="O46" s="609"/>
      <c r="P46" s="39"/>
      <c r="Q46" s="608" t="e">
        <f>IF(#REF!="","",#REF!)</f>
        <v>#REF!</v>
      </c>
      <c r="R46" s="609"/>
      <c r="S46" s="6"/>
    </row>
    <row r="47" spans="1:19" ht="12.75" customHeight="1" x14ac:dyDescent="0.2">
      <c r="A47" s="34" t="s">
        <v>38</v>
      </c>
      <c r="B47" s="35"/>
      <c r="C47" s="723" t="e">
        <f>IF(#REF!="","",#REF!)</f>
        <v>#REF!</v>
      </c>
      <c r="D47" s="724"/>
      <c r="E47" s="603" t="e">
        <f>IF(#REF!="","",#REF!)</f>
        <v>#REF!</v>
      </c>
      <c r="F47" s="604"/>
      <c r="G47" s="605"/>
      <c r="H47" s="632" t="e">
        <f>IF(#REF!="","",#REF!)</f>
        <v>#REF!</v>
      </c>
      <c r="I47" s="637"/>
      <c r="J47" s="632" t="e">
        <f>IF(#REF!="","",#REF!)</f>
        <v>#REF!</v>
      </c>
      <c r="K47" s="637"/>
      <c r="L47" s="632" t="e">
        <f>IF(#REF!="","",#REF!)</f>
        <v>#REF!</v>
      </c>
      <c r="M47" s="637"/>
      <c r="N47" s="632" t="e">
        <f>IF(#REF!="","",#REF!)</f>
        <v>#REF!</v>
      </c>
      <c r="O47" s="609"/>
      <c r="P47" s="39"/>
      <c r="Q47" s="608" t="e">
        <f>IF(#REF!="","",#REF!)</f>
        <v>#REF!</v>
      </c>
      <c r="R47" s="609"/>
      <c r="S47" s="6"/>
    </row>
    <row r="48" spans="1:19" ht="12.75" customHeight="1" x14ac:dyDescent="0.2">
      <c r="A48" s="34" t="s">
        <v>39</v>
      </c>
      <c r="B48" s="35"/>
      <c r="C48" s="723" t="e">
        <f>IF(#REF!="","",#REF!)</f>
        <v>#REF!</v>
      </c>
      <c r="D48" s="724"/>
      <c r="E48" s="603" t="e">
        <f>IF(Q30="","",Q30)</f>
        <v>#REF!</v>
      </c>
      <c r="F48" s="604"/>
      <c r="G48" s="605"/>
      <c r="H48" s="632" t="e">
        <f>IF(#REF!="","",#REF!)</f>
        <v>#REF!</v>
      </c>
      <c r="I48" s="637"/>
      <c r="J48" s="632" t="e">
        <f>IF(#REF!="","",#REF!)</f>
        <v>#REF!</v>
      </c>
      <c r="K48" s="637"/>
      <c r="L48" s="632" t="e">
        <f>IF(#REF!="","",#REF!)</f>
        <v>#REF!</v>
      </c>
      <c r="M48" s="637"/>
      <c r="N48" s="632" t="e">
        <f>IF(#REF!="","",#REF!)</f>
        <v>#REF!</v>
      </c>
      <c r="O48" s="609"/>
      <c r="P48" s="39"/>
      <c r="Q48" s="608" t="e">
        <f>IF(#REF!="","",#REF!)</f>
        <v>#REF!</v>
      </c>
      <c r="R48" s="609"/>
      <c r="S48" s="6"/>
    </row>
    <row r="49" spans="1:19" ht="12.75" customHeight="1" x14ac:dyDescent="0.2">
      <c r="A49" s="34" t="s">
        <v>40</v>
      </c>
      <c r="B49" s="35"/>
      <c r="C49" s="723" t="str">
        <f>IF($Q$31="","",$Q$31)</f>
        <v/>
      </c>
      <c r="D49" s="724"/>
      <c r="E49" s="603" t="e">
        <f>IF($Q$30="","",$Q$30)</f>
        <v>#REF!</v>
      </c>
      <c r="F49" s="604"/>
      <c r="G49" s="605"/>
      <c r="H49" s="632" t="e">
        <f>IF($J$39="","",$J$39)</f>
        <v>#REF!</v>
      </c>
      <c r="I49" s="637"/>
      <c r="J49" s="632" t="e">
        <f>IF($C$39="","",$C$39)</f>
        <v>#REF!</v>
      </c>
      <c r="K49" s="637"/>
      <c r="L49" s="632" t="e">
        <f>IF($O$39="","",$O$39)</f>
        <v>#REF!</v>
      </c>
      <c r="M49" s="637"/>
      <c r="N49" s="632" t="e">
        <f>IF($N$39="","",$N$39)</f>
        <v>#REF!</v>
      </c>
      <c r="O49" s="609"/>
      <c r="P49" s="39"/>
      <c r="Q49" s="608" t="e">
        <f>IF($Q$39="","",$Q$39)</f>
        <v>#REF!</v>
      </c>
      <c r="R49" s="609"/>
      <c r="S49" s="6"/>
    </row>
    <row r="50" spans="1:19" ht="12.75" customHeight="1" x14ac:dyDescent="0.2">
      <c r="A50" s="34" t="s">
        <v>41</v>
      </c>
      <c r="B50" s="35"/>
      <c r="C50" s="723"/>
      <c r="D50" s="724"/>
      <c r="E50" s="603"/>
      <c r="F50" s="604"/>
      <c r="G50" s="605"/>
      <c r="H50" s="632"/>
      <c r="I50" s="637"/>
      <c r="J50" s="632"/>
      <c r="K50" s="637"/>
      <c r="L50" s="632"/>
      <c r="M50" s="637"/>
      <c r="N50" s="632"/>
      <c r="O50" s="609"/>
      <c r="P50" s="39"/>
      <c r="Q50" s="608"/>
      <c r="R50" s="609"/>
      <c r="S50" s="6"/>
    </row>
    <row r="51" spans="1:19" ht="12.75" customHeight="1" x14ac:dyDescent="0.2">
      <c r="A51" s="34" t="s">
        <v>42</v>
      </c>
      <c r="B51" s="35"/>
      <c r="C51" s="723"/>
      <c r="D51" s="724"/>
      <c r="E51" s="603"/>
      <c r="F51" s="604"/>
      <c r="G51" s="605"/>
      <c r="H51" s="632"/>
      <c r="I51" s="637"/>
      <c r="J51" s="632"/>
      <c r="K51" s="637"/>
      <c r="L51" s="632"/>
      <c r="M51" s="637"/>
      <c r="N51" s="632"/>
      <c r="O51" s="609"/>
      <c r="P51" s="39"/>
      <c r="Q51" s="608"/>
      <c r="R51" s="609"/>
      <c r="S51" s="6"/>
    </row>
    <row r="52" spans="1:19" ht="12.75" customHeight="1" x14ac:dyDescent="0.2">
      <c r="A52" s="34" t="s">
        <v>43</v>
      </c>
      <c r="B52" s="35"/>
      <c r="C52" s="723"/>
      <c r="D52" s="724"/>
      <c r="E52" s="603"/>
      <c r="F52" s="604"/>
      <c r="G52" s="605"/>
      <c r="H52" s="632"/>
      <c r="I52" s="637"/>
      <c r="J52" s="632"/>
      <c r="K52" s="637"/>
      <c r="L52" s="632"/>
      <c r="M52" s="637"/>
      <c r="N52" s="632"/>
      <c r="O52" s="609"/>
      <c r="P52" s="39"/>
      <c r="Q52" s="608"/>
      <c r="R52" s="609"/>
      <c r="S52" s="6"/>
    </row>
    <row r="53" spans="1:19" ht="12.75" customHeight="1" x14ac:dyDescent="0.2">
      <c r="A53" s="34" t="s">
        <v>44</v>
      </c>
      <c r="B53" s="35"/>
      <c r="C53" s="723"/>
      <c r="D53" s="724"/>
      <c r="E53" s="603"/>
      <c r="F53" s="604"/>
      <c r="G53" s="605"/>
      <c r="H53" s="632"/>
      <c r="I53" s="637"/>
      <c r="J53" s="632"/>
      <c r="K53" s="637"/>
      <c r="L53" s="632"/>
      <c r="M53" s="637"/>
      <c r="N53" s="632"/>
      <c r="O53" s="609"/>
      <c r="P53" s="39"/>
      <c r="Q53" s="608"/>
      <c r="R53" s="609"/>
      <c r="S53" s="6"/>
    </row>
    <row r="54" spans="1:19" ht="12.75" customHeight="1" x14ac:dyDescent="0.2">
      <c r="A54" s="34" t="s">
        <v>45</v>
      </c>
      <c r="B54" s="35"/>
      <c r="C54" s="723"/>
      <c r="D54" s="724"/>
      <c r="E54" s="603"/>
      <c r="F54" s="604"/>
      <c r="G54" s="605"/>
      <c r="H54" s="632"/>
      <c r="I54" s="637"/>
      <c r="J54" s="632"/>
      <c r="K54" s="637"/>
      <c r="L54" s="632"/>
      <c r="M54" s="637"/>
      <c r="N54" s="632"/>
      <c r="O54" s="609"/>
      <c r="P54" s="39"/>
      <c r="Q54" s="608"/>
      <c r="R54" s="609"/>
      <c r="S54" s="6"/>
    </row>
    <row r="55" spans="1:19" ht="13.5" customHeight="1" thickBot="1" x14ac:dyDescent="0.25">
      <c r="A55" s="36" t="s">
        <v>46</v>
      </c>
      <c r="B55" s="37"/>
      <c r="C55" s="727"/>
      <c r="D55" s="728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39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0">IF(ISERROR((G30/G32)/100),"",(G30/G32)/100)</f>
        <v/>
      </c>
      <c r="H79" s="144" t="str">
        <f t="shared" si="10"/>
        <v/>
      </c>
      <c r="I79" s="148" t="str">
        <f t="shared" si="10"/>
        <v/>
      </c>
      <c r="J79" s="143" t="str">
        <f t="shared" si="10"/>
        <v/>
      </c>
      <c r="K79" s="144" t="str">
        <f t="shared" si="10"/>
        <v/>
      </c>
      <c r="L79" s="144" t="str">
        <f t="shared" si="10"/>
        <v/>
      </c>
      <c r="M79" s="149" t="str">
        <f t="shared" si="10"/>
        <v/>
      </c>
      <c r="N79" s="150" t="str">
        <f t="shared" si="10"/>
        <v/>
      </c>
      <c r="O79" s="146" t="str">
        <f t="shared" si="10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1">IF(ISERROR(((G32-G$76)*100)*G79),"",((G32-G$76)*100)*G79)</f>
        <v/>
      </c>
      <c r="H80" s="159" t="str">
        <f t="shared" si="11"/>
        <v/>
      </c>
      <c r="I80" s="163" t="str">
        <f t="shared" si="11"/>
        <v/>
      </c>
      <c r="J80" s="158" t="str">
        <f t="shared" si="11"/>
        <v/>
      </c>
      <c r="K80" s="159" t="str">
        <f t="shared" si="11"/>
        <v/>
      </c>
      <c r="L80" s="159" t="str">
        <f t="shared" si="11"/>
        <v/>
      </c>
      <c r="M80" s="163" t="str">
        <f t="shared" si="11"/>
        <v/>
      </c>
      <c r="N80" s="164" t="str">
        <f t="shared" si="11"/>
        <v/>
      </c>
      <c r="O80" s="165" t="str">
        <f t="shared" si="11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2">IF(ISERROR((G34/G36)/100),"",(G34/G36)/100)</f>
        <v/>
      </c>
      <c r="H82" s="144" t="str">
        <f t="shared" si="12"/>
        <v/>
      </c>
      <c r="I82" s="148" t="str">
        <f t="shared" si="12"/>
        <v/>
      </c>
      <c r="J82" s="143" t="str">
        <f t="shared" si="12"/>
        <v/>
      </c>
      <c r="K82" s="144" t="str">
        <f t="shared" si="12"/>
        <v/>
      </c>
      <c r="L82" s="144" t="str">
        <f t="shared" si="12"/>
        <v/>
      </c>
      <c r="M82" s="149" t="str">
        <f t="shared" si="12"/>
        <v/>
      </c>
      <c r="N82" s="150" t="str">
        <f t="shared" si="12"/>
        <v/>
      </c>
      <c r="O82" s="146" t="str">
        <f t="shared" si="12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3">IF(ISERROR(((G36-G$76)*100)*G82),"",((G36-G$76)*100)*G82)</f>
        <v/>
      </c>
      <c r="H83" s="159" t="str">
        <f t="shared" si="13"/>
        <v/>
      </c>
      <c r="I83" s="163" t="str">
        <f t="shared" si="13"/>
        <v/>
      </c>
      <c r="J83" s="158" t="str">
        <f t="shared" si="13"/>
        <v/>
      </c>
      <c r="K83" s="159" t="str">
        <f t="shared" si="13"/>
        <v/>
      </c>
      <c r="L83" s="159" t="str">
        <f t="shared" si="13"/>
        <v/>
      </c>
      <c r="M83" s="163" t="str">
        <f t="shared" si="13"/>
        <v/>
      </c>
      <c r="N83" s="164" t="str">
        <f t="shared" si="13"/>
        <v/>
      </c>
      <c r="O83" s="165" t="str">
        <f t="shared" si="13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45">
    <mergeCell ref="Q49:R49"/>
    <mergeCell ref="N46:O46"/>
    <mergeCell ref="N47:O47"/>
    <mergeCell ref="N48:O48"/>
    <mergeCell ref="N49:O49"/>
    <mergeCell ref="L51:M51"/>
    <mergeCell ref="Q82:R82"/>
    <mergeCell ref="Q83:R83"/>
    <mergeCell ref="A77:B78"/>
    <mergeCell ref="O77:O78"/>
    <mergeCell ref="Q77:Q78"/>
    <mergeCell ref="R77:R78"/>
    <mergeCell ref="Q80:R80"/>
    <mergeCell ref="N77:N78"/>
    <mergeCell ref="Q76:R76"/>
    <mergeCell ref="Q79:R79"/>
    <mergeCell ref="C77:C78"/>
    <mergeCell ref="D77:D78"/>
    <mergeCell ref="E77:E78"/>
    <mergeCell ref="G77:G78"/>
    <mergeCell ref="H77:H78"/>
    <mergeCell ref="I77:I78"/>
    <mergeCell ref="J77:J78"/>
    <mergeCell ref="M77:M78"/>
    <mergeCell ref="Q51:R51"/>
    <mergeCell ref="N54:O54"/>
    <mergeCell ref="N55:O55"/>
    <mergeCell ref="J52:K52"/>
    <mergeCell ref="J53:K53"/>
    <mergeCell ref="J54:K54"/>
    <mergeCell ref="J55:K55"/>
    <mergeCell ref="L52:M52"/>
    <mergeCell ref="L53:M53"/>
    <mergeCell ref="N52:O52"/>
    <mergeCell ref="N53:O53"/>
    <mergeCell ref="N51:O51"/>
    <mergeCell ref="Q52:R52"/>
    <mergeCell ref="Q53:R53"/>
    <mergeCell ref="Q54:R54"/>
    <mergeCell ref="Q55:R55"/>
    <mergeCell ref="H53:I53"/>
    <mergeCell ref="H54:I54"/>
    <mergeCell ref="H55:I55"/>
    <mergeCell ref="L54:M54"/>
    <mergeCell ref="L55:M55"/>
    <mergeCell ref="H46:I46"/>
    <mergeCell ref="H47:I47"/>
    <mergeCell ref="H48:I48"/>
    <mergeCell ref="H49:I49"/>
    <mergeCell ref="H50:I50"/>
    <mergeCell ref="H51:I51"/>
    <mergeCell ref="J50:K50"/>
    <mergeCell ref="J51:K51"/>
    <mergeCell ref="L46:M46"/>
    <mergeCell ref="L47:M47"/>
    <mergeCell ref="J46:K46"/>
    <mergeCell ref="J47:K47"/>
    <mergeCell ref="J48:K48"/>
    <mergeCell ref="J49:K49"/>
    <mergeCell ref="H52:I52"/>
    <mergeCell ref="C53:D53"/>
    <mergeCell ref="C54:D54"/>
    <mergeCell ref="C55:D55"/>
    <mergeCell ref="E49:G49"/>
    <mergeCell ref="E50:G50"/>
    <mergeCell ref="E51:G51"/>
    <mergeCell ref="E52:G52"/>
    <mergeCell ref="E53:G53"/>
    <mergeCell ref="E54:G54"/>
    <mergeCell ref="E55:G55"/>
    <mergeCell ref="C51:D51"/>
    <mergeCell ref="C52:D52"/>
    <mergeCell ref="C50:D50"/>
    <mergeCell ref="A42:B42"/>
    <mergeCell ref="A43:B43"/>
    <mergeCell ref="C44:D44"/>
    <mergeCell ref="C45:D45"/>
    <mergeCell ref="C42:D43"/>
    <mergeCell ref="H42:I43"/>
    <mergeCell ref="G2:G3"/>
    <mergeCell ref="J2:J3"/>
    <mergeCell ref="H2:H3"/>
    <mergeCell ref="I2:I3"/>
    <mergeCell ref="E42:G42"/>
    <mergeCell ref="E43:G43"/>
    <mergeCell ref="H44:I44"/>
    <mergeCell ref="H45:I45"/>
    <mergeCell ref="E44:G44"/>
    <mergeCell ref="E45:G45"/>
    <mergeCell ref="J40:M40"/>
    <mergeCell ref="J38:M38"/>
    <mergeCell ref="C39:E39"/>
    <mergeCell ref="C40:E40"/>
    <mergeCell ref="C38:E38"/>
    <mergeCell ref="G39:I39"/>
    <mergeCell ref="C2:C3"/>
    <mergeCell ref="G38:I38"/>
    <mergeCell ref="Q1:R1"/>
    <mergeCell ref="Q39:R39"/>
    <mergeCell ref="O2:O3"/>
    <mergeCell ref="M2:M3"/>
    <mergeCell ref="J39:M39"/>
    <mergeCell ref="N2:N3"/>
    <mergeCell ref="G1:O1"/>
    <mergeCell ref="G40:I40"/>
    <mergeCell ref="C46:D46"/>
    <mergeCell ref="N45:O45"/>
    <mergeCell ref="Q31:R31"/>
    <mergeCell ref="Q32:R32"/>
    <mergeCell ref="Q45:R45"/>
    <mergeCell ref="L45:M45"/>
    <mergeCell ref="L44:M44"/>
    <mergeCell ref="N44:O44"/>
    <mergeCell ref="Q2:Q3"/>
    <mergeCell ref="R2:R3"/>
    <mergeCell ref="L42:M43"/>
    <mergeCell ref="N42:O43"/>
    <mergeCell ref="Q38:R38"/>
    <mergeCell ref="Q30:R30"/>
    <mergeCell ref="Q44:R44"/>
    <mergeCell ref="C1:E1"/>
    <mergeCell ref="D2:D3"/>
    <mergeCell ref="E2:E3"/>
    <mergeCell ref="C47:D47"/>
    <mergeCell ref="C48:D48"/>
    <mergeCell ref="C49:D49"/>
    <mergeCell ref="L48:M48"/>
    <mergeCell ref="L49:M49"/>
    <mergeCell ref="L50:M50"/>
    <mergeCell ref="Q34:R34"/>
    <mergeCell ref="Q35:R35"/>
    <mergeCell ref="Q36:R36"/>
    <mergeCell ref="Q40:R40"/>
    <mergeCell ref="J42:K43"/>
    <mergeCell ref="Q42:R43"/>
    <mergeCell ref="E46:G46"/>
    <mergeCell ref="E47:G47"/>
    <mergeCell ref="E48:G48"/>
    <mergeCell ref="Q50:R50"/>
    <mergeCell ref="N50:O50"/>
    <mergeCell ref="J44:K44"/>
    <mergeCell ref="J45:K45"/>
    <mergeCell ref="Q46:R46"/>
    <mergeCell ref="Q47:R47"/>
    <mergeCell ref="Q48:R48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65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indexed="52"/>
    <pageSetUpPr fitToPage="1"/>
  </sheetPr>
  <dimension ref="A1:S89"/>
  <sheetViews>
    <sheetView showGridLines="0" zoomScale="80" workbookViewId="0">
      <pane ySplit="3" topLeftCell="A4" activePane="bottomLeft" state="frozen"/>
      <selection activeCell="J40" sqref="J40:M40"/>
      <selection pane="bottomLeft" activeCell="C5" sqref="C5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8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7.140625" style="3" bestFit="1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71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>IF(SUM(C5:D5)=0,"",SUM(C5:D5))</f>
        <v>#REF!</v>
      </c>
      <c r="F5" s="7"/>
      <c r="G5" s="24" t="e">
        <f>IF(#REF!="","",#REF!)</f>
        <v>#REF!</v>
      </c>
      <c r="H5" s="23" t="e">
        <f>IF(#REF!="","",#REF!)</f>
        <v>#REF!</v>
      </c>
      <c r="I5" s="116" t="e">
        <f>IF(SUM(G5:H5)=0,"",SUM(G5:H5))</f>
        <v>#REF!</v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41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/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27" t="str">
        <f>IF(SUM(C7:D7)=0,"",SUM(C7:D7))</f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45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27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>IF(SUM(C9:D9)=0,"",SUM(C9:D9))</f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 t="e">
        <f>IF(#REF!="","",-#REF!)</f>
        <v>#REF!</v>
      </c>
      <c r="L9" s="23" t="e">
        <f>IF(#REF!="","",-#REF!)</f>
        <v>#REF!</v>
      </c>
      <c r="M9" s="116" t="e">
        <f>IF(SUM(J9:L9)=0,"",SUM(J9:L9))</f>
        <v>#REF!</v>
      </c>
      <c r="N9" s="41" t="e">
        <f>IF(#REF!="","",-#REF!)</f>
        <v>#REF!</v>
      </c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>IF(SUM(C10:D10)=0,"",SUM(C10:D10))</f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45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>IF(SUM(C11:D11)=0,"",SUM(C11:D11))</f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 t="e">
        <f>IF(SUM(K7:K10)=0,"",SUM(K7:K10))</f>
        <v>#REF!</v>
      </c>
      <c r="L11" s="25" t="e">
        <f>IF(SUM(L7:L10)=0,"",SUM(L7:L10))</f>
        <v>#REF!</v>
      </c>
      <c r="M11" s="116" t="e">
        <f>IF(SUM(J11:L11)=0,"",SUM(J11:L11))</f>
        <v>#REF!</v>
      </c>
      <c r="N11" s="28" t="e">
        <f>IF(SUM(N7:N10)=0,"",SUM(N7:N10))</f>
        <v>#REF!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0">IF(AND(G5="",G11=""),"",SUM(G5,G11))</f>
        <v>#REF!</v>
      </c>
      <c r="H13" s="11" t="e">
        <f t="shared" si="0"/>
        <v>#REF!</v>
      </c>
      <c r="I13" s="117" t="e">
        <f t="shared" si="0"/>
        <v>#REF!</v>
      </c>
      <c r="J13" s="14" t="e">
        <f t="shared" si="0"/>
        <v>#REF!</v>
      </c>
      <c r="K13" s="11" t="e">
        <f t="shared" si="0"/>
        <v>#REF!</v>
      </c>
      <c r="L13" s="11" t="e">
        <f t="shared" si="0"/>
        <v>#REF!</v>
      </c>
      <c r="M13" s="118" t="e">
        <f t="shared" si="0"/>
        <v>#REF!</v>
      </c>
      <c r="N13" s="46" t="e">
        <f t="shared" si="0"/>
        <v>#REF!</v>
      </c>
      <c r="O13" s="47" t="e">
        <f t="shared" si="0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/>
      <c r="D16" s="21"/>
      <c r="E16" s="27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>IF(SUM(J16:L16)=0,"",SUM(J16:L16))</f>
        <v/>
      </c>
      <c r="N16" s="43"/>
      <c r="O16" s="45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20"/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27" t="str">
        <f t="shared" ref="E18:E26" si="1">IF(SUM(C18:D18)=0,"",SUM(C18:D18))</f>
        <v/>
      </c>
      <c r="F18" s="7"/>
      <c r="G18" s="22"/>
      <c r="H18" s="21"/>
      <c r="I18" s="116" t="str">
        <f t="shared" ref="I18:I26" si="2">IF(SUM(G18:H18)=0,"",SUM(G18:H18))</f>
        <v/>
      </c>
      <c r="J18" s="22"/>
      <c r="K18" s="21"/>
      <c r="L18" s="21"/>
      <c r="M18" s="116" t="str">
        <f t="shared" ref="M18:M26" si="3">IF(SUM(J18:L18)=0,"",SUM(J18:L18))</f>
        <v/>
      </c>
      <c r="N18" s="43"/>
      <c r="O18" s="45" t="str">
        <f t="shared" ref="O18:O26" si="4">IF(SUM(I18,M18,N18)=0,"",SUM(I18,M18,N18))</f>
        <v/>
      </c>
      <c r="P18" s="9"/>
      <c r="Q18" s="134" t="str">
        <f t="shared" ref="Q18:Q26" si="5">IF(SUM(E18,O18)=0,"",SUM(E18,O18))</f>
        <v/>
      </c>
      <c r="R18" s="112" t="str">
        <f t="shared" ref="R18:R26" si="6">IF(Q18="","",Q18/Q$28)</f>
        <v/>
      </c>
    </row>
    <row r="19" spans="1:18" x14ac:dyDescent="0.2">
      <c r="A19" s="88"/>
      <c r="B19" s="103" t="s">
        <v>20</v>
      </c>
      <c r="C19" s="22"/>
      <c r="D19" s="21"/>
      <c r="E19" s="27" t="str">
        <f t="shared" si="1"/>
        <v/>
      </c>
      <c r="F19" s="7"/>
      <c r="G19" s="22"/>
      <c r="H19" s="21"/>
      <c r="I19" s="116" t="str">
        <f t="shared" si="2"/>
        <v/>
      </c>
      <c r="J19" s="22"/>
      <c r="K19" s="21"/>
      <c r="L19" s="21"/>
      <c r="M19" s="116" t="str">
        <f t="shared" si="3"/>
        <v/>
      </c>
      <c r="N19" s="43"/>
      <c r="O19" s="45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21</v>
      </c>
      <c r="C20" s="22"/>
      <c r="D20" s="21"/>
      <c r="E20" s="27" t="str">
        <f t="shared" si="1"/>
        <v/>
      </c>
      <c r="F20" s="7"/>
      <c r="G20" s="22"/>
      <c r="H20" s="21"/>
      <c r="I20" s="116" t="str">
        <f t="shared" si="2"/>
        <v/>
      </c>
      <c r="J20" s="22"/>
      <c r="K20" s="21"/>
      <c r="L20" s="21"/>
      <c r="M20" s="116" t="str">
        <f t="shared" si="3"/>
        <v/>
      </c>
      <c r="N20" s="43"/>
      <c r="O20" s="45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1"/>
        <v/>
      </c>
      <c r="F21" s="7"/>
      <c r="G21" s="22"/>
      <c r="H21" s="21"/>
      <c r="I21" s="116" t="str">
        <f t="shared" si="2"/>
        <v/>
      </c>
      <c r="J21" s="22"/>
      <c r="K21" s="21"/>
      <c r="L21" s="21"/>
      <c r="M21" s="116" t="str">
        <f t="shared" si="3"/>
        <v/>
      </c>
      <c r="N21" s="43"/>
      <c r="O21" s="45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23</v>
      </c>
      <c r="C22" s="22"/>
      <c r="D22" s="21"/>
      <c r="E22" s="27" t="str">
        <f t="shared" si="1"/>
        <v/>
      </c>
      <c r="F22" s="7"/>
      <c r="G22" s="22"/>
      <c r="H22" s="21"/>
      <c r="I22" s="116" t="str">
        <f t="shared" si="2"/>
        <v/>
      </c>
      <c r="J22" s="22"/>
      <c r="K22" s="21"/>
      <c r="L22" s="21"/>
      <c r="M22" s="116" t="str">
        <f t="shared" si="3"/>
        <v/>
      </c>
      <c r="N22" s="43"/>
      <c r="O22" s="45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50</v>
      </c>
      <c r="C23" s="22"/>
      <c r="D23" s="21"/>
      <c r="E23" s="27" t="str">
        <f t="shared" si="1"/>
        <v/>
      </c>
      <c r="F23" s="7"/>
      <c r="G23" s="22"/>
      <c r="H23" s="21"/>
      <c r="I23" s="116" t="str">
        <f t="shared" si="2"/>
        <v/>
      </c>
      <c r="J23" s="22"/>
      <c r="K23" s="21"/>
      <c r="L23" s="21"/>
      <c r="M23" s="116" t="str">
        <f t="shared" si="3"/>
        <v/>
      </c>
      <c r="N23" s="43"/>
      <c r="O23" s="45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1"/>
        <v/>
      </c>
      <c r="F24" s="7"/>
      <c r="G24" s="22"/>
      <c r="H24" s="21"/>
      <c r="I24" s="116" t="str">
        <f t="shared" si="2"/>
        <v/>
      </c>
      <c r="J24" s="22"/>
      <c r="K24" s="21"/>
      <c r="L24" s="21"/>
      <c r="M24" s="116" t="str">
        <f t="shared" si="3"/>
        <v/>
      </c>
      <c r="N24" s="43"/>
      <c r="O24" s="45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1"/>
        <v/>
      </c>
      <c r="F25" s="7"/>
      <c r="G25" s="22"/>
      <c r="H25" s="21"/>
      <c r="I25" s="116" t="str">
        <f t="shared" si="2"/>
        <v/>
      </c>
      <c r="J25" s="22"/>
      <c r="K25" s="21"/>
      <c r="L25" s="21"/>
      <c r="M25" s="116" t="str">
        <f t="shared" si="3"/>
        <v/>
      </c>
      <c r="N25" s="43"/>
      <c r="O25" s="45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/>
      <c r="D26" s="21"/>
      <c r="E26" s="27" t="str">
        <f t="shared" si="1"/>
        <v/>
      </c>
      <c r="F26" s="7"/>
      <c r="G26" s="22"/>
      <c r="H26" s="21"/>
      <c r="I26" s="116" t="str">
        <f t="shared" si="2"/>
        <v/>
      </c>
      <c r="J26" s="22"/>
      <c r="K26" s="21"/>
      <c r="L26" s="21"/>
      <c r="M26" s="116" t="str">
        <f t="shared" si="3"/>
        <v/>
      </c>
      <c r="N26" s="43"/>
      <c r="O26" s="45" t="str">
        <f t="shared" si="4"/>
        <v/>
      </c>
      <c r="P26" s="9"/>
      <c r="Q26" s="134" t="str">
        <f t="shared" si="5"/>
        <v/>
      </c>
      <c r="R26" s="112" t="str">
        <f t="shared" si="6"/>
        <v/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0</v>
      </c>
      <c r="D28" s="14">
        <f>SUM(D16:D27)</f>
        <v>0</v>
      </c>
      <c r="E28" s="14">
        <f>SUM(E16:E27)</f>
        <v>0</v>
      </c>
      <c r="F28" s="119"/>
      <c r="G28" s="14">
        <f>SUM(G16:G27)</f>
        <v>0</v>
      </c>
      <c r="H28" s="14">
        <f>SUM(H16:H27)</f>
        <v>0</v>
      </c>
      <c r="I28" s="14">
        <f>SUM(I16:I27)</f>
        <v>0</v>
      </c>
      <c r="J28" s="14">
        <f>SUM(J16:J27)</f>
        <v>0</v>
      </c>
      <c r="K28" s="14">
        <f t="shared" ref="K28:Q28" si="7">SUM(K16:K27)</f>
        <v>0</v>
      </c>
      <c r="L28" s="14">
        <f t="shared" si="7"/>
        <v>0</v>
      </c>
      <c r="M28" s="176">
        <f t="shared" si="7"/>
        <v>0</v>
      </c>
      <c r="N28" s="175" t="str">
        <f>IF(SUM(N16:N27)=0,"",SUM(N16:N27))</f>
        <v/>
      </c>
      <c r="O28" s="14">
        <f t="shared" si="7"/>
        <v>0</v>
      </c>
      <c r="P28" s="9"/>
      <c r="Q28" s="137">
        <f t="shared" si="7"/>
        <v>0</v>
      </c>
      <c r="R28" s="136" t="e">
        <f>IF(Q28="","",Q28/Q$28)</f>
        <v>#DIV/0!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60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8">IF(OR(G30="",G31=""),"",G30/G31)</f>
        <v>#REF!</v>
      </c>
      <c r="H32" s="61" t="e">
        <f t="shared" si="8"/>
        <v>#REF!</v>
      </c>
      <c r="I32" s="70" t="e">
        <f t="shared" si="8"/>
        <v>#REF!</v>
      </c>
      <c r="J32" s="73" t="e">
        <f t="shared" si="8"/>
        <v>#REF!</v>
      </c>
      <c r="K32" s="61" t="e">
        <f t="shared" si="8"/>
        <v>#REF!</v>
      </c>
      <c r="L32" s="61" t="e">
        <f t="shared" si="8"/>
        <v>#REF!</v>
      </c>
      <c r="M32" s="70" t="e">
        <f t="shared" si="8"/>
        <v>#REF!</v>
      </c>
      <c r="N32" s="85" t="e">
        <f t="shared" si="8"/>
        <v>#REF!</v>
      </c>
      <c r="O32" s="128" t="e">
        <f t="shared" si="8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IF(OR(C30="",ISERROR(#REF!+C30)),"",#REF!+C30)</f>
        <v>#REF!</v>
      </c>
      <c r="D34" s="57" t="e">
        <f>IF(OR(D30="",ISERROR(#REF!+D30)),"",#REF!+D30)</f>
        <v>#REF!</v>
      </c>
      <c r="E34" s="58" t="e">
        <f>IF(SUM(C34:D34)=0,"",SUM(C34:D34))</f>
        <v>#REF!</v>
      </c>
      <c r="F34" s="7"/>
      <c r="G34" s="65" t="e">
        <f>IF(OR(G30="",ISERROR(#REF!+G30)),"",#REF!+G30)</f>
        <v>#REF!</v>
      </c>
      <c r="H34" s="57" t="e">
        <f>IF(OR(H30="",ISERROR(#REF!+H30)),"",#REF!+H30)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IF(OR(K30="",ISERROR(#REF!+K30)),"",#REF!+K30)</f>
        <v>#REF!</v>
      </c>
      <c r="L34" s="57" t="e">
        <f>IF(OR(L30="",ISERROR(#REF!+L30)),"",#REF!+L30)</f>
        <v>#REF!</v>
      </c>
      <c r="M34" s="71" t="e">
        <f>IF(SUM(J34:L34)=0,"",SUM(J34:L34))</f>
        <v>#REF!</v>
      </c>
      <c r="N34" s="83" t="e">
        <f>IF(OR(N30="",ISERROR(#REF!+N30)),"",#REF!+N30)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9">IF(ISERROR(G34/G35),"",G34/G35)</f>
        <v/>
      </c>
      <c r="H36" s="61" t="str">
        <f t="shared" si="9"/>
        <v/>
      </c>
      <c r="I36" s="70" t="str">
        <f t="shared" si="9"/>
        <v/>
      </c>
      <c r="J36" s="73" t="str">
        <f t="shared" si="9"/>
        <v/>
      </c>
      <c r="K36" s="61" t="str">
        <f t="shared" si="9"/>
        <v/>
      </c>
      <c r="L36" s="61" t="str">
        <f t="shared" si="9"/>
        <v/>
      </c>
      <c r="M36" s="70" t="str">
        <f t="shared" si="9"/>
        <v/>
      </c>
      <c r="N36" s="85" t="str">
        <f t="shared" si="9"/>
        <v/>
      </c>
      <c r="O36" s="128" t="str">
        <f t="shared" si="9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729" t="e">
        <f>IF(E32="","",E32)</f>
        <v>#REF!</v>
      </c>
      <c r="D39" s="731"/>
      <c r="E39" s="730"/>
      <c r="F39" s="52"/>
      <c r="G39" s="732" t="e">
        <f>IF(I32="","",I32)</f>
        <v>#REF!</v>
      </c>
      <c r="H39" s="732"/>
      <c r="I39" s="732"/>
      <c r="J39" s="732" t="e">
        <f>IF(M32="","",M32)</f>
        <v>#REF!</v>
      </c>
      <c r="K39" s="732"/>
      <c r="L39" s="732"/>
      <c r="M39" s="732"/>
      <c r="N39" s="82" t="e">
        <f>N32</f>
        <v>#REF!</v>
      </c>
      <c r="O39" s="82" t="e">
        <f>IF(O32="","",O32)</f>
        <v>#REF!</v>
      </c>
      <c r="P39" s="53"/>
      <c r="Q39" s="729" t="e">
        <f>IF(Q32="","",Q32)</f>
        <v>#REF!</v>
      </c>
      <c r="R39" s="730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32" t="s">
        <v>35</v>
      </c>
      <c r="B44" s="33"/>
      <c r="C44" s="606" t="e">
        <f>IF(#REF!="","",#REF!)</f>
        <v>#REF!</v>
      </c>
      <c r="D44" s="607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58"/>
      <c r="P44" s="39"/>
      <c r="Q44" s="657" t="e">
        <f>IF(#REF!="","",#REF!)</f>
        <v>#REF!</v>
      </c>
      <c r="R44" s="658"/>
      <c r="S44" s="6"/>
    </row>
    <row r="45" spans="1:19" ht="12.75" customHeight="1" x14ac:dyDescent="0.2">
      <c r="A45" s="34" t="s">
        <v>36</v>
      </c>
      <c r="B45" s="35"/>
      <c r="C45" s="603" t="e">
        <f>IF(#REF!="","",#REF!)</f>
        <v>#REF!</v>
      </c>
      <c r="D45" s="605"/>
      <c r="E45" s="603" t="e">
        <f>IF(#REF!="","",#REF!)</f>
        <v>#REF!</v>
      </c>
      <c r="F45" s="604"/>
      <c r="G45" s="605"/>
      <c r="H45" s="632" t="e">
        <f>IF(#REF!="","",#REF!)</f>
        <v>#REF!</v>
      </c>
      <c r="I45" s="637"/>
      <c r="J45" s="632" t="e">
        <f>IF(#REF!="","",#REF!)</f>
        <v>#REF!</v>
      </c>
      <c r="K45" s="637"/>
      <c r="L45" s="632" t="e">
        <f>IF(#REF!="","",#REF!)</f>
        <v>#REF!</v>
      </c>
      <c r="M45" s="637"/>
      <c r="N45" s="632" t="e">
        <f>IF(#REF!="","",#REF!)</f>
        <v>#REF!</v>
      </c>
      <c r="O45" s="609"/>
      <c r="P45" s="39"/>
      <c r="Q45" s="608" t="e">
        <f>IF(#REF!="","",#REF!)</f>
        <v>#REF!</v>
      </c>
      <c r="R45" s="609"/>
      <c r="S45" s="6"/>
    </row>
    <row r="46" spans="1:19" ht="12.75" customHeight="1" x14ac:dyDescent="0.2">
      <c r="A46" s="34" t="s">
        <v>37</v>
      </c>
      <c r="B46" s="35"/>
      <c r="C46" s="603" t="e">
        <f>IF(#REF!="","",#REF!)</f>
        <v>#REF!</v>
      </c>
      <c r="D46" s="605"/>
      <c r="E46" s="603" t="e">
        <f>IF(#REF!="","",#REF!)</f>
        <v>#REF!</v>
      </c>
      <c r="F46" s="604"/>
      <c r="G46" s="605"/>
      <c r="H46" s="632" t="e">
        <f>IF(#REF!="","",#REF!)</f>
        <v>#REF!</v>
      </c>
      <c r="I46" s="637"/>
      <c r="J46" s="632" t="e">
        <f>IF(#REF!="","",#REF!)</f>
        <v>#REF!</v>
      </c>
      <c r="K46" s="637"/>
      <c r="L46" s="632" t="e">
        <f>IF(#REF!="","",#REF!)</f>
        <v>#REF!</v>
      </c>
      <c r="M46" s="637"/>
      <c r="N46" s="632" t="e">
        <f>IF(#REF!="","",#REF!)</f>
        <v>#REF!</v>
      </c>
      <c r="O46" s="609"/>
      <c r="P46" s="39"/>
      <c r="Q46" s="608" t="e">
        <f>IF(#REF!="","",#REF!)</f>
        <v>#REF!</v>
      </c>
      <c r="R46" s="609"/>
      <c r="S46" s="6"/>
    </row>
    <row r="47" spans="1:19" ht="12.75" customHeight="1" x14ac:dyDescent="0.2">
      <c r="A47" s="34" t="s">
        <v>38</v>
      </c>
      <c r="B47" s="35"/>
      <c r="C47" s="603" t="e">
        <f>IF(#REF!="","",#REF!)</f>
        <v>#REF!</v>
      </c>
      <c r="D47" s="605"/>
      <c r="E47" s="603" t="e">
        <f>IF(#REF!="","",#REF!)</f>
        <v>#REF!</v>
      </c>
      <c r="F47" s="604"/>
      <c r="G47" s="605"/>
      <c r="H47" s="632" t="e">
        <f>IF(#REF!="","",#REF!)</f>
        <v>#REF!</v>
      </c>
      <c r="I47" s="637"/>
      <c r="J47" s="632" t="e">
        <f>IF(#REF!="","",#REF!)</f>
        <v>#REF!</v>
      </c>
      <c r="K47" s="637"/>
      <c r="L47" s="632" t="e">
        <f>IF(#REF!="","",#REF!)</f>
        <v>#REF!</v>
      </c>
      <c r="M47" s="637"/>
      <c r="N47" s="632" t="e">
        <f>IF(#REF!="","",#REF!)</f>
        <v>#REF!</v>
      </c>
      <c r="O47" s="609"/>
      <c r="P47" s="39"/>
      <c r="Q47" s="608" t="e">
        <f>IF(#REF!="","",#REF!)</f>
        <v>#REF!</v>
      </c>
      <c r="R47" s="609"/>
      <c r="S47" s="6"/>
    </row>
    <row r="48" spans="1:19" ht="12.75" customHeight="1" x14ac:dyDescent="0.2">
      <c r="A48" s="34" t="s">
        <v>39</v>
      </c>
      <c r="B48" s="35"/>
      <c r="C48" s="603" t="e">
        <f>IF(#REF!="","",#REF!)</f>
        <v>#REF!</v>
      </c>
      <c r="D48" s="605"/>
      <c r="E48" s="603" t="e">
        <f>IF(Q30="","",Q30)</f>
        <v>#REF!</v>
      </c>
      <c r="F48" s="604"/>
      <c r="G48" s="605"/>
      <c r="H48" s="632" t="e">
        <f>IF(#REF!="","",#REF!)</f>
        <v>#REF!</v>
      </c>
      <c r="I48" s="637"/>
      <c r="J48" s="632" t="e">
        <f>IF(#REF!="","",#REF!)</f>
        <v>#REF!</v>
      </c>
      <c r="K48" s="637"/>
      <c r="L48" s="632" t="e">
        <f>IF(#REF!="","",#REF!)</f>
        <v>#REF!</v>
      </c>
      <c r="M48" s="637"/>
      <c r="N48" s="632" t="e">
        <f>IF(#REF!="","",#REF!)</f>
        <v>#REF!</v>
      </c>
      <c r="O48" s="609"/>
      <c r="P48" s="39"/>
      <c r="Q48" s="608" t="e">
        <f>IF(#REF!="","",#REF!)</f>
        <v>#REF!</v>
      </c>
      <c r="R48" s="609"/>
      <c r="S48" s="6"/>
    </row>
    <row r="49" spans="1:19" ht="12.75" customHeight="1" x14ac:dyDescent="0.2">
      <c r="A49" s="34" t="s">
        <v>40</v>
      </c>
      <c r="B49" s="35"/>
      <c r="C49" s="603" t="e">
        <f>IF(#REF!="","",#REF!)</f>
        <v>#REF!</v>
      </c>
      <c r="D49" s="605"/>
      <c r="E49" s="603" t="e">
        <f>IF(#REF!="","",#REF!)</f>
        <v>#REF!</v>
      </c>
      <c r="F49" s="604"/>
      <c r="G49" s="605"/>
      <c r="H49" s="632" t="e">
        <f>IF(#REF!="","",#REF!)</f>
        <v>#REF!</v>
      </c>
      <c r="I49" s="637"/>
      <c r="J49" s="632" t="e">
        <f>IF(#REF!="","",#REF!)</f>
        <v>#REF!</v>
      </c>
      <c r="K49" s="637"/>
      <c r="L49" s="632" t="e">
        <f>IF(#REF!="","",#REF!)</f>
        <v>#REF!</v>
      </c>
      <c r="M49" s="637"/>
      <c r="N49" s="632" t="e">
        <f>IF(#REF!="","",#REF!)</f>
        <v>#REF!</v>
      </c>
      <c r="O49" s="609"/>
      <c r="P49" s="39"/>
      <c r="Q49" s="608" t="e">
        <f>IF(#REF!="","",#REF!)</f>
        <v>#REF!</v>
      </c>
      <c r="R49" s="609"/>
      <c r="S49" s="6"/>
    </row>
    <row r="50" spans="1:19" ht="12.75" customHeight="1" x14ac:dyDescent="0.2">
      <c r="A50" s="34" t="s">
        <v>41</v>
      </c>
      <c r="B50" s="35"/>
      <c r="C50" s="603" t="str">
        <f>IF($Q$31="","",$Q$31)</f>
        <v/>
      </c>
      <c r="D50" s="605"/>
      <c r="E50" s="603" t="e">
        <f>IF($Q$30="","",$Q$30)</f>
        <v>#REF!</v>
      </c>
      <c r="F50" s="604"/>
      <c r="G50" s="605"/>
      <c r="H50" s="632" t="e">
        <f>IF($J$39="","",$J$39)</f>
        <v>#REF!</v>
      </c>
      <c r="I50" s="637"/>
      <c r="J50" s="632" t="e">
        <f>IF($C$39="","",$C$39)</f>
        <v>#REF!</v>
      </c>
      <c r="K50" s="637"/>
      <c r="L50" s="632" t="e">
        <f>IF($O$39="","",$O$39)</f>
        <v>#REF!</v>
      </c>
      <c r="M50" s="637"/>
      <c r="N50" s="632" t="e">
        <f>IF($N$39="","",$N$39)</f>
        <v>#REF!</v>
      </c>
      <c r="O50" s="609"/>
      <c r="P50" s="39"/>
      <c r="Q50" s="608" t="e">
        <f>IF($Q$39="","",$Q$39)</f>
        <v>#REF!</v>
      </c>
      <c r="R50" s="609"/>
      <c r="S50" s="6"/>
    </row>
    <row r="51" spans="1:19" ht="12.75" customHeight="1" x14ac:dyDescent="0.2">
      <c r="A51" s="34" t="s">
        <v>42</v>
      </c>
      <c r="B51" s="35"/>
      <c r="C51" s="603"/>
      <c r="D51" s="605"/>
      <c r="E51" s="603"/>
      <c r="F51" s="604"/>
      <c r="G51" s="605"/>
      <c r="H51" s="632"/>
      <c r="I51" s="637"/>
      <c r="J51" s="632"/>
      <c r="K51" s="637"/>
      <c r="L51" s="632"/>
      <c r="M51" s="637"/>
      <c r="N51" s="632"/>
      <c r="O51" s="609"/>
      <c r="P51" s="39"/>
      <c r="Q51" s="608"/>
      <c r="R51" s="609"/>
      <c r="S51" s="6"/>
    </row>
    <row r="52" spans="1:19" ht="12.75" customHeight="1" x14ac:dyDescent="0.2">
      <c r="A52" s="34" t="s">
        <v>43</v>
      </c>
      <c r="B52" s="35"/>
      <c r="C52" s="603"/>
      <c r="D52" s="605"/>
      <c r="E52" s="603"/>
      <c r="F52" s="604"/>
      <c r="G52" s="605"/>
      <c r="H52" s="632"/>
      <c r="I52" s="637"/>
      <c r="J52" s="632"/>
      <c r="K52" s="637"/>
      <c r="L52" s="632"/>
      <c r="M52" s="637"/>
      <c r="N52" s="632"/>
      <c r="O52" s="609"/>
      <c r="P52" s="39"/>
      <c r="Q52" s="608"/>
      <c r="R52" s="609"/>
      <c r="S52" s="6"/>
    </row>
    <row r="53" spans="1:19" ht="12.75" customHeight="1" x14ac:dyDescent="0.2">
      <c r="A53" s="34" t="s">
        <v>44</v>
      </c>
      <c r="B53" s="35"/>
      <c r="C53" s="603"/>
      <c r="D53" s="605"/>
      <c r="E53" s="603"/>
      <c r="F53" s="604"/>
      <c r="G53" s="605"/>
      <c r="H53" s="632"/>
      <c r="I53" s="637"/>
      <c r="J53" s="632"/>
      <c r="K53" s="637"/>
      <c r="L53" s="632"/>
      <c r="M53" s="637"/>
      <c r="N53" s="632"/>
      <c r="O53" s="609"/>
      <c r="P53" s="39"/>
      <c r="Q53" s="608"/>
      <c r="R53" s="609"/>
      <c r="S53" s="6"/>
    </row>
    <row r="54" spans="1:19" ht="12.75" customHeight="1" x14ac:dyDescent="0.2">
      <c r="A54" s="34" t="s">
        <v>45</v>
      </c>
      <c r="B54" s="35"/>
      <c r="C54" s="603"/>
      <c r="D54" s="605"/>
      <c r="E54" s="603"/>
      <c r="F54" s="604"/>
      <c r="G54" s="605"/>
      <c r="H54" s="632"/>
      <c r="I54" s="637"/>
      <c r="J54" s="632"/>
      <c r="K54" s="637"/>
      <c r="L54" s="632"/>
      <c r="M54" s="637"/>
      <c r="N54" s="632"/>
      <c r="O54" s="609"/>
      <c r="P54" s="39"/>
      <c r="Q54" s="608"/>
      <c r="R54" s="609"/>
      <c r="S54" s="6"/>
    </row>
    <row r="55" spans="1:19" ht="13.5" customHeight="1" thickBot="1" x14ac:dyDescent="0.25">
      <c r="A55" s="36" t="s">
        <v>46</v>
      </c>
      <c r="B55" s="37"/>
      <c r="C55" s="700"/>
      <c r="D55" s="701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39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71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0">IF(ISERROR((G30/G32)/100),"",(G30/G32)/100)</f>
        <v/>
      </c>
      <c r="H79" s="144" t="str">
        <f t="shared" si="10"/>
        <v/>
      </c>
      <c r="I79" s="148" t="str">
        <f t="shared" si="10"/>
        <v/>
      </c>
      <c r="J79" s="143" t="str">
        <f t="shared" si="10"/>
        <v/>
      </c>
      <c r="K79" s="144" t="str">
        <f t="shared" si="10"/>
        <v/>
      </c>
      <c r="L79" s="144" t="str">
        <f t="shared" si="10"/>
        <v/>
      </c>
      <c r="M79" s="149" t="str">
        <f t="shared" si="10"/>
        <v/>
      </c>
      <c r="N79" s="150" t="str">
        <f t="shared" si="10"/>
        <v/>
      </c>
      <c r="O79" s="146" t="str">
        <f t="shared" si="10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1">IF(ISERROR(((G32-G$76)*100)*G79),"",((G32-G$76)*100)*G79)</f>
        <v/>
      </c>
      <c r="H80" s="159" t="str">
        <f t="shared" si="11"/>
        <v/>
      </c>
      <c r="I80" s="163" t="str">
        <f t="shared" si="11"/>
        <v/>
      </c>
      <c r="J80" s="158" t="str">
        <f t="shared" si="11"/>
        <v/>
      </c>
      <c r="K80" s="159" t="str">
        <f t="shared" si="11"/>
        <v/>
      </c>
      <c r="L80" s="159" t="str">
        <f t="shared" si="11"/>
        <v/>
      </c>
      <c r="M80" s="163" t="str">
        <f t="shared" si="11"/>
        <v/>
      </c>
      <c r="N80" s="164" t="str">
        <f t="shared" si="11"/>
        <v/>
      </c>
      <c r="O80" s="165" t="str">
        <f t="shared" si="11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2">IF(ISERROR((G34/G36)/100),"",(G34/G36)/100)</f>
        <v/>
      </c>
      <c r="H82" s="144" t="str">
        <f t="shared" si="12"/>
        <v/>
      </c>
      <c r="I82" s="148" t="str">
        <f t="shared" si="12"/>
        <v/>
      </c>
      <c r="J82" s="143" t="str">
        <f t="shared" si="12"/>
        <v/>
      </c>
      <c r="K82" s="144" t="str">
        <f t="shared" si="12"/>
        <v/>
      </c>
      <c r="L82" s="144" t="str">
        <f t="shared" si="12"/>
        <v/>
      </c>
      <c r="M82" s="149" t="str">
        <f t="shared" si="12"/>
        <v/>
      </c>
      <c r="N82" s="150" t="str">
        <f t="shared" si="12"/>
        <v/>
      </c>
      <c r="O82" s="146" t="str">
        <f t="shared" si="12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3">IF(ISERROR(((G36-G$76)*100)*G82),"",((G36-G$76)*100)*G82)</f>
        <v/>
      </c>
      <c r="H83" s="159" t="str">
        <f t="shared" si="13"/>
        <v/>
      </c>
      <c r="I83" s="163" t="str">
        <f t="shared" si="13"/>
        <v/>
      </c>
      <c r="J83" s="158" t="str">
        <f t="shared" si="13"/>
        <v/>
      </c>
      <c r="K83" s="159" t="str">
        <f t="shared" si="13"/>
        <v/>
      </c>
      <c r="L83" s="159" t="str">
        <f t="shared" si="13"/>
        <v/>
      </c>
      <c r="M83" s="163" t="str">
        <f t="shared" si="13"/>
        <v/>
      </c>
      <c r="N83" s="164" t="str">
        <f t="shared" si="13"/>
        <v/>
      </c>
      <c r="O83" s="165" t="str">
        <f t="shared" si="13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  <row r="89" spans="1:18" x14ac:dyDescent="0.2">
      <c r="C89" s="3" t="s">
        <v>81</v>
      </c>
    </row>
  </sheetData>
  <mergeCells count="145">
    <mergeCell ref="Q82:R82"/>
    <mergeCell ref="Q83:R83"/>
    <mergeCell ref="A77:B78"/>
    <mergeCell ref="O77:O78"/>
    <mergeCell ref="Q77:Q78"/>
    <mergeCell ref="R77:R78"/>
    <mergeCell ref="Q80:R80"/>
    <mergeCell ref="Q79:R79"/>
    <mergeCell ref="C77:C78"/>
    <mergeCell ref="D77:D78"/>
    <mergeCell ref="J77:J78"/>
    <mergeCell ref="M77:M78"/>
    <mergeCell ref="N77:N78"/>
    <mergeCell ref="E77:E78"/>
    <mergeCell ref="G77:G78"/>
    <mergeCell ref="H77:H78"/>
    <mergeCell ref="I77:I78"/>
    <mergeCell ref="Q76:R76"/>
    <mergeCell ref="Q34:R34"/>
    <mergeCell ref="Q35:R35"/>
    <mergeCell ref="Q36:R36"/>
    <mergeCell ref="Q54:R54"/>
    <mergeCell ref="Q55:R55"/>
    <mergeCell ref="Q50:R50"/>
    <mergeCell ref="Q51:R51"/>
    <mergeCell ref="Q52:R52"/>
    <mergeCell ref="Q53:R53"/>
    <mergeCell ref="Q46:R46"/>
    <mergeCell ref="Q47:R47"/>
    <mergeCell ref="Q48:R48"/>
    <mergeCell ref="Q49:R49"/>
    <mergeCell ref="L49:M49"/>
    <mergeCell ref="N55:O55"/>
    <mergeCell ref="L54:M54"/>
    <mergeCell ref="L55:M55"/>
    <mergeCell ref="N52:O52"/>
    <mergeCell ref="N44:O44"/>
    <mergeCell ref="N45:O45"/>
    <mergeCell ref="N46:O46"/>
    <mergeCell ref="N47:O47"/>
    <mergeCell ref="N48:O48"/>
    <mergeCell ref="N49:O49"/>
    <mergeCell ref="L50:M50"/>
    <mergeCell ref="L51:M51"/>
    <mergeCell ref="L52:M52"/>
    <mergeCell ref="L53:M53"/>
    <mergeCell ref="N53:O53"/>
    <mergeCell ref="N54:O54"/>
    <mergeCell ref="N50:O50"/>
    <mergeCell ref="N51:O51"/>
    <mergeCell ref="H52:I52"/>
    <mergeCell ref="H53:I53"/>
    <mergeCell ref="H54:I54"/>
    <mergeCell ref="H55:I55"/>
    <mergeCell ref="L42:M43"/>
    <mergeCell ref="N42:O43"/>
    <mergeCell ref="J52:K52"/>
    <mergeCell ref="J53:K53"/>
    <mergeCell ref="J54:K54"/>
    <mergeCell ref="J55:K55"/>
    <mergeCell ref="H46:I46"/>
    <mergeCell ref="H47:I47"/>
    <mergeCell ref="H48:I48"/>
    <mergeCell ref="H49:I49"/>
    <mergeCell ref="H50:I50"/>
    <mergeCell ref="H51:I51"/>
    <mergeCell ref="J48:K48"/>
    <mergeCell ref="J49:K49"/>
    <mergeCell ref="J50:K50"/>
    <mergeCell ref="J51:K51"/>
    <mergeCell ref="J44:K44"/>
    <mergeCell ref="J45:K45"/>
    <mergeCell ref="J46:K46"/>
    <mergeCell ref="J47:K47"/>
    <mergeCell ref="C55:D55"/>
    <mergeCell ref="E49:G49"/>
    <mergeCell ref="E50:G50"/>
    <mergeCell ref="E51:G51"/>
    <mergeCell ref="E52:G52"/>
    <mergeCell ref="E53:G53"/>
    <mergeCell ref="E54:G54"/>
    <mergeCell ref="E55:G55"/>
    <mergeCell ref="C49:D49"/>
    <mergeCell ref="C50:D50"/>
    <mergeCell ref="C51:D51"/>
    <mergeCell ref="C52:D52"/>
    <mergeCell ref="C53:D53"/>
    <mergeCell ref="C54:D54"/>
    <mergeCell ref="E46:G46"/>
    <mergeCell ref="E47:G47"/>
    <mergeCell ref="E48:G48"/>
    <mergeCell ref="C44:D44"/>
    <mergeCell ref="C45:D45"/>
    <mergeCell ref="C46:D46"/>
    <mergeCell ref="C47:D47"/>
    <mergeCell ref="C48:D48"/>
    <mergeCell ref="Q2:Q3"/>
    <mergeCell ref="C2:C3"/>
    <mergeCell ref="D2:D3"/>
    <mergeCell ref="L44:M44"/>
    <mergeCell ref="L45:M45"/>
    <mergeCell ref="L46:M46"/>
    <mergeCell ref="L47:M47"/>
    <mergeCell ref="L48:M48"/>
    <mergeCell ref="E44:G44"/>
    <mergeCell ref="E45:G45"/>
    <mergeCell ref="H44:I44"/>
    <mergeCell ref="H45:I45"/>
    <mergeCell ref="Q44:R44"/>
    <mergeCell ref="Q45:R45"/>
    <mergeCell ref="Q30:R30"/>
    <mergeCell ref="Q31:R31"/>
    <mergeCell ref="E2:E3"/>
    <mergeCell ref="M2:M3"/>
    <mergeCell ref="I2:I3"/>
    <mergeCell ref="J38:M38"/>
    <mergeCell ref="G38:I38"/>
    <mergeCell ref="C38:E38"/>
    <mergeCell ref="H42:I43"/>
    <mergeCell ref="E43:G43"/>
    <mergeCell ref="J42:K43"/>
    <mergeCell ref="Q1:R1"/>
    <mergeCell ref="Q39:R39"/>
    <mergeCell ref="Q40:R40"/>
    <mergeCell ref="A42:B42"/>
    <mergeCell ref="C1:E1"/>
    <mergeCell ref="G1:O1"/>
    <mergeCell ref="E42:G42"/>
    <mergeCell ref="C39:E39"/>
    <mergeCell ref="C40:E40"/>
    <mergeCell ref="O2:O3"/>
    <mergeCell ref="R2:R3"/>
    <mergeCell ref="N2:N3"/>
    <mergeCell ref="Q38:R38"/>
    <mergeCell ref="Q42:R43"/>
    <mergeCell ref="Q32:R32"/>
    <mergeCell ref="A43:B43"/>
    <mergeCell ref="C42:D43"/>
    <mergeCell ref="G2:G3"/>
    <mergeCell ref="J2:J3"/>
    <mergeCell ref="G39:I39"/>
    <mergeCell ref="G40:I40"/>
    <mergeCell ref="J39:M39"/>
    <mergeCell ref="J40:M40"/>
    <mergeCell ref="H2:H3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65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tabColor indexed="52"/>
    <pageSetUpPr fitToPage="1"/>
  </sheetPr>
  <dimension ref="A1:S84"/>
  <sheetViews>
    <sheetView showGridLines="0" zoomScale="80" workbookViewId="0">
      <pane ySplit="3" topLeftCell="A25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8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7.140625" style="3" bestFit="1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>IF(SUM(C5:D5)=0,"",SUM(C5:D5))</f>
        <v>#REF!</v>
      </c>
      <c r="F5" s="7"/>
      <c r="G5" s="24"/>
      <c r="H5" s="23"/>
      <c r="I5" s="116" t="str">
        <f>IF(SUM(G5:H5)=0,"",SUM(G5:H5))</f>
        <v/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41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/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27" t="str">
        <f>IF(SUM(C7:D7)=0,"",SUM(C7:D7))</f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45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27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>IF(SUM(C9:D9)=0,"",SUM(C9:D9))</f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 t="e">
        <f>IF(#REF!="","",-#REF!)</f>
        <v>#REF!</v>
      </c>
      <c r="L9" s="23" t="e">
        <f>IF(#REF!="","",-#REF!)</f>
        <v>#REF!</v>
      </c>
      <c r="M9" s="116" t="e">
        <f>IF(SUM(J9:L9)=0,"",SUM(J9:L9))</f>
        <v>#REF!</v>
      </c>
      <c r="N9" s="41" t="e">
        <f>IF(#REF!="","",-#REF!)</f>
        <v>#REF!</v>
      </c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>IF(SUM(C10:D10)=0,"",SUM(C10:D10))</f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45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>IF(SUM(C11:D11)=0,"",SUM(C11:D11))</f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 t="e">
        <f>IF(SUM(K7:K10)=0,"",SUM(K7:K10))</f>
        <v>#REF!</v>
      </c>
      <c r="L11" s="25" t="e">
        <f>IF(SUM(L7:L10)=0,"",SUM(L7:L10))</f>
        <v>#REF!</v>
      </c>
      <c r="M11" s="116" t="e">
        <f>IF(SUM(J11:L11)=0,"",SUM(J11:L11))</f>
        <v>#REF!</v>
      </c>
      <c r="N11" s="28" t="e">
        <f>IF(SUM(N7:N10)=0,"",SUM(N7:N10))</f>
        <v>#REF!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0">IF(AND(G5="",G11=""),"",SUM(G5,G11))</f>
        <v>#REF!</v>
      </c>
      <c r="H13" s="11" t="e">
        <f t="shared" si="0"/>
        <v>#REF!</v>
      </c>
      <c r="I13" s="117" t="e">
        <f t="shared" si="0"/>
        <v>#REF!</v>
      </c>
      <c r="J13" s="14" t="e">
        <f t="shared" si="0"/>
        <v>#REF!</v>
      </c>
      <c r="K13" s="11" t="e">
        <f t="shared" si="0"/>
        <v>#REF!</v>
      </c>
      <c r="L13" s="11" t="e">
        <f t="shared" si="0"/>
        <v>#REF!</v>
      </c>
      <c r="M13" s="118" t="e">
        <f t="shared" si="0"/>
        <v>#REF!</v>
      </c>
      <c r="N13" s="46" t="e">
        <f t="shared" si="0"/>
        <v>#REF!</v>
      </c>
      <c r="O13" s="47" t="e">
        <f t="shared" si="0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/>
      <c r="D16" s="21"/>
      <c r="E16" s="27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>IF(SUM(J16:L16)=0,"",SUM(J16:L16))</f>
        <v/>
      </c>
      <c r="N16" s="43"/>
      <c r="O16" s="45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20"/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27" t="str">
        <f t="shared" ref="E18:E26" si="1">IF(SUM(C18:D18)=0,"",SUM(C18:D18))</f>
        <v/>
      </c>
      <c r="F18" s="7"/>
      <c r="G18" s="22"/>
      <c r="H18" s="21"/>
      <c r="I18" s="116" t="str">
        <f t="shared" ref="I18:I26" si="2">IF(SUM(G18:H18)=0,"",SUM(G18:H18))</f>
        <v/>
      </c>
      <c r="J18" s="22"/>
      <c r="K18" s="21"/>
      <c r="L18" s="21"/>
      <c r="M18" s="116" t="str">
        <f t="shared" ref="M18:M26" si="3">IF(SUM(J18:L18)=0,"",SUM(J18:L18))</f>
        <v/>
      </c>
      <c r="N18" s="43"/>
      <c r="O18" s="45" t="str">
        <f t="shared" ref="O18:O26" si="4">IF(SUM(I18,M18,N18)=0,"",SUM(I18,M18,N18))</f>
        <v/>
      </c>
      <c r="P18" s="9"/>
      <c r="Q18" s="134" t="str">
        <f t="shared" ref="Q18:Q26" si="5">IF(SUM(E18,O18)=0,"",SUM(E18,O18))</f>
        <v/>
      </c>
      <c r="R18" s="112" t="str">
        <f t="shared" ref="R18:R26" si="6">IF(Q18="","",Q18/Q$28)</f>
        <v/>
      </c>
    </row>
    <row r="19" spans="1:18" x14ac:dyDescent="0.2">
      <c r="A19" s="88"/>
      <c r="B19" s="103" t="s">
        <v>20</v>
      </c>
      <c r="C19" s="22"/>
      <c r="D19" s="21"/>
      <c r="E19" s="27" t="str">
        <f t="shared" si="1"/>
        <v/>
      </c>
      <c r="F19" s="7"/>
      <c r="G19" s="22"/>
      <c r="H19" s="21"/>
      <c r="I19" s="116" t="str">
        <f t="shared" si="2"/>
        <v/>
      </c>
      <c r="J19" s="22"/>
      <c r="K19" s="21"/>
      <c r="L19" s="21"/>
      <c r="M19" s="116" t="str">
        <f t="shared" si="3"/>
        <v/>
      </c>
      <c r="N19" s="43"/>
      <c r="O19" s="45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21</v>
      </c>
      <c r="C20" s="22"/>
      <c r="D20" s="21"/>
      <c r="E20" s="27" t="str">
        <f t="shared" si="1"/>
        <v/>
      </c>
      <c r="F20" s="7"/>
      <c r="G20" s="22"/>
      <c r="H20" s="21"/>
      <c r="I20" s="116" t="str">
        <f t="shared" si="2"/>
        <v/>
      </c>
      <c r="J20" s="22"/>
      <c r="K20" s="21"/>
      <c r="L20" s="21"/>
      <c r="M20" s="116" t="str">
        <f t="shared" si="3"/>
        <v/>
      </c>
      <c r="N20" s="43"/>
      <c r="O20" s="45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1"/>
        <v/>
      </c>
      <c r="F21" s="7"/>
      <c r="G21" s="22"/>
      <c r="H21" s="21"/>
      <c r="I21" s="116" t="str">
        <f t="shared" si="2"/>
        <v/>
      </c>
      <c r="J21" s="22"/>
      <c r="K21" s="21"/>
      <c r="L21" s="21"/>
      <c r="M21" s="116" t="str">
        <f t="shared" si="3"/>
        <v/>
      </c>
      <c r="N21" s="43"/>
      <c r="O21" s="45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23</v>
      </c>
      <c r="C22" s="22"/>
      <c r="D22" s="21"/>
      <c r="E22" s="27" t="str">
        <f t="shared" si="1"/>
        <v/>
      </c>
      <c r="F22" s="7"/>
      <c r="G22" s="22"/>
      <c r="H22" s="21"/>
      <c r="I22" s="116" t="str">
        <f t="shared" si="2"/>
        <v/>
      </c>
      <c r="J22" s="22"/>
      <c r="K22" s="21"/>
      <c r="L22" s="21"/>
      <c r="M22" s="116" t="str">
        <f t="shared" si="3"/>
        <v/>
      </c>
      <c r="N22" s="43"/>
      <c r="O22" s="45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50</v>
      </c>
      <c r="C23" s="22"/>
      <c r="D23" s="21"/>
      <c r="E23" s="27" t="str">
        <f t="shared" si="1"/>
        <v/>
      </c>
      <c r="F23" s="7"/>
      <c r="G23" s="22"/>
      <c r="H23" s="21"/>
      <c r="I23" s="116" t="str">
        <f t="shared" si="2"/>
        <v/>
      </c>
      <c r="J23" s="22"/>
      <c r="K23" s="21"/>
      <c r="L23" s="21"/>
      <c r="M23" s="116" t="str">
        <f t="shared" si="3"/>
        <v/>
      </c>
      <c r="N23" s="43"/>
      <c r="O23" s="45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1"/>
        <v/>
      </c>
      <c r="F24" s="7"/>
      <c r="G24" s="22"/>
      <c r="H24" s="21"/>
      <c r="I24" s="116" t="str">
        <f t="shared" si="2"/>
        <v/>
      </c>
      <c r="J24" s="22"/>
      <c r="K24" s="21"/>
      <c r="L24" s="21"/>
      <c r="M24" s="116" t="str">
        <f t="shared" si="3"/>
        <v/>
      </c>
      <c r="N24" s="43"/>
      <c r="O24" s="45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1"/>
        <v/>
      </c>
      <c r="F25" s="7"/>
      <c r="G25" s="22"/>
      <c r="H25" s="21"/>
      <c r="I25" s="116" t="str">
        <f t="shared" si="2"/>
        <v/>
      </c>
      <c r="J25" s="22"/>
      <c r="K25" s="21"/>
      <c r="L25" s="21"/>
      <c r="M25" s="116" t="str">
        <f t="shared" si="3"/>
        <v/>
      </c>
      <c r="N25" s="43"/>
      <c r="O25" s="45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/>
      <c r="D26" s="21"/>
      <c r="E26" s="27" t="str">
        <f t="shared" si="1"/>
        <v/>
      </c>
      <c r="F26" s="7"/>
      <c r="G26" s="22"/>
      <c r="H26" s="21"/>
      <c r="I26" s="116" t="str">
        <f t="shared" si="2"/>
        <v/>
      </c>
      <c r="J26" s="22"/>
      <c r="K26" s="21"/>
      <c r="L26" s="21"/>
      <c r="M26" s="116" t="str">
        <f t="shared" si="3"/>
        <v/>
      </c>
      <c r="N26" s="43"/>
      <c r="O26" s="45" t="str">
        <f t="shared" si="4"/>
        <v/>
      </c>
      <c r="P26" s="9"/>
      <c r="Q26" s="134" t="str">
        <f t="shared" si="5"/>
        <v/>
      </c>
      <c r="R26" s="112" t="str">
        <f t="shared" si="6"/>
        <v/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0</v>
      </c>
      <c r="D28" s="14">
        <f>SUM(D16:D27)</f>
        <v>0</v>
      </c>
      <c r="E28" s="14">
        <f>SUM(E16:E27)</f>
        <v>0</v>
      </c>
      <c r="F28" s="119"/>
      <c r="G28" s="14">
        <f>SUM(G16:G27)</f>
        <v>0</v>
      </c>
      <c r="H28" s="14">
        <f>SUM(H16:H27)</f>
        <v>0</v>
      </c>
      <c r="I28" s="14">
        <f>SUM(I16:I27)</f>
        <v>0</v>
      </c>
      <c r="J28" s="14">
        <f>SUM(J16:J27)</f>
        <v>0</v>
      </c>
      <c r="K28" s="14">
        <f t="shared" ref="K28:Q28" si="7">SUM(K16:K27)</f>
        <v>0</v>
      </c>
      <c r="L28" s="14">
        <f t="shared" si="7"/>
        <v>0</v>
      </c>
      <c r="M28" s="176">
        <f t="shared" si="7"/>
        <v>0</v>
      </c>
      <c r="N28" s="175" t="str">
        <f>IF(SUM(N16:N27)=0,"",SUM(N16:N27))</f>
        <v/>
      </c>
      <c r="O28" s="14">
        <f t="shared" si="7"/>
        <v>0</v>
      </c>
      <c r="P28" s="9"/>
      <c r="Q28" s="137">
        <f t="shared" si="7"/>
        <v>0</v>
      </c>
      <c r="R28" s="136" t="e">
        <f>IF(Q28="","",Q28/Q$28)</f>
        <v>#DIV/0!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60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8">IF(OR(G30="",G31=""),"",G30/G31)</f>
        <v>#REF!</v>
      </c>
      <c r="H32" s="61" t="e">
        <f t="shared" si="8"/>
        <v>#REF!</v>
      </c>
      <c r="I32" s="70" t="e">
        <f t="shared" si="8"/>
        <v>#REF!</v>
      </c>
      <c r="J32" s="73" t="e">
        <f t="shared" si="8"/>
        <v>#REF!</v>
      </c>
      <c r="K32" s="61" t="e">
        <f t="shared" si="8"/>
        <v>#REF!</v>
      </c>
      <c r="L32" s="61" t="e">
        <f t="shared" si="8"/>
        <v>#REF!</v>
      </c>
      <c r="M32" s="70" t="e">
        <f t="shared" si="8"/>
        <v>#REF!</v>
      </c>
      <c r="N32" s="85" t="e">
        <f t="shared" si="8"/>
        <v>#REF!</v>
      </c>
      <c r="O32" s="128" t="e">
        <f t="shared" si="8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IF(OR(C30="",ISERROR(#REF!+C30)),"",#REF!+C30)</f>
        <v>#REF!</v>
      </c>
      <c r="D34" s="57" t="e">
        <f>IF(OR(D30="",ISERROR(#REF!+D30)),"",#REF!+D30)</f>
        <v>#REF!</v>
      </c>
      <c r="E34" s="58" t="e">
        <f>IF(SUM(C34:D34)=0,"",SUM(C34:D34))</f>
        <v>#REF!</v>
      </c>
      <c r="F34" s="7"/>
      <c r="G34" s="65" t="e">
        <f>IF(OR(G30="",ISERROR(#REF!+G30)),"",#REF!+G30)</f>
        <v>#REF!</v>
      </c>
      <c r="H34" s="57" t="e">
        <f>IF(OR(H30="",ISERROR(#REF!+H30)),"",#REF!+H30)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IF(OR(K30="",ISERROR(#REF!+K30)),"",#REF!+K30)</f>
        <v>#REF!</v>
      </c>
      <c r="L34" s="57" t="e">
        <f>IF(OR(L30="",ISERROR(#REF!+L30)),"",#REF!+L30)</f>
        <v>#REF!</v>
      </c>
      <c r="M34" s="71" t="e">
        <f>IF(SUM(J34:L34)=0,"",SUM(J34:L34))</f>
        <v>#REF!</v>
      </c>
      <c r="N34" s="83" t="e">
        <f>IF(OR(N30="",ISERROR(#REF!+N30)),"",#REF!+N30)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9">IF(ISERROR(G34/G35),"",G34/G35)</f>
        <v/>
      </c>
      <c r="H36" s="61" t="str">
        <f t="shared" si="9"/>
        <v/>
      </c>
      <c r="I36" s="70" t="str">
        <f t="shared" si="9"/>
        <v/>
      </c>
      <c r="J36" s="73" t="str">
        <f t="shared" si="9"/>
        <v/>
      </c>
      <c r="K36" s="61" t="str">
        <f t="shared" si="9"/>
        <v/>
      </c>
      <c r="L36" s="61" t="str">
        <f t="shared" si="9"/>
        <v/>
      </c>
      <c r="M36" s="70" t="str">
        <f t="shared" si="9"/>
        <v/>
      </c>
      <c r="N36" s="85" t="str">
        <f t="shared" si="9"/>
        <v/>
      </c>
      <c r="O36" s="128" t="str">
        <f t="shared" si="9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#REF!</v>
      </c>
      <c r="D39" s="655"/>
      <c r="E39" s="594"/>
      <c r="F39" s="29"/>
      <c r="G39" s="626" t="e">
        <f>IF(I32="","",I32)</f>
        <v>#REF!</v>
      </c>
      <c r="H39" s="626"/>
      <c r="I39" s="626"/>
      <c r="J39" s="626" t="e">
        <f>IF(M32="","",M32)</f>
        <v>#REF!</v>
      </c>
      <c r="K39" s="626"/>
      <c r="L39" s="626"/>
      <c r="M39" s="626"/>
      <c r="N39" s="80" t="e">
        <f>N32</f>
        <v>#REF!</v>
      </c>
      <c r="O39" s="80" t="e">
        <f>IF(O32="","",O32)</f>
        <v>#REF!</v>
      </c>
      <c r="P39" s="30"/>
      <c r="Q39" s="593" t="e">
        <f>IF(Q32="","",Q32)</f>
        <v>#REF!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32" t="s">
        <v>35</v>
      </c>
      <c r="B44" s="33"/>
      <c r="C44" s="606" t="e">
        <f>IF(#REF!="","",#REF!)</f>
        <v>#REF!</v>
      </c>
      <c r="D44" s="607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58"/>
      <c r="P44" s="39"/>
      <c r="Q44" s="657" t="e">
        <f>IF(#REF!="","",#REF!)</f>
        <v>#REF!</v>
      </c>
      <c r="R44" s="658"/>
      <c r="S44" s="6"/>
    </row>
    <row r="45" spans="1:19" ht="12.75" customHeight="1" x14ac:dyDescent="0.2">
      <c r="A45" s="34" t="s">
        <v>36</v>
      </c>
      <c r="B45" s="35"/>
      <c r="C45" s="603" t="e">
        <f>IF(#REF!="","",#REF!)</f>
        <v>#REF!</v>
      </c>
      <c r="D45" s="605"/>
      <c r="E45" s="603" t="e">
        <f>IF(#REF!="","",#REF!)</f>
        <v>#REF!</v>
      </c>
      <c r="F45" s="604"/>
      <c r="G45" s="605"/>
      <c r="H45" s="632" t="e">
        <f>IF(#REF!="","",#REF!)</f>
        <v>#REF!</v>
      </c>
      <c r="I45" s="637"/>
      <c r="J45" s="632" t="e">
        <f>IF(#REF!="","",#REF!)</f>
        <v>#REF!</v>
      </c>
      <c r="K45" s="637"/>
      <c r="L45" s="632" t="e">
        <f>IF(#REF!="","",#REF!)</f>
        <v>#REF!</v>
      </c>
      <c r="M45" s="637"/>
      <c r="N45" s="632" t="e">
        <f>IF(#REF!="","",#REF!)</f>
        <v>#REF!</v>
      </c>
      <c r="O45" s="609"/>
      <c r="P45" s="39"/>
      <c r="Q45" s="608" t="e">
        <f>IF(#REF!="","",#REF!)</f>
        <v>#REF!</v>
      </c>
      <c r="R45" s="609"/>
      <c r="S45" s="6"/>
    </row>
    <row r="46" spans="1:19" ht="12.75" customHeight="1" x14ac:dyDescent="0.2">
      <c r="A46" s="34" t="s">
        <v>37</v>
      </c>
      <c r="B46" s="35"/>
      <c r="C46" s="603" t="e">
        <f>IF(#REF!="","",#REF!)</f>
        <v>#REF!</v>
      </c>
      <c r="D46" s="605"/>
      <c r="E46" s="603" t="e">
        <f>IF(#REF!="","",#REF!)</f>
        <v>#REF!</v>
      </c>
      <c r="F46" s="604"/>
      <c r="G46" s="605"/>
      <c r="H46" s="632" t="e">
        <f>IF(#REF!="","",#REF!)</f>
        <v>#REF!</v>
      </c>
      <c r="I46" s="637"/>
      <c r="J46" s="632" t="e">
        <f>IF(#REF!="","",#REF!)</f>
        <v>#REF!</v>
      </c>
      <c r="K46" s="637"/>
      <c r="L46" s="632" t="e">
        <f>IF(#REF!="","",#REF!)</f>
        <v>#REF!</v>
      </c>
      <c r="M46" s="637"/>
      <c r="N46" s="632" t="e">
        <f>IF(#REF!="","",#REF!)</f>
        <v>#REF!</v>
      </c>
      <c r="O46" s="609"/>
      <c r="P46" s="39"/>
      <c r="Q46" s="608" t="e">
        <f>IF(#REF!="","",#REF!)</f>
        <v>#REF!</v>
      </c>
      <c r="R46" s="609"/>
      <c r="S46" s="6"/>
    </row>
    <row r="47" spans="1:19" ht="12.75" customHeight="1" x14ac:dyDescent="0.2">
      <c r="A47" s="34" t="s">
        <v>38</v>
      </c>
      <c r="B47" s="35"/>
      <c r="C47" s="603" t="e">
        <f>IF(#REF!="","",#REF!)</f>
        <v>#REF!</v>
      </c>
      <c r="D47" s="605"/>
      <c r="E47" s="603" t="e">
        <f>IF(#REF!="","",#REF!)</f>
        <v>#REF!</v>
      </c>
      <c r="F47" s="604"/>
      <c r="G47" s="605"/>
      <c r="H47" s="632" t="e">
        <f>IF(#REF!="","",#REF!)</f>
        <v>#REF!</v>
      </c>
      <c r="I47" s="637"/>
      <c r="J47" s="632" t="e">
        <f>IF(#REF!="","",#REF!)</f>
        <v>#REF!</v>
      </c>
      <c r="K47" s="637"/>
      <c r="L47" s="632" t="e">
        <f>IF(#REF!="","",#REF!)</f>
        <v>#REF!</v>
      </c>
      <c r="M47" s="637"/>
      <c r="N47" s="632" t="e">
        <f>IF(#REF!="","",#REF!)</f>
        <v>#REF!</v>
      </c>
      <c r="O47" s="609"/>
      <c r="P47" s="39"/>
      <c r="Q47" s="608" t="e">
        <f>IF(#REF!="","",#REF!)</f>
        <v>#REF!</v>
      </c>
      <c r="R47" s="609"/>
      <c r="S47" s="6"/>
    </row>
    <row r="48" spans="1:19" ht="12.75" customHeight="1" x14ac:dyDescent="0.2">
      <c r="A48" s="34" t="s">
        <v>39</v>
      </c>
      <c r="B48" s="35"/>
      <c r="C48" s="603" t="e">
        <f>IF(#REF!="","",#REF!)</f>
        <v>#REF!</v>
      </c>
      <c r="D48" s="605"/>
      <c r="E48" s="603" t="e">
        <f>IF(Q30="","",Q30)</f>
        <v>#REF!</v>
      </c>
      <c r="F48" s="604"/>
      <c r="G48" s="605"/>
      <c r="H48" s="632" t="e">
        <f>IF(#REF!="","",#REF!)</f>
        <v>#REF!</v>
      </c>
      <c r="I48" s="637"/>
      <c r="J48" s="632" t="e">
        <f>IF(#REF!="","",#REF!)</f>
        <v>#REF!</v>
      </c>
      <c r="K48" s="637"/>
      <c r="L48" s="632" t="e">
        <f>IF(#REF!="","",#REF!)</f>
        <v>#REF!</v>
      </c>
      <c r="M48" s="637"/>
      <c r="N48" s="632" t="e">
        <f>IF(#REF!="","",#REF!)</f>
        <v>#REF!</v>
      </c>
      <c r="O48" s="609"/>
      <c r="P48" s="39"/>
      <c r="Q48" s="608" t="e">
        <f>IF(#REF!="","",#REF!)</f>
        <v>#REF!</v>
      </c>
      <c r="R48" s="609"/>
      <c r="S48" s="6"/>
    </row>
    <row r="49" spans="1:19" ht="12.75" customHeight="1" x14ac:dyDescent="0.2">
      <c r="A49" s="34" t="s">
        <v>40</v>
      </c>
      <c r="B49" s="35"/>
      <c r="C49" s="603" t="e">
        <f>IF(#REF!="","",#REF!)</f>
        <v>#REF!</v>
      </c>
      <c r="D49" s="605"/>
      <c r="E49" s="603" t="e">
        <f>IF(#REF!="","",#REF!)</f>
        <v>#REF!</v>
      </c>
      <c r="F49" s="604"/>
      <c r="G49" s="605"/>
      <c r="H49" s="632" t="e">
        <f>IF(#REF!="","",#REF!)</f>
        <v>#REF!</v>
      </c>
      <c r="I49" s="637"/>
      <c r="J49" s="632" t="e">
        <f>IF(#REF!="","",#REF!)</f>
        <v>#REF!</v>
      </c>
      <c r="K49" s="637"/>
      <c r="L49" s="632" t="e">
        <f>IF(#REF!="","",#REF!)</f>
        <v>#REF!</v>
      </c>
      <c r="M49" s="637"/>
      <c r="N49" s="632" t="e">
        <f>IF(#REF!="","",#REF!)</f>
        <v>#REF!</v>
      </c>
      <c r="O49" s="609"/>
      <c r="P49" s="39"/>
      <c r="Q49" s="608" t="e">
        <f>IF(#REF!="","",#REF!)</f>
        <v>#REF!</v>
      </c>
      <c r="R49" s="609"/>
      <c r="S49" s="6"/>
    </row>
    <row r="50" spans="1:19" ht="12.75" customHeight="1" x14ac:dyDescent="0.2">
      <c r="A50" s="34" t="s">
        <v>41</v>
      </c>
      <c r="B50" s="35"/>
      <c r="C50" s="603" t="e">
        <f>IF(#REF!="","",#REF!)</f>
        <v>#REF!</v>
      </c>
      <c r="D50" s="605"/>
      <c r="E50" s="603" t="e">
        <f>IF(#REF!="","",#REF!)</f>
        <v>#REF!</v>
      </c>
      <c r="F50" s="604"/>
      <c r="G50" s="605"/>
      <c r="H50" s="632" t="e">
        <f>IF(#REF!="","",#REF!)</f>
        <v>#REF!</v>
      </c>
      <c r="I50" s="637"/>
      <c r="J50" s="632" t="e">
        <f>IF(#REF!="","",#REF!)</f>
        <v>#REF!</v>
      </c>
      <c r="K50" s="637"/>
      <c r="L50" s="632" t="e">
        <f>IF(#REF!="","",#REF!)</f>
        <v>#REF!</v>
      </c>
      <c r="M50" s="637"/>
      <c r="N50" s="632" t="e">
        <f>IF(#REF!="","",#REF!)</f>
        <v>#REF!</v>
      </c>
      <c r="O50" s="609"/>
      <c r="P50" s="39"/>
      <c r="Q50" s="608" t="e">
        <f>IF($Q$39="","",$Q$39)</f>
        <v>#REF!</v>
      </c>
      <c r="R50" s="609"/>
      <c r="S50" s="6"/>
    </row>
    <row r="51" spans="1:19" ht="12.75" customHeight="1" x14ac:dyDescent="0.2">
      <c r="A51" s="34" t="s">
        <v>42</v>
      </c>
      <c r="B51" s="35"/>
      <c r="C51" s="603" t="str">
        <f>IF($Q$31="","",$Q$31)</f>
        <v/>
      </c>
      <c r="D51" s="605"/>
      <c r="E51" s="603" t="e">
        <f>IF($Q$30="","",$Q$30)</f>
        <v>#REF!</v>
      </c>
      <c r="F51" s="604"/>
      <c r="G51" s="605"/>
      <c r="H51" s="632" t="e">
        <f>IF($J$39="","",$J$39)</f>
        <v>#REF!</v>
      </c>
      <c r="I51" s="637"/>
      <c r="J51" s="632" t="e">
        <f>IF($C$39="","",$C$39)</f>
        <v>#REF!</v>
      </c>
      <c r="K51" s="637"/>
      <c r="L51" s="632" t="e">
        <f>IF($O$39="","",$O$39)</f>
        <v>#REF!</v>
      </c>
      <c r="M51" s="637"/>
      <c r="N51" s="632" t="e">
        <f>IF($N$39="","",$N$39)</f>
        <v>#REF!</v>
      </c>
      <c r="O51" s="609"/>
      <c r="P51" s="39"/>
      <c r="Q51" s="608" t="e">
        <f>IF($Q$39="","",$Q$39)</f>
        <v>#REF!</v>
      </c>
      <c r="R51" s="609"/>
      <c r="S51" s="6"/>
    </row>
    <row r="52" spans="1:19" ht="12.75" customHeight="1" x14ac:dyDescent="0.2">
      <c r="A52" s="34" t="s">
        <v>43</v>
      </c>
      <c r="B52" s="35"/>
      <c r="C52" s="603"/>
      <c r="D52" s="605"/>
      <c r="E52" s="603"/>
      <c r="F52" s="604"/>
      <c r="G52" s="605"/>
      <c r="H52" s="632"/>
      <c r="I52" s="637"/>
      <c r="J52" s="632"/>
      <c r="K52" s="637"/>
      <c r="L52" s="632"/>
      <c r="M52" s="637"/>
      <c r="N52" s="632"/>
      <c r="O52" s="609"/>
      <c r="P52" s="39"/>
      <c r="Q52" s="608"/>
      <c r="R52" s="609"/>
      <c r="S52" s="6"/>
    </row>
    <row r="53" spans="1:19" ht="12.75" customHeight="1" x14ac:dyDescent="0.2">
      <c r="A53" s="34" t="s">
        <v>44</v>
      </c>
      <c r="B53" s="35"/>
      <c r="C53" s="603"/>
      <c r="D53" s="605"/>
      <c r="E53" s="603"/>
      <c r="F53" s="604"/>
      <c r="G53" s="605"/>
      <c r="H53" s="632"/>
      <c r="I53" s="637"/>
      <c r="J53" s="632"/>
      <c r="K53" s="637"/>
      <c r="L53" s="632"/>
      <c r="M53" s="637"/>
      <c r="N53" s="632"/>
      <c r="O53" s="609"/>
      <c r="P53" s="39"/>
      <c r="Q53" s="608"/>
      <c r="R53" s="609"/>
      <c r="S53" s="6"/>
    </row>
    <row r="54" spans="1:19" ht="12.75" customHeight="1" x14ac:dyDescent="0.2">
      <c r="A54" s="34" t="s">
        <v>45</v>
      </c>
      <c r="B54" s="35"/>
      <c r="C54" s="603"/>
      <c r="D54" s="605"/>
      <c r="E54" s="603"/>
      <c r="F54" s="604"/>
      <c r="G54" s="605"/>
      <c r="H54" s="632"/>
      <c r="I54" s="637"/>
      <c r="J54" s="632"/>
      <c r="K54" s="637"/>
      <c r="L54" s="632"/>
      <c r="M54" s="637"/>
      <c r="N54" s="632"/>
      <c r="O54" s="609"/>
      <c r="P54" s="39"/>
      <c r="Q54" s="608"/>
      <c r="R54" s="609"/>
      <c r="S54" s="6"/>
    </row>
    <row r="55" spans="1:19" ht="13.5" customHeight="1" thickBot="1" x14ac:dyDescent="0.25">
      <c r="A55" s="36" t="s">
        <v>46</v>
      </c>
      <c r="B55" s="37"/>
      <c r="C55" s="700"/>
      <c r="D55" s="701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39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0">IF(ISERROR((G30/G32)/100),"",(G30/G32)/100)</f>
        <v/>
      </c>
      <c r="H79" s="144" t="str">
        <f t="shared" si="10"/>
        <v/>
      </c>
      <c r="I79" s="148" t="str">
        <f t="shared" si="10"/>
        <v/>
      </c>
      <c r="J79" s="143" t="str">
        <f t="shared" si="10"/>
        <v/>
      </c>
      <c r="K79" s="144" t="str">
        <f t="shared" si="10"/>
        <v/>
      </c>
      <c r="L79" s="144" t="str">
        <f t="shared" si="10"/>
        <v/>
      </c>
      <c r="M79" s="149" t="str">
        <f t="shared" si="10"/>
        <v/>
      </c>
      <c r="N79" s="150" t="str">
        <f t="shared" si="10"/>
        <v/>
      </c>
      <c r="O79" s="146" t="str">
        <f t="shared" si="10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1">IF(ISERROR(((G32-G$76)*100)*G79),"",((G32-G$76)*100)*G79)</f>
        <v/>
      </c>
      <c r="H80" s="159" t="str">
        <f t="shared" si="11"/>
        <v/>
      </c>
      <c r="I80" s="163" t="str">
        <f t="shared" si="11"/>
        <v/>
      </c>
      <c r="J80" s="158" t="str">
        <f t="shared" si="11"/>
        <v/>
      </c>
      <c r="K80" s="159" t="str">
        <f t="shared" si="11"/>
        <v/>
      </c>
      <c r="L80" s="159" t="str">
        <f t="shared" si="11"/>
        <v/>
      </c>
      <c r="M80" s="163" t="str">
        <f t="shared" si="11"/>
        <v/>
      </c>
      <c r="N80" s="164" t="str">
        <f t="shared" si="11"/>
        <v/>
      </c>
      <c r="O80" s="165" t="str">
        <f t="shared" si="11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2">IF(ISERROR((G34/G36)/100),"",(G34/G36)/100)</f>
        <v/>
      </c>
      <c r="H82" s="144" t="str">
        <f t="shared" si="12"/>
        <v/>
      </c>
      <c r="I82" s="148" t="str">
        <f t="shared" si="12"/>
        <v/>
      </c>
      <c r="J82" s="143" t="str">
        <f t="shared" si="12"/>
        <v/>
      </c>
      <c r="K82" s="144" t="str">
        <f t="shared" si="12"/>
        <v/>
      </c>
      <c r="L82" s="144" t="str">
        <f t="shared" si="12"/>
        <v/>
      </c>
      <c r="M82" s="149" t="str">
        <f t="shared" si="12"/>
        <v/>
      </c>
      <c r="N82" s="150" t="str">
        <f t="shared" si="12"/>
        <v/>
      </c>
      <c r="O82" s="146" t="str">
        <f t="shared" si="12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3">IF(ISERROR(((G36-G$76)*100)*G82),"",((G36-G$76)*100)*G82)</f>
        <v/>
      </c>
      <c r="H83" s="159" t="str">
        <f t="shared" si="13"/>
        <v/>
      </c>
      <c r="I83" s="163" t="str">
        <f t="shared" si="13"/>
        <v/>
      </c>
      <c r="J83" s="158" t="str">
        <f t="shared" si="13"/>
        <v/>
      </c>
      <c r="K83" s="159" t="str">
        <f t="shared" si="13"/>
        <v/>
      </c>
      <c r="L83" s="159" t="str">
        <f t="shared" si="13"/>
        <v/>
      </c>
      <c r="M83" s="163" t="str">
        <f t="shared" si="13"/>
        <v/>
      </c>
      <c r="N83" s="164" t="str">
        <f t="shared" si="13"/>
        <v/>
      </c>
      <c r="O83" s="165" t="str">
        <f t="shared" si="13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45">
    <mergeCell ref="Q82:R82"/>
    <mergeCell ref="Q83:R83"/>
    <mergeCell ref="A77:B78"/>
    <mergeCell ref="O77:O78"/>
    <mergeCell ref="Q77:Q78"/>
    <mergeCell ref="R77:R78"/>
    <mergeCell ref="Q80:R80"/>
    <mergeCell ref="N77:N78"/>
    <mergeCell ref="Q76:R76"/>
    <mergeCell ref="Q79:R79"/>
    <mergeCell ref="C77:C78"/>
    <mergeCell ref="D77:D78"/>
    <mergeCell ref="E77:E78"/>
    <mergeCell ref="G77:G78"/>
    <mergeCell ref="H77:H78"/>
    <mergeCell ref="I77:I78"/>
    <mergeCell ref="J55:K55"/>
    <mergeCell ref="C55:D55"/>
    <mergeCell ref="J77:J78"/>
    <mergeCell ref="M77:M78"/>
    <mergeCell ref="L44:M44"/>
    <mergeCell ref="L45:M45"/>
    <mergeCell ref="L46:M46"/>
    <mergeCell ref="L47:M47"/>
    <mergeCell ref="N48:O48"/>
    <mergeCell ref="N49:O49"/>
    <mergeCell ref="N50:O50"/>
    <mergeCell ref="N44:O44"/>
    <mergeCell ref="N51:O51"/>
    <mergeCell ref="N45:O45"/>
    <mergeCell ref="N46:O46"/>
    <mergeCell ref="N47:O47"/>
    <mergeCell ref="L48:M48"/>
    <mergeCell ref="E55:G55"/>
    <mergeCell ref="C51:D51"/>
    <mergeCell ref="C52:D52"/>
    <mergeCell ref="J44:K44"/>
    <mergeCell ref="J45:K45"/>
    <mergeCell ref="Q54:R54"/>
    <mergeCell ref="N54:O54"/>
    <mergeCell ref="L53:M53"/>
    <mergeCell ref="L54:M54"/>
    <mergeCell ref="J49:K49"/>
    <mergeCell ref="J50:K50"/>
    <mergeCell ref="L49:M49"/>
    <mergeCell ref="L50:M50"/>
    <mergeCell ref="L51:M51"/>
    <mergeCell ref="L52:M52"/>
    <mergeCell ref="N53:O53"/>
    <mergeCell ref="N52:O52"/>
    <mergeCell ref="J51:K51"/>
    <mergeCell ref="Q48:R48"/>
    <mergeCell ref="Q55:R55"/>
    <mergeCell ref="J48:K48"/>
    <mergeCell ref="H46:I46"/>
    <mergeCell ref="H47:I47"/>
    <mergeCell ref="H48:I48"/>
    <mergeCell ref="H49:I49"/>
    <mergeCell ref="H50:I50"/>
    <mergeCell ref="H51:I51"/>
    <mergeCell ref="Q52:R52"/>
    <mergeCell ref="L55:M55"/>
    <mergeCell ref="N55:O55"/>
    <mergeCell ref="J46:K46"/>
    <mergeCell ref="J47:K47"/>
    <mergeCell ref="H52:I52"/>
    <mergeCell ref="H53:I53"/>
    <mergeCell ref="H54:I54"/>
    <mergeCell ref="H55:I55"/>
    <mergeCell ref="Q49:R49"/>
    <mergeCell ref="Q50:R50"/>
    <mergeCell ref="J52:K52"/>
    <mergeCell ref="J53:K53"/>
    <mergeCell ref="J54:K54"/>
    <mergeCell ref="Q53:R53"/>
    <mergeCell ref="Q44:R44"/>
    <mergeCell ref="Q51:R51"/>
    <mergeCell ref="G39:I39"/>
    <mergeCell ref="G40:I40"/>
    <mergeCell ref="J39:M39"/>
    <mergeCell ref="J40:M40"/>
    <mergeCell ref="C53:D53"/>
    <mergeCell ref="C54:D54"/>
    <mergeCell ref="C47:D47"/>
    <mergeCell ref="C48:D48"/>
    <mergeCell ref="C49:D49"/>
    <mergeCell ref="C50:D50"/>
    <mergeCell ref="E46:G46"/>
    <mergeCell ref="J42:K43"/>
    <mergeCell ref="L42:M43"/>
    <mergeCell ref="E49:G49"/>
    <mergeCell ref="E50:G50"/>
    <mergeCell ref="E51:G51"/>
    <mergeCell ref="E52:G52"/>
    <mergeCell ref="E53:G53"/>
    <mergeCell ref="E54:G54"/>
    <mergeCell ref="Q45:R45"/>
    <mergeCell ref="Q46:R46"/>
    <mergeCell ref="Q47:R47"/>
    <mergeCell ref="A43:B43"/>
    <mergeCell ref="E43:G43"/>
    <mergeCell ref="E47:G47"/>
    <mergeCell ref="E48:G48"/>
    <mergeCell ref="C44:D44"/>
    <mergeCell ref="C45:D45"/>
    <mergeCell ref="C46:D46"/>
    <mergeCell ref="A42:B42"/>
    <mergeCell ref="C1:E1"/>
    <mergeCell ref="C39:E39"/>
    <mergeCell ref="C40:E40"/>
    <mergeCell ref="C42:D43"/>
    <mergeCell ref="C2:C3"/>
    <mergeCell ref="D2:D3"/>
    <mergeCell ref="E2:E3"/>
    <mergeCell ref="G38:I38"/>
    <mergeCell ref="C38:E38"/>
    <mergeCell ref="E42:G42"/>
    <mergeCell ref="H42:I43"/>
    <mergeCell ref="E44:G44"/>
    <mergeCell ref="E45:G45"/>
    <mergeCell ref="H44:I44"/>
    <mergeCell ref="H45:I45"/>
    <mergeCell ref="J2:J3"/>
    <mergeCell ref="N2:N3"/>
    <mergeCell ref="Q1:R1"/>
    <mergeCell ref="Q39:R39"/>
    <mergeCell ref="Q40:R40"/>
    <mergeCell ref="Q42:R43"/>
    <mergeCell ref="Q2:Q3"/>
    <mergeCell ref="R2:R3"/>
    <mergeCell ref="J38:M38"/>
    <mergeCell ref="Q38:R38"/>
    <mergeCell ref="G1:O1"/>
    <mergeCell ref="H2:H3"/>
    <mergeCell ref="I2:I3"/>
    <mergeCell ref="O2:O3"/>
    <mergeCell ref="M2:M3"/>
    <mergeCell ref="G2:G3"/>
    <mergeCell ref="N42:O43"/>
    <mergeCell ref="Q30:R30"/>
    <mergeCell ref="Q31:R31"/>
    <mergeCell ref="Q32:R32"/>
    <mergeCell ref="Q34:R34"/>
    <mergeCell ref="Q35:R35"/>
    <mergeCell ref="Q36:R36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65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tabColor indexed="52"/>
    <pageSetUpPr fitToPage="1"/>
  </sheetPr>
  <dimension ref="A1:S84"/>
  <sheetViews>
    <sheetView showGridLines="0" zoomScale="80" workbookViewId="0">
      <pane ySplit="3" topLeftCell="A37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8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7.140625" style="3" bestFit="1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>IF(SUM(C5:D5)=0,"",SUM(C5:D5))</f>
        <v>#REF!</v>
      </c>
      <c r="F5" s="7"/>
      <c r="G5" s="24" t="e">
        <f>IF(#REF!="","",#REF!)</f>
        <v>#REF!</v>
      </c>
      <c r="H5" s="23" t="e">
        <f>IF(#REF!="","",#REF!)</f>
        <v>#REF!</v>
      </c>
      <c r="I5" s="116" t="e">
        <f>IF(SUM(G5:H5)=0,"",SUM(G5:H5))</f>
        <v>#REF!</v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23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/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27" t="str">
        <f>IF(SUM(C7:D7)=0,"",SUM(C7:D7))</f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45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27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>IF(SUM(C9:D9)=0,"",SUM(C9:D9))</f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 t="e">
        <f>IF(#REF!="","",-#REF!)</f>
        <v>#REF!</v>
      </c>
      <c r="L9" s="23" t="e">
        <f>IF(#REF!="","",-#REF!)</f>
        <v>#REF!</v>
      </c>
      <c r="M9" s="116" t="e">
        <f>IF(SUM(J9:L9)=0,"",SUM(J9:L9))</f>
        <v>#REF!</v>
      </c>
      <c r="N9" s="41" t="e">
        <f>IF(#REF!="","",-#REF!)</f>
        <v>#REF!</v>
      </c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>IF(SUM(C10:D10)=0,"",SUM(C10:D10))</f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45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>IF(SUM(C11:D11)=0,"",SUM(C11:D11))</f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 t="e">
        <f>IF(SUM(K7:K10)=0,"",SUM(K7:K10))</f>
        <v>#REF!</v>
      </c>
      <c r="L11" s="25" t="e">
        <f>IF(SUM(L7:L10)=0,"",SUM(L7:L10))</f>
        <v>#REF!</v>
      </c>
      <c r="M11" s="116" t="e">
        <f>IF(SUM(J11:L11)=0,"",SUM(J11:L11))</f>
        <v>#REF!</v>
      </c>
      <c r="N11" s="28" t="e">
        <f>IF(SUM(N7:N10)=0,"",SUM(N7:N10))</f>
        <v>#REF!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0">IF(AND(G5="",G11=""),"",SUM(G5,G11))</f>
        <v>#REF!</v>
      </c>
      <c r="H13" s="11" t="e">
        <f t="shared" si="0"/>
        <v>#REF!</v>
      </c>
      <c r="I13" s="117" t="e">
        <f t="shared" si="0"/>
        <v>#REF!</v>
      </c>
      <c r="J13" s="14" t="e">
        <f t="shared" si="0"/>
        <v>#REF!</v>
      </c>
      <c r="K13" s="11" t="e">
        <f t="shared" si="0"/>
        <v>#REF!</v>
      </c>
      <c r="L13" s="11" t="e">
        <f t="shared" si="0"/>
        <v>#REF!</v>
      </c>
      <c r="M13" s="118" t="e">
        <f t="shared" si="0"/>
        <v>#REF!</v>
      </c>
      <c r="N13" s="46" t="e">
        <f t="shared" si="0"/>
        <v>#REF!</v>
      </c>
      <c r="O13" s="47" t="e">
        <f t="shared" si="0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/>
      <c r="D16" s="21"/>
      <c r="E16" s="27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>IF(SUM(J16:L16)=0,"",SUM(J16:L16))</f>
        <v/>
      </c>
      <c r="N16" s="43"/>
      <c r="O16" s="45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20"/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27" t="str">
        <f t="shared" ref="E18:E26" si="1">IF(SUM(C18:D18)=0,"",SUM(C18:D18))</f>
        <v/>
      </c>
      <c r="F18" s="7"/>
      <c r="G18" s="22"/>
      <c r="H18" s="21"/>
      <c r="I18" s="116" t="str">
        <f t="shared" ref="I18:I26" si="2">IF(SUM(G18:H18)=0,"",SUM(G18:H18))</f>
        <v/>
      </c>
      <c r="J18" s="22"/>
      <c r="K18" s="21"/>
      <c r="L18" s="21"/>
      <c r="M18" s="116" t="str">
        <f t="shared" ref="M18:M26" si="3">IF(SUM(J18:L18)=0,"",SUM(J18:L18))</f>
        <v/>
      </c>
      <c r="N18" s="43"/>
      <c r="O18" s="45" t="str">
        <f t="shared" ref="O18:O26" si="4">IF(SUM(I18,M18,N18)=0,"",SUM(I18,M18,N18))</f>
        <v/>
      </c>
      <c r="P18" s="9"/>
      <c r="Q18" s="134" t="str">
        <f t="shared" ref="Q18:Q26" si="5">IF(SUM(E18,O18)=0,"",SUM(E18,O18))</f>
        <v/>
      </c>
      <c r="R18" s="112" t="str">
        <f t="shared" ref="R18:R26" si="6">IF(Q18="","",Q18/Q$28)</f>
        <v/>
      </c>
    </row>
    <row r="19" spans="1:18" x14ac:dyDescent="0.2">
      <c r="A19" s="88"/>
      <c r="B19" s="103" t="s">
        <v>20</v>
      </c>
      <c r="C19" s="22"/>
      <c r="D19" s="21"/>
      <c r="E19" s="27" t="str">
        <f t="shared" si="1"/>
        <v/>
      </c>
      <c r="F19" s="7"/>
      <c r="G19" s="22"/>
      <c r="H19" s="21"/>
      <c r="I19" s="116" t="str">
        <f t="shared" si="2"/>
        <v/>
      </c>
      <c r="J19" s="22"/>
      <c r="K19" s="21"/>
      <c r="L19" s="21"/>
      <c r="M19" s="116" t="str">
        <f t="shared" si="3"/>
        <v/>
      </c>
      <c r="N19" s="43"/>
      <c r="O19" s="45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21</v>
      </c>
      <c r="C20" s="22"/>
      <c r="D20" s="21"/>
      <c r="E20" s="27" t="str">
        <f t="shared" si="1"/>
        <v/>
      </c>
      <c r="F20" s="7"/>
      <c r="G20" s="22"/>
      <c r="H20" s="21"/>
      <c r="I20" s="116" t="str">
        <f t="shared" si="2"/>
        <v/>
      </c>
      <c r="J20" s="22"/>
      <c r="K20" s="21"/>
      <c r="L20" s="21"/>
      <c r="M20" s="116" t="str">
        <f t="shared" si="3"/>
        <v/>
      </c>
      <c r="N20" s="43"/>
      <c r="O20" s="45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1"/>
        <v/>
      </c>
      <c r="F21" s="7"/>
      <c r="G21" s="22"/>
      <c r="H21" s="21"/>
      <c r="I21" s="116" t="str">
        <f t="shared" si="2"/>
        <v/>
      </c>
      <c r="J21" s="22"/>
      <c r="K21" s="21"/>
      <c r="L21" s="21"/>
      <c r="M21" s="116" t="str">
        <f t="shared" si="3"/>
        <v/>
      </c>
      <c r="N21" s="43"/>
      <c r="O21" s="45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23</v>
      </c>
      <c r="C22" s="22"/>
      <c r="D22" s="21"/>
      <c r="E22" s="27" t="str">
        <f t="shared" si="1"/>
        <v/>
      </c>
      <c r="F22" s="7"/>
      <c r="G22" s="22"/>
      <c r="H22" s="21"/>
      <c r="I22" s="116" t="str">
        <f t="shared" si="2"/>
        <v/>
      </c>
      <c r="J22" s="22"/>
      <c r="K22" s="21"/>
      <c r="L22" s="21"/>
      <c r="M22" s="116" t="str">
        <f t="shared" si="3"/>
        <v/>
      </c>
      <c r="N22" s="43"/>
      <c r="O22" s="45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50</v>
      </c>
      <c r="C23" s="22"/>
      <c r="D23" s="21"/>
      <c r="E23" s="27" t="str">
        <f t="shared" si="1"/>
        <v/>
      </c>
      <c r="F23" s="7"/>
      <c r="G23" s="22"/>
      <c r="H23" s="21"/>
      <c r="I23" s="116" t="str">
        <f t="shared" si="2"/>
        <v/>
      </c>
      <c r="J23" s="22"/>
      <c r="K23" s="21"/>
      <c r="L23" s="21"/>
      <c r="M23" s="116" t="str">
        <f t="shared" si="3"/>
        <v/>
      </c>
      <c r="N23" s="43"/>
      <c r="O23" s="45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1"/>
        <v/>
      </c>
      <c r="F24" s="7"/>
      <c r="G24" s="22"/>
      <c r="H24" s="21"/>
      <c r="I24" s="116" t="str">
        <f t="shared" si="2"/>
        <v/>
      </c>
      <c r="J24" s="22"/>
      <c r="K24" s="21"/>
      <c r="L24" s="21"/>
      <c r="M24" s="116" t="str">
        <f t="shared" si="3"/>
        <v/>
      </c>
      <c r="N24" s="43"/>
      <c r="O24" s="45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1"/>
        <v/>
      </c>
      <c r="F25" s="7"/>
      <c r="G25" s="22"/>
      <c r="H25" s="21"/>
      <c r="I25" s="116" t="str">
        <f t="shared" si="2"/>
        <v/>
      </c>
      <c r="J25" s="22"/>
      <c r="K25" s="21"/>
      <c r="L25" s="21"/>
      <c r="M25" s="116" t="str">
        <f t="shared" si="3"/>
        <v/>
      </c>
      <c r="N25" s="43"/>
      <c r="O25" s="45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/>
      <c r="D26" s="21"/>
      <c r="E26" s="27" t="str">
        <f t="shared" si="1"/>
        <v/>
      </c>
      <c r="F26" s="7"/>
      <c r="G26" s="22"/>
      <c r="H26" s="21"/>
      <c r="I26" s="116" t="str">
        <f t="shared" si="2"/>
        <v/>
      </c>
      <c r="J26" s="22"/>
      <c r="K26" s="21"/>
      <c r="L26" s="21"/>
      <c r="M26" s="116" t="str">
        <f t="shared" si="3"/>
        <v/>
      </c>
      <c r="N26" s="43"/>
      <c r="O26" s="45" t="str">
        <f t="shared" si="4"/>
        <v/>
      </c>
      <c r="P26" s="9"/>
      <c r="Q26" s="134" t="str">
        <f t="shared" si="5"/>
        <v/>
      </c>
      <c r="R26" s="112" t="str">
        <f t="shared" si="6"/>
        <v/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0</v>
      </c>
      <c r="D28" s="14">
        <f>SUM(D16:D27)</f>
        <v>0</v>
      </c>
      <c r="E28" s="14">
        <f>SUM(E16:E27)</f>
        <v>0</v>
      </c>
      <c r="F28" s="119"/>
      <c r="G28" s="14">
        <f>SUM(G16:G27)</f>
        <v>0</v>
      </c>
      <c r="H28" s="14">
        <f>SUM(H16:H27)</f>
        <v>0</v>
      </c>
      <c r="I28" s="14">
        <f>SUM(I16:I27)</f>
        <v>0</v>
      </c>
      <c r="J28" s="14">
        <f>SUM(J16:J27)</f>
        <v>0</v>
      </c>
      <c r="K28" s="14">
        <f t="shared" ref="K28:Q28" si="7">SUM(K16:K27)</f>
        <v>0</v>
      </c>
      <c r="L28" s="14">
        <f t="shared" si="7"/>
        <v>0</v>
      </c>
      <c r="M28" s="176">
        <f t="shared" si="7"/>
        <v>0</v>
      </c>
      <c r="N28" s="175" t="str">
        <f>IF(SUM(N16:N27)=0,"",SUM(N16:N27))</f>
        <v/>
      </c>
      <c r="O28" s="14">
        <f t="shared" si="7"/>
        <v>0</v>
      </c>
      <c r="P28" s="9"/>
      <c r="Q28" s="137">
        <f t="shared" si="7"/>
        <v>0</v>
      </c>
      <c r="R28" s="136" t="e">
        <f>IF(Q28="","",Q28/Q$28)</f>
        <v>#DIV/0!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60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8">IF(OR(G30="",G31=""),"",G30/G31)</f>
        <v>#REF!</v>
      </c>
      <c r="H32" s="61" t="e">
        <f t="shared" si="8"/>
        <v>#REF!</v>
      </c>
      <c r="I32" s="70" t="e">
        <f t="shared" si="8"/>
        <v>#REF!</v>
      </c>
      <c r="J32" s="73" t="e">
        <f t="shared" si="8"/>
        <v>#REF!</v>
      </c>
      <c r="K32" s="61" t="e">
        <f t="shared" si="8"/>
        <v>#REF!</v>
      </c>
      <c r="L32" s="61" t="e">
        <f t="shared" si="8"/>
        <v>#REF!</v>
      </c>
      <c r="M32" s="70" t="e">
        <f t="shared" si="8"/>
        <v>#REF!</v>
      </c>
      <c r="N32" s="85" t="e">
        <f t="shared" si="8"/>
        <v>#REF!</v>
      </c>
      <c r="O32" s="128" t="e">
        <f t="shared" si="8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IF(OR(C30="",ISERROR(#REF!+C30)),"",#REF!+C30)</f>
        <v>#REF!</v>
      </c>
      <c r="D34" s="57" t="e">
        <f>IF(OR(D30="",ISERROR(#REF!+D30)),"",#REF!+D30)</f>
        <v>#REF!</v>
      </c>
      <c r="E34" s="58" t="e">
        <f>IF(SUM(C34:D34)=0,"",SUM(C34:D34))</f>
        <v>#REF!</v>
      </c>
      <c r="F34" s="7"/>
      <c r="G34" s="65" t="e">
        <f>IF(OR(G30="",ISERROR(#REF!+G30)),"",#REF!+G30)</f>
        <v>#REF!</v>
      </c>
      <c r="H34" s="57" t="e">
        <f>IF(OR(H30="",ISERROR(#REF!+H30)),"",#REF!+H30)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IF(OR(K30="",ISERROR(#REF!+K30)),"",#REF!+K30)</f>
        <v>#REF!</v>
      </c>
      <c r="L34" s="57" t="e">
        <f>IF(OR(L30="",ISERROR(#REF!+L30)),"",#REF!+L30)</f>
        <v>#REF!</v>
      </c>
      <c r="M34" s="71" t="e">
        <f>IF(SUM(J34:L34)=0,"",SUM(J34:L34))</f>
        <v>#REF!</v>
      </c>
      <c r="N34" s="83" t="e">
        <f>IF(OR(N30="",ISERROR(#REF!+N30)),"",#REF!+N30)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9">IF(ISERROR(G34/G35),"",G34/G35)</f>
        <v/>
      </c>
      <c r="H36" s="61" t="str">
        <f t="shared" si="9"/>
        <v/>
      </c>
      <c r="I36" s="70" t="str">
        <f t="shared" si="9"/>
        <v/>
      </c>
      <c r="J36" s="73" t="str">
        <f t="shared" si="9"/>
        <v/>
      </c>
      <c r="K36" s="61" t="str">
        <f t="shared" si="9"/>
        <v/>
      </c>
      <c r="L36" s="61" t="str">
        <f t="shared" si="9"/>
        <v/>
      </c>
      <c r="M36" s="70" t="str">
        <f t="shared" si="9"/>
        <v/>
      </c>
      <c r="N36" s="85" t="str">
        <f t="shared" si="9"/>
        <v/>
      </c>
      <c r="O36" s="128" t="str">
        <f t="shared" si="9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#REF!</v>
      </c>
      <c r="D39" s="655"/>
      <c r="E39" s="594"/>
      <c r="F39" s="29"/>
      <c r="G39" s="626" t="e">
        <f>IF(I32="","",I32)</f>
        <v>#REF!</v>
      </c>
      <c r="H39" s="626"/>
      <c r="I39" s="626"/>
      <c r="J39" s="626" t="e">
        <f>IF(M32="","",M32)</f>
        <v>#REF!</v>
      </c>
      <c r="K39" s="626"/>
      <c r="L39" s="626"/>
      <c r="M39" s="626"/>
      <c r="N39" s="80" t="e">
        <f>N32</f>
        <v>#REF!</v>
      </c>
      <c r="O39" s="80" t="e">
        <f>IF(O32="","",O32)</f>
        <v>#REF!</v>
      </c>
      <c r="P39" s="30"/>
      <c r="Q39" s="593" t="e">
        <f>IF(Q32="","",Q32)</f>
        <v>#REF!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32" t="s">
        <v>35</v>
      </c>
      <c r="B44" s="33"/>
      <c r="C44" s="606" t="e">
        <f>IF(#REF!="","",#REF!)</f>
        <v>#REF!</v>
      </c>
      <c r="D44" s="607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60"/>
      <c r="P44" s="39"/>
      <c r="Q44" s="657" t="e">
        <f>IF(#REF!="","",#REF!)</f>
        <v>#REF!</v>
      </c>
      <c r="R44" s="658"/>
      <c r="S44" s="6"/>
    </row>
    <row r="45" spans="1:19" ht="12.75" customHeight="1" x14ac:dyDescent="0.2">
      <c r="A45" s="34" t="s">
        <v>36</v>
      </c>
      <c r="B45" s="35"/>
      <c r="C45" s="603" t="e">
        <f>IF(#REF!="","",#REF!)</f>
        <v>#REF!</v>
      </c>
      <c r="D45" s="605"/>
      <c r="E45" s="603" t="e">
        <f>IF(#REF!="","",#REF!)</f>
        <v>#REF!</v>
      </c>
      <c r="F45" s="604"/>
      <c r="G45" s="605"/>
      <c r="H45" s="632" t="e">
        <f>IF(#REF!="","",#REF!)</f>
        <v>#REF!</v>
      </c>
      <c r="I45" s="637"/>
      <c r="J45" s="632" t="e">
        <f>IF(#REF!="","",#REF!)</f>
        <v>#REF!</v>
      </c>
      <c r="K45" s="637"/>
      <c r="L45" s="632" t="e">
        <f>IF(#REF!="","",#REF!)</f>
        <v>#REF!</v>
      </c>
      <c r="M45" s="637"/>
      <c r="N45" s="632" t="e">
        <f>IF(#REF!="","",#REF!)</f>
        <v>#REF!</v>
      </c>
      <c r="O45" s="637"/>
      <c r="P45" s="39"/>
      <c r="Q45" s="608" t="e">
        <f>IF(#REF!="","",#REF!)</f>
        <v>#REF!</v>
      </c>
      <c r="R45" s="609"/>
      <c r="S45" s="6"/>
    </row>
    <row r="46" spans="1:19" ht="12.75" customHeight="1" x14ac:dyDescent="0.2">
      <c r="A46" s="34" t="s">
        <v>37</v>
      </c>
      <c r="B46" s="35"/>
      <c r="C46" s="603" t="e">
        <f>IF(#REF!="","",#REF!)</f>
        <v>#REF!</v>
      </c>
      <c r="D46" s="605"/>
      <c r="E46" s="603" t="e">
        <f>IF(#REF!="","",#REF!)</f>
        <v>#REF!</v>
      </c>
      <c r="F46" s="604"/>
      <c r="G46" s="605"/>
      <c r="H46" s="632" t="e">
        <f>IF(#REF!="","",#REF!)</f>
        <v>#REF!</v>
      </c>
      <c r="I46" s="637"/>
      <c r="J46" s="632" t="e">
        <f>IF(#REF!="","",#REF!)</f>
        <v>#REF!</v>
      </c>
      <c r="K46" s="637"/>
      <c r="L46" s="632" t="e">
        <f>IF(#REF!="","",#REF!)</f>
        <v>#REF!</v>
      </c>
      <c r="M46" s="637"/>
      <c r="N46" s="632" t="e">
        <f>IF(#REF!="","",#REF!)</f>
        <v>#REF!</v>
      </c>
      <c r="O46" s="637"/>
      <c r="P46" s="39"/>
      <c r="Q46" s="608" t="e">
        <f>IF(#REF!="","",#REF!)</f>
        <v>#REF!</v>
      </c>
      <c r="R46" s="609"/>
      <c r="S46" s="6"/>
    </row>
    <row r="47" spans="1:19" ht="12.75" customHeight="1" x14ac:dyDescent="0.2">
      <c r="A47" s="34" t="s">
        <v>38</v>
      </c>
      <c r="B47" s="35"/>
      <c r="C47" s="603" t="e">
        <f>IF(#REF!="","",#REF!)</f>
        <v>#REF!</v>
      </c>
      <c r="D47" s="605"/>
      <c r="E47" s="603" t="e">
        <f>IF(#REF!="","",#REF!)</f>
        <v>#REF!</v>
      </c>
      <c r="F47" s="604"/>
      <c r="G47" s="605"/>
      <c r="H47" s="632" t="e">
        <f>IF(#REF!="","",#REF!)</f>
        <v>#REF!</v>
      </c>
      <c r="I47" s="637"/>
      <c r="J47" s="632" t="e">
        <f>IF(#REF!="","",#REF!)</f>
        <v>#REF!</v>
      </c>
      <c r="K47" s="637"/>
      <c r="L47" s="632" t="e">
        <f>IF(#REF!="","",#REF!)</f>
        <v>#REF!</v>
      </c>
      <c r="M47" s="637"/>
      <c r="N47" s="632" t="e">
        <f>IF(#REF!="","",#REF!)</f>
        <v>#REF!</v>
      </c>
      <c r="O47" s="637"/>
      <c r="P47" s="39"/>
      <c r="Q47" s="608" t="e">
        <f>IF(#REF!="","",#REF!)</f>
        <v>#REF!</v>
      </c>
      <c r="R47" s="609"/>
      <c r="S47" s="6"/>
    </row>
    <row r="48" spans="1:19" ht="12.75" customHeight="1" x14ac:dyDescent="0.2">
      <c r="A48" s="34" t="s">
        <v>39</v>
      </c>
      <c r="B48" s="35"/>
      <c r="C48" s="603" t="e">
        <f>IF(#REF!="","",#REF!)</f>
        <v>#REF!</v>
      </c>
      <c r="D48" s="605"/>
      <c r="E48" s="603" t="e">
        <f>IF(Q30="","",Q30)</f>
        <v>#REF!</v>
      </c>
      <c r="F48" s="604"/>
      <c r="G48" s="605"/>
      <c r="H48" s="632" t="e">
        <f>IF(#REF!="","",#REF!)</f>
        <v>#REF!</v>
      </c>
      <c r="I48" s="637"/>
      <c r="J48" s="632" t="e">
        <f>IF(#REF!="","",#REF!)</f>
        <v>#REF!</v>
      </c>
      <c r="K48" s="637"/>
      <c r="L48" s="632" t="e">
        <f>IF(#REF!="","",#REF!)</f>
        <v>#REF!</v>
      </c>
      <c r="M48" s="637"/>
      <c r="N48" s="632" t="e">
        <f>IF(#REF!="","",#REF!)</f>
        <v>#REF!</v>
      </c>
      <c r="O48" s="637"/>
      <c r="P48" s="39"/>
      <c r="Q48" s="608" t="e">
        <f>IF(#REF!="","",#REF!)</f>
        <v>#REF!</v>
      </c>
      <c r="R48" s="609"/>
      <c r="S48" s="6"/>
    </row>
    <row r="49" spans="1:19" ht="12.75" customHeight="1" x14ac:dyDescent="0.2">
      <c r="A49" s="34" t="s">
        <v>40</v>
      </c>
      <c r="B49" s="35"/>
      <c r="C49" s="603" t="e">
        <f>IF(#REF!="","",#REF!)</f>
        <v>#REF!</v>
      </c>
      <c r="D49" s="605"/>
      <c r="E49" s="603" t="e">
        <f>IF(#REF!="","",#REF!)</f>
        <v>#REF!</v>
      </c>
      <c r="F49" s="604"/>
      <c r="G49" s="605"/>
      <c r="H49" s="632" t="e">
        <f>IF(#REF!="","",#REF!)</f>
        <v>#REF!</v>
      </c>
      <c r="I49" s="637"/>
      <c r="J49" s="632" t="e">
        <f>IF(#REF!="","",#REF!)</f>
        <v>#REF!</v>
      </c>
      <c r="K49" s="637"/>
      <c r="L49" s="632" t="e">
        <f>IF(#REF!="","",#REF!)</f>
        <v>#REF!</v>
      </c>
      <c r="M49" s="637"/>
      <c r="N49" s="632" t="e">
        <f>IF(#REF!="","",#REF!)</f>
        <v>#REF!</v>
      </c>
      <c r="O49" s="637"/>
      <c r="P49" s="39"/>
      <c r="Q49" s="608" t="e">
        <f>IF(#REF!="","",#REF!)</f>
        <v>#REF!</v>
      </c>
      <c r="R49" s="609"/>
      <c r="S49" s="6"/>
    </row>
    <row r="50" spans="1:19" ht="12.75" customHeight="1" x14ac:dyDescent="0.2">
      <c r="A50" s="34" t="s">
        <v>41</v>
      </c>
      <c r="B50" s="35"/>
      <c r="C50" s="603" t="e">
        <f>IF(#REF!="","",#REF!)</f>
        <v>#REF!</v>
      </c>
      <c r="D50" s="605"/>
      <c r="E50" s="603" t="e">
        <f>IF(#REF!="","",#REF!)</f>
        <v>#REF!</v>
      </c>
      <c r="F50" s="604"/>
      <c r="G50" s="605"/>
      <c r="H50" s="632" t="e">
        <f>IF(#REF!="","",#REF!)</f>
        <v>#REF!</v>
      </c>
      <c r="I50" s="637"/>
      <c r="J50" s="632" t="e">
        <f>IF(#REF!="","",#REF!)</f>
        <v>#REF!</v>
      </c>
      <c r="K50" s="637"/>
      <c r="L50" s="632" t="e">
        <f>IF(#REF!="","",#REF!)</f>
        <v>#REF!</v>
      </c>
      <c r="M50" s="637"/>
      <c r="N50" s="632" t="e">
        <f>IF(#REF!="","",#REF!)</f>
        <v>#REF!</v>
      </c>
      <c r="O50" s="637"/>
      <c r="P50" s="39"/>
      <c r="Q50" s="608" t="e">
        <f>IF(#REF!="","",#REF!)</f>
        <v>#REF!</v>
      </c>
      <c r="R50" s="609"/>
      <c r="S50" s="6"/>
    </row>
    <row r="51" spans="1:19" ht="12.75" customHeight="1" x14ac:dyDescent="0.2">
      <c r="A51" s="34" t="s">
        <v>42</v>
      </c>
      <c r="B51" s="35"/>
      <c r="C51" s="603" t="e">
        <f>IF(#REF!="","",#REF!)</f>
        <v>#REF!</v>
      </c>
      <c r="D51" s="605"/>
      <c r="E51" s="603" t="e">
        <f>IF(#REF!="","",#REF!)</f>
        <v>#REF!</v>
      </c>
      <c r="F51" s="604"/>
      <c r="G51" s="605"/>
      <c r="H51" s="632" t="e">
        <f>IF(#REF!="","",#REF!)</f>
        <v>#REF!</v>
      </c>
      <c r="I51" s="637"/>
      <c r="J51" s="632" t="e">
        <f>IF(#REF!="","",#REF!)</f>
        <v>#REF!</v>
      </c>
      <c r="K51" s="637"/>
      <c r="L51" s="632" t="e">
        <f>IF(#REF!="","",#REF!)</f>
        <v>#REF!</v>
      </c>
      <c r="M51" s="637"/>
      <c r="N51" s="632" t="e">
        <f>IF(#REF!="","",#REF!)</f>
        <v>#REF!</v>
      </c>
      <c r="O51" s="637"/>
      <c r="P51" s="39"/>
      <c r="Q51" s="608" t="e">
        <f>IF(#REF!="","",#REF!)</f>
        <v>#REF!</v>
      </c>
      <c r="R51" s="609"/>
      <c r="S51" s="6"/>
    </row>
    <row r="52" spans="1:19" ht="12.75" customHeight="1" x14ac:dyDescent="0.2">
      <c r="A52" s="34" t="s">
        <v>43</v>
      </c>
      <c r="B52" s="35"/>
      <c r="C52" s="603" t="str">
        <f>IF($Q$31="","",$Q$31)</f>
        <v/>
      </c>
      <c r="D52" s="605"/>
      <c r="E52" s="603" t="e">
        <f>IF($Q$30="","",$Q$30)</f>
        <v>#REF!</v>
      </c>
      <c r="F52" s="604"/>
      <c r="G52" s="605"/>
      <c r="H52" s="632" t="e">
        <f>IF($J$39="","",$J$39)</f>
        <v>#REF!</v>
      </c>
      <c r="I52" s="637"/>
      <c r="J52" s="632" t="e">
        <f>IF($C$39="","",$C$39)</f>
        <v>#REF!</v>
      </c>
      <c r="K52" s="637"/>
      <c r="L52" s="632" t="e">
        <f>IF($O$39="","",$O$39)</f>
        <v>#REF!</v>
      </c>
      <c r="M52" s="637"/>
      <c r="N52" s="632" t="e">
        <f>IF($N$39="","",$N$39)</f>
        <v>#REF!</v>
      </c>
      <c r="O52" s="637"/>
      <c r="P52" s="39"/>
      <c r="Q52" s="608" t="e">
        <f>IF(Q39="","",Q39)</f>
        <v>#REF!</v>
      </c>
      <c r="R52" s="609"/>
      <c r="S52" s="6"/>
    </row>
    <row r="53" spans="1:19" ht="12.75" customHeight="1" x14ac:dyDescent="0.2">
      <c r="A53" s="34" t="s">
        <v>44</v>
      </c>
      <c r="B53" s="35"/>
      <c r="C53" s="603"/>
      <c r="D53" s="605"/>
      <c r="E53" s="603"/>
      <c r="F53" s="604"/>
      <c r="G53" s="605"/>
      <c r="H53" s="632"/>
      <c r="I53" s="637"/>
      <c r="J53" s="632"/>
      <c r="K53" s="637"/>
      <c r="L53" s="632"/>
      <c r="M53" s="637"/>
      <c r="N53" s="632"/>
      <c r="O53" s="609"/>
      <c r="P53" s="39"/>
      <c r="Q53" s="608"/>
      <c r="R53" s="609"/>
      <c r="S53" s="6"/>
    </row>
    <row r="54" spans="1:19" ht="12.75" customHeight="1" x14ac:dyDescent="0.2">
      <c r="A54" s="34" t="s">
        <v>45</v>
      </c>
      <c r="B54" s="35"/>
      <c r="C54" s="603"/>
      <c r="D54" s="605"/>
      <c r="E54" s="603"/>
      <c r="F54" s="604"/>
      <c r="G54" s="605"/>
      <c r="H54" s="632"/>
      <c r="I54" s="637"/>
      <c r="J54" s="632"/>
      <c r="K54" s="637"/>
      <c r="L54" s="632"/>
      <c r="M54" s="637"/>
      <c r="N54" s="632"/>
      <c r="O54" s="609"/>
      <c r="P54" s="39"/>
      <c r="Q54" s="608"/>
      <c r="R54" s="609"/>
      <c r="S54" s="6"/>
    </row>
    <row r="55" spans="1:19" ht="13.5" customHeight="1" thickBot="1" x14ac:dyDescent="0.25">
      <c r="A55" s="36" t="s">
        <v>46</v>
      </c>
      <c r="B55" s="37"/>
      <c r="C55" s="700"/>
      <c r="D55" s="701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39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0">IF(ISERROR((G30/G32)/100),"",(G30/G32)/100)</f>
        <v/>
      </c>
      <c r="H79" s="144" t="str">
        <f t="shared" si="10"/>
        <v/>
      </c>
      <c r="I79" s="148" t="str">
        <f t="shared" si="10"/>
        <v/>
      </c>
      <c r="J79" s="143" t="str">
        <f t="shared" si="10"/>
        <v/>
      </c>
      <c r="K79" s="144" t="str">
        <f t="shared" si="10"/>
        <v/>
      </c>
      <c r="L79" s="144" t="str">
        <f t="shared" si="10"/>
        <v/>
      </c>
      <c r="M79" s="149" t="str">
        <f t="shared" si="10"/>
        <v/>
      </c>
      <c r="N79" s="150" t="str">
        <f t="shared" si="10"/>
        <v/>
      </c>
      <c r="O79" s="146" t="str">
        <f t="shared" si="10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1">IF(ISERROR(((G32-G$76)*100)*G79),"",((G32-G$76)*100)*G79)</f>
        <v/>
      </c>
      <c r="H80" s="159" t="str">
        <f t="shared" si="11"/>
        <v/>
      </c>
      <c r="I80" s="163" t="str">
        <f t="shared" si="11"/>
        <v/>
      </c>
      <c r="J80" s="158" t="str">
        <f t="shared" si="11"/>
        <v/>
      </c>
      <c r="K80" s="159" t="str">
        <f t="shared" si="11"/>
        <v/>
      </c>
      <c r="L80" s="159" t="str">
        <f t="shared" si="11"/>
        <v/>
      </c>
      <c r="M80" s="163" t="str">
        <f t="shared" si="11"/>
        <v/>
      </c>
      <c r="N80" s="164" t="str">
        <f t="shared" si="11"/>
        <v/>
      </c>
      <c r="O80" s="165" t="str">
        <f t="shared" si="11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2">IF(ISERROR((G34/G36)/100),"",(G34/G36)/100)</f>
        <v/>
      </c>
      <c r="H82" s="144" t="str">
        <f t="shared" si="12"/>
        <v/>
      </c>
      <c r="I82" s="148" t="str">
        <f t="shared" si="12"/>
        <v/>
      </c>
      <c r="J82" s="143" t="str">
        <f t="shared" si="12"/>
        <v/>
      </c>
      <c r="K82" s="144" t="str">
        <f t="shared" si="12"/>
        <v/>
      </c>
      <c r="L82" s="144" t="str">
        <f t="shared" si="12"/>
        <v/>
      </c>
      <c r="M82" s="149" t="str">
        <f t="shared" si="12"/>
        <v/>
      </c>
      <c r="N82" s="150" t="str">
        <f t="shared" si="12"/>
        <v/>
      </c>
      <c r="O82" s="146" t="str">
        <f t="shared" si="12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3">IF(ISERROR(((G36-G$76)*100)*G82),"",((G36-G$76)*100)*G82)</f>
        <v/>
      </c>
      <c r="H83" s="159" t="str">
        <f t="shared" si="13"/>
        <v/>
      </c>
      <c r="I83" s="163" t="str">
        <f t="shared" si="13"/>
        <v/>
      </c>
      <c r="J83" s="158" t="str">
        <f t="shared" si="13"/>
        <v/>
      </c>
      <c r="K83" s="159" t="str">
        <f t="shared" si="13"/>
        <v/>
      </c>
      <c r="L83" s="159" t="str">
        <f t="shared" si="13"/>
        <v/>
      </c>
      <c r="M83" s="163" t="str">
        <f t="shared" si="13"/>
        <v/>
      </c>
      <c r="N83" s="164" t="str">
        <f t="shared" si="13"/>
        <v/>
      </c>
      <c r="O83" s="165" t="str">
        <f t="shared" si="13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45">
    <mergeCell ref="Q82:R82"/>
    <mergeCell ref="Q83:R83"/>
    <mergeCell ref="A77:B78"/>
    <mergeCell ref="O77:O78"/>
    <mergeCell ref="Q77:Q78"/>
    <mergeCell ref="R77:R78"/>
    <mergeCell ref="Q80:R80"/>
    <mergeCell ref="Q79:R79"/>
    <mergeCell ref="C77:C78"/>
    <mergeCell ref="D77:D78"/>
    <mergeCell ref="J77:J78"/>
    <mergeCell ref="M77:M78"/>
    <mergeCell ref="N77:N78"/>
    <mergeCell ref="E77:E78"/>
    <mergeCell ref="G77:G78"/>
    <mergeCell ref="H77:H78"/>
    <mergeCell ref="I77:I78"/>
    <mergeCell ref="L53:M53"/>
    <mergeCell ref="N53:O53"/>
    <mergeCell ref="N54:O54"/>
    <mergeCell ref="N50:O50"/>
    <mergeCell ref="N51:O51"/>
    <mergeCell ref="Q76:R76"/>
    <mergeCell ref="Q34:R34"/>
    <mergeCell ref="Q35:R35"/>
    <mergeCell ref="Q36:R36"/>
    <mergeCell ref="Q54:R54"/>
    <mergeCell ref="Q55:R55"/>
    <mergeCell ref="Q50:R50"/>
    <mergeCell ref="Q51:R51"/>
    <mergeCell ref="Q52:R52"/>
    <mergeCell ref="Q53:R53"/>
    <mergeCell ref="N44:O44"/>
    <mergeCell ref="N45:O45"/>
    <mergeCell ref="N46:O46"/>
    <mergeCell ref="N47:O47"/>
    <mergeCell ref="N48:O48"/>
    <mergeCell ref="N49:O49"/>
    <mergeCell ref="L50:M50"/>
    <mergeCell ref="L51:M51"/>
    <mergeCell ref="L52:M52"/>
    <mergeCell ref="Q46:R46"/>
    <mergeCell ref="Q47:R47"/>
    <mergeCell ref="Q48:R48"/>
    <mergeCell ref="Q49:R49"/>
    <mergeCell ref="J48:K48"/>
    <mergeCell ref="J49:K49"/>
    <mergeCell ref="L46:M46"/>
    <mergeCell ref="L47:M47"/>
    <mergeCell ref="L48:M48"/>
    <mergeCell ref="L49:M49"/>
    <mergeCell ref="H54:I54"/>
    <mergeCell ref="H55:I55"/>
    <mergeCell ref="L42:M43"/>
    <mergeCell ref="N42:O43"/>
    <mergeCell ref="J52:K52"/>
    <mergeCell ref="J53:K53"/>
    <mergeCell ref="J54:K54"/>
    <mergeCell ref="J55:K55"/>
    <mergeCell ref="H46:I46"/>
    <mergeCell ref="H47:I47"/>
    <mergeCell ref="H48:I48"/>
    <mergeCell ref="H49:I49"/>
    <mergeCell ref="H50:I50"/>
    <mergeCell ref="H51:I51"/>
    <mergeCell ref="J50:K50"/>
    <mergeCell ref="J51:K51"/>
    <mergeCell ref="J44:K44"/>
    <mergeCell ref="J45:K45"/>
    <mergeCell ref="J46:K46"/>
    <mergeCell ref="J47:K47"/>
    <mergeCell ref="N55:O55"/>
    <mergeCell ref="L54:M54"/>
    <mergeCell ref="L55:M55"/>
    <mergeCell ref="N52:O52"/>
    <mergeCell ref="H44:I44"/>
    <mergeCell ref="H45:I45"/>
    <mergeCell ref="Q44:R44"/>
    <mergeCell ref="Q45:R45"/>
    <mergeCell ref="L44:M44"/>
    <mergeCell ref="L45:M45"/>
    <mergeCell ref="Q38:R38"/>
    <mergeCell ref="Q32:R32"/>
    <mergeCell ref="C55:D55"/>
    <mergeCell ref="E49:G49"/>
    <mergeCell ref="E50:G50"/>
    <mergeCell ref="E51:G51"/>
    <mergeCell ref="E52:G52"/>
    <mergeCell ref="E53:G53"/>
    <mergeCell ref="E54:G54"/>
    <mergeCell ref="E55:G55"/>
    <mergeCell ref="C49:D49"/>
    <mergeCell ref="C50:D50"/>
    <mergeCell ref="C51:D51"/>
    <mergeCell ref="C52:D52"/>
    <mergeCell ref="C53:D53"/>
    <mergeCell ref="C54:D54"/>
    <mergeCell ref="H52:I52"/>
    <mergeCell ref="H53:I53"/>
    <mergeCell ref="E46:G46"/>
    <mergeCell ref="E47:G47"/>
    <mergeCell ref="E48:G48"/>
    <mergeCell ref="C44:D44"/>
    <mergeCell ref="C45:D45"/>
    <mergeCell ref="C46:D46"/>
    <mergeCell ref="C47:D47"/>
    <mergeCell ref="C48:D48"/>
    <mergeCell ref="E44:G44"/>
    <mergeCell ref="E45:G45"/>
    <mergeCell ref="Q2:Q3"/>
    <mergeCell ref="R2:R3"/>
    <mergeCell ref="G1:O1"/>
    <mergeCell ref="E42:G42"/>
    <mergeCell ref="O2:O3"/>
    <mergeCell ref="M2:M3"/>
    <mergeCell ref="H42:I43"/>
    <mergeCell ref="G39:I39"/>
    <mergeCell ref="G40:I40"/>
    <mergeCell ref="J39:M39"/>
    <mergeCell ref="N2:N3"/>
    <mergeCell ref="I2:I3"/>
    <mergeCell ref="Q1:R1"/>
    <mergeCell ref="Q39:R39"/>
    <mergeCell ref="Q40:R40"/>
    <mergeCell ref="J42:K43"/>
    <mergeCell ref="Q42:R43"/>
    <mergeCell ref="J40:M40"/>
    <mergeCell ref="J2:J3"/>
    <mergeCell ref="J38:M38"/>
    <mergeCell ref="Q30:R30"/>
    <mergeCell ref="Q31:R31"/>
    <mergeCell ref="A42:B42"/>
    <mergeCell ref="C1:E1"/>
    <mergeCell ref="C39:E39"/>
    <mergeCell ref="C40:E40"/>
    <mergeCell ref="C42:D43"/>
    <mergeCell ref="A43:B43"/>
    <mergeCell ref="E43:G43"/>
    <mergeCell ref="G2:G3"/>
    <mergeCell ref="G38:I38"/>
    <mergeCell ref="C38:E38"/>
    <mergeCell ref="C2:C3"/>
    <mergeCell ref="D2:D3"/>
    <mergeCell ref="E2:E3"/>
    <mergeCell ref="H2:H3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65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>
    <tabColor indexed="52"/>
    <pageSetUpPr fitToPage="1"/>
  </sheetPr>
  <dimension ref="A1:S84"/>
  <sheetViews>
    <sheetView showGridLines="0" zoomScale="80" workbookViewId="0">
      <pane ySplit="3" topLeftCell="A49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8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7.140625" style="3" bestFit="1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>IF(SUM(C5:D5)=0,"",SUM(C5:D5))</f>
        <v>#REF!</v>
      </c>
      <c r="F5" s="7"/>
      <c r="G5" s="24" t="e">
        <f>IF(#REF!="","",#REF!)</f>
        <v>#REF!</v>
      </c>
      <c r="H5" s="23" t="e">
        <f>IF(#REF!="","",#REF!)</f>
        <v>#REF!</v>
      </c>
      <c r="I5" s="116" t="e">
        <f>IF(SUM(G5:H5)=0,"",SUM(G5:H5))</f>
        <v>#REF!</v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23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/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27" t="str">
        <f>IF(SUM(C7:D7)=0,"",SUM(C7:D7))</f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45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27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>IF(SUM(C9:D9)=0,"",SUM(C9:D9))</f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 t="e">
        <f>IF(#REF!="","",-#REF!)</f>
        <v>#REF!</v>
      </c>
      <c r="L9" s="23" t="e">
        <f>IF(#REF!="","",-#REF!)</f>
        <v>#REF!</v>
      </c>
      <c r="M9" s="116" t="e">
        <f>IF(SUM(J9:L9)=0,"",SUM(J9:L9))</f>
        <v>#REF!</v>
      </c>
      <c r="N9" s="41" t="e">
        <f>IF(#REF!="","",-#REF!)</f>
        <v>#REF!</v>
      </c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>IF(SUM(C10:D10)=0,"",SUM(C10:D10))</f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45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>IF(SUM(C11:D11)=0,"",SUM(C11:D11))</f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 t="e">
        <f>IF(SUM(K7:K10)=0,"",SUM(K7:K10))</f>
        <v>#REF!</v>
      </c>
      <c r="L11" s="25" t="e">
        <f>IF(SUM(L7:L10)=0,"",SUM(L7:L10))</f>
        <v>#REF!</v>
      </c>
      <c r="M11" s="116" t="e">
        <f>IF(SUM(J11:L11)=0,"",SUM(J11:L11))</f>
        <v>#REF!</v>
      </c>
      <c r="N11" s="28" t="e">
        <f>IF(SUM(N7:N10)=0,"",SUM(N7:N10))</f>
        <v>#REF!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0">IF(AND(G5="",G11=""),"",SUM(G5,G11))</f>
        <v>#REF!</v>
      </c>
      <c r="H13" s="11" t="e">
        <f t="shared" si="0"/>
        <v>#REF!</v>
      </c>
      <c r="I13" s="117" t="e">
        <f t="shared" si="0"/>
        <v>#REF!</v>
      </c>
      <c r="J13" s="14" t="e">
        <f t="shared" si="0"/>
        <v>#REF!</v>
      </c>
      <c r="K13" s="11" t="e">
        <f t="shared" si="0"/>
        <v>#REF!</v>
      </c>
      <c r="L13" s="11" t="e">
        <f t="shared" si="0"/>
        <v>#REF!</v>
      </c>
      <c r="M13" s="118" t="e">
        <f t="shared" si="0"/>
        <v>#REF!</v>
      </c>
      <c r="N13" s="46" t="e">
        <f t="shared" si="0"/>
        <v>#REF!</v>
      </c>
      <c r="O13" s="47" t="e">
        <f t="shared" si="0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/>
      <c r="D16" s="21"/>
      <c r="E16" s="27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>IF(SUM(J16:L16)=0,"",SUM(J16:L16))</f>
        <v/>
      </c>
      <c r="N16" s="43"/>
      <c r="O16" s="45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20"/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27" t="str">
        <f t="shared" ref="E18:E26" si="1">IF(SUM(C18:D18)=0,"",SUM(C18:D18))</f>
        <v/>
      </c>
      <c r="F18" s="7"/>
      <c r="G18" s="22"/>
      <c r="H18" s="21"/>
      <c r="I18" s="116" t="str">
        <f t="shared" ref="I18:I26" si="2">IF(SUM(G18:H18)=0,"",SUM(G18:H18))</f>
        <v/>
      </c>
      <c r="J18" s="22"/>
      <c r="K18" s="21"/>
      <c r="L18" s="21"/>
      <c r="M18" s="116" t="str">
        <f t="shared" ref="M18:M26" si="3">IF(SUM(J18:L18)=0,"",SUM(J18:L18))</f>
        <v/>
      </c>
      <c r="N18" s="43"/>
      <c r="O18" s="45" t="str">
        <f t="shared" ref="O18:O26" si="4">IF(SUM(I18,M18,N18)=0,"",SUM(I18,M18,N18))</f>
        <v/>
      </c>
      <c r="P18" s="9"/>
      <c r="Q18" s="134" t="str">
        <f t="shared" ref="Q18:Q26" si="5">IF(SUM(E18,O18)=0,"",SUM(E18,O18))</f>
        <v/>
      </c>
      <c r="R18" s="112" t="str">
        <f t="shared" ref="R18:R26" si="6">IF(Q18="","",Q18/Q$28)</f>
        <v/>
      </c>
    </row>
    <row r="19" spans="1:18" x14ac:dyDescent="0.2">
      <c r="A19" s="88"/>
      <c r="B19" s="103" t="s">
        <v>20</v>
      </c>
      <c r="C19" s="22"/>
      <c r="D19" s="21"/>
      <c r="E19" s="27" t="str">
        <f t="shared" si="1"/>
        <v/>
      </c>
      <c r="F19" s="7"/>
      <c r="G19" s="22"/>
      <c r="H19" s="21"/>
      <c r="I19" s="116" t="str">
        <f t="shared" si="2"/>
        <v/>
      </c>
      <c r="J19" s="22"/>
      <c r="K19" s="21"/>
      <c r="L19" s="21"/>
      <c r="M19" s="116" t="str">
        <f t="shared" si="3"/>
        <v/>
      </c>
      <c r="N19" s="43"/>
      <c r="O19" s="45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21</v>
      </c>
      <c r="C20" s="22"/>
      <c r="D20" s="21"/>
      <c r="E20" s="27" t="str">
        <f t="shared" si="1"/>
        <v/>
      </c>
      <c r="F20" s="7"/>
      <c r="G20" s="22"/>
      <c r="H20" s="21"/>
      <c r="I20" s="116" t="str">
        <f t="shared" si="2"/>
        <v/>
      </c>
      <c r="J20" s="22"/>
      <c r="K20" s="21"/>
      <c r="L20" s="21"/>
      <c r="M20" s="116" t="str">
        <f t="shared" si="3"/>
        <v/>
      </c>
      <c r="N20" s="43"/>
      <c r="O20" s="45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1"/>
        <v/>
      </c>
      <c r="F21" s="7"/>
      <c r="G21" s="22"/>
      <c r="H21" s="21"/>
      <c r="I21" s="116" t="str">
        <f t="shared" si="2"/>
        <v/>
      </c>
      <c r="J21" s="22"/>
      <c r="K21" s="21"/>
      <c r="L21" s="21"/>
      <c r="M21" s="116" t="str">
        <f t="shared" si="3"/>
        <v/>
      </c>
      <c r="N21" s="43"/>
      <c r="O21" s="45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23</v>
      </c>
      <c r="C22" s="22"/>
      <c r="D22" s="21"/>
      <c r="E22" s="27" t="str">
        <f t="shared" si="1"/>
        <v/>
      </c>
      <c r="F22" s="7"/>
      <c r="G22" s="22"/>
      <c r="H22" s="21"/>
      <c r="I22" s="116" t="str">
        <f t="shared" si="2"/>
        <v/>
      </c>
      <c r="J22" s="22"/>
      <c r="K22" s="21"/>
      <c r="L22" s="21"/>
      <c r="M22" s="116" t="str">
        <f t="shared" si="3"/>
        <v/>
      </c>
      <c r="N22" s="43"/>
      <c r="O22" s="45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50</v>
      </c>
      <c r="C23" s="22"/>
      <c r="D23" s="21"/>
      <c r="E23" s="27" t="str">
        <f t="shared" si="1"/>
        <v/>
      </c>
      <c r="F23" s="7"/>
      <c r="G23" s="22"/>
      <c r="H23" s="21"/>
      <c r="I23" s="116" t="str">
        <f t="shared" si="2"/>
        <v/>
      </c>
      <c r="J23" s="22"/>
      <c r="K23" s="21"/>
      <c r="L23" s="21"/>
      <c r="M23" s="116" t="str">
        <f t="shared" si="3"/>
        <v/>
      </c>
      <c r="N23" s="43"/>
      <c r="O23" s="45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1"/>
        <v/>
      </c>
      <c r="F24" s="7"/>
      <c r="G24" s="22"/>
      <c r="H24" s="21"/>
      <c r="I24" s="116" t="str">
        <f t="shared" si="2"/>
        <v/>
      </c>
      <c r="J24" s="22"/>
      <c r="K24" s="21"/>
      <c r="L24" s="21"/>
      <c r="M24" s="116" t="str">
        <f t="shared" si="3"/>
        <v/>
      </c>
      <c r="N24" s="43"/>
      <c r="O24" s="45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1"/>
        <v/>
      </c>
      <c r="F25" s="7"/>
      <c r="G25" s="22"/>
      <c r="H25" s="21"/>
      <c r="I25" s="116" t="str">
        <f t="shared" si="2"/>
        <v/>
      </c>
      <c r="J25" s="22"/>
      <c r="K25" s="21"/>
      <c r="L25" s="21"/>
      <c r="M25" s="116" t="str">
        <f t="shared" si="3"/>
        <v/>
      </c>
      <c r="N25" s="43"/>
      <c r="O25" s="45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/>
      <c r="D26" s="21"/>
      <c r="E26" s="27" t="str">
        <f t="shared" si="1"/>
        <v/>
      </c>
      <c r="F26" s="7"/>
      <c r="G26" s="22"/>
      <c r="H26" s="21"/>
      <c r="I26" s="116" t="str">
        <f t="shared" si="2"/>
        <v/>
      </c>
      <c r="J26" s="22"/>
      <c r="K26" s="21"/>
      <c r="L26" s="21"/>
      <c r="M26" s="116" t="str">
        <f t="shared" si="3"/>
        <v/>
      </c>
      <c r="N26" s="43"/>
      <c r="O26" s="45" t="str">
        <f t="shared" si="4"/>
        <v/>
      </c>
      <c r="P26" s="9"/>
      <c r="Q26" s="134" t="str">
        <f t="shared" si="5"/>
        <v/>
      </c>
      <c r="R26" s="112" t="str">
        <f t="shared" si="6"/>
        <v/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0</v>
      </c>
      <c r="D28" s="14">
        <f>SUM(D16:D27)</f>
        <v>0</v>
      </c>
      <c r="E28" s="14">
        <f>SUM(E16:E27)</f>
        <v>0</v>
      </c>
      <c r="F28" s="119"/>
      <c r="G28" s="14">
        <f>SUM(G16:G27)</f>
        <v>0</v>
      </c>
      <c r="H28" s="14">
        <f>SUM(H16:H27)</f>
        <v>0</v>
      </c>
      <c r="I28" s="14">
        <f>SUM(I16:I27)</f>
        <v>0</v>
      </c>
      <c r="J28" s="14">
        <f>SUM(J16:J27)</f>
        <v>0</v>
      </c>
      <c r="K28" s="14">
        <f t="shared" ref="K28:Q28" si="7">SUM(K16:K27)</f>
        <v>0</v>
      </c>
      <c r="L28" s="14">
        <f t="shared" si="7"/>
        <v>0</v>
      </c>
      <c r="M28" s="176">
        <f t="shared" si="7"/>
        <v>0</v>
      </c>
      <c r="N28" s="175" t="str">
        <f>IF(SUM(N16:N27)=0,"",SUM(N16:N27))</f>
        <v/>
      </c>
      <c r="O28" s="14">
        <f t="shared" si="7"/>
        <v>0</v>
      </c>
      <c r="P28" s="9"/>
      <c r="Q28" s="137">
        <f t="shared" si="7"/>
        <v>0</v>
      </c>
      <c r="R28" s="136" t="e">
        <f>IF(Q28="","",Q28/Q$28)</f>
        <v>#DIV/0!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60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8">IF(OR(G30="",G31=""),"",G30/G31)</f>
        <v>#REF!</v>
      </c>
      <c r="H32" s="61" t="e">
        <f t="shared" si="8"/>
        <v>#REF!</v>
      </c>
      <c r="I32" s="70" t="e">
        <f t="shared" si="8"/>
        <v>#REF!</v>
      </c>
      <c r="J32" s="73" t="e">
        <f t="shared" si="8"/>
        <v>#REF!</v>
      </c>
      <c r="K32" s="61" t="e">
        <f t="shared" si="8"/>
        <v>#REF!</v>
      </c>
      <c r="L32" s="61" t="e">
        <f t="shared" si="8"/>
        <v>#REF!</v>
      </c>
      <c r="M32" s="70" t="e">
        <f t="shared" si="8"/>
        <v>#REF!</v>
      </c>
      <c r="N32" s="85" t="e">
        <f t="shared" si="8"/>
        <v>#REF!</v>
      </c>
      <c r="O32" s="128" t="e">
        <f t="shared" si="8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IF(OR(C30="",ISERROR(#REF!+C30)),"",#REF!+C30)</f>
        <v>#REF!</v>
      </c>
      <c r="D34" s="57" t="e">
        <f>IF(OR(D30="",ISERROR(#REF!+D30)),"",#REF!+D30)</f>
        <v>#REF!</v>
      </c>
      <c r="E34" s="58" t="e">
        <f>IF(SUM(C34:D34)=0,"",SUM(C34:D34))</f>
        <v>#REF!</v>
      </c>
      <c r="F34" s="7"/>
      <c r="G34" s="65" t="e">
        <f>IF(OR(G30="",ISERROR(#REF!+G30)),"",#REF!+G30)</f>
        <v>#REF!</v>
      </c>
      <c r="H34" s="57" t="e">
        <f>IF(OR(H30="",ISERROR(#REF!+H30)),"",#REF!+H30)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IF(OR(K30="",ISERROR(#REF!+K30)),"",#REF!+K30)</f>
        <v>#REF!</v>
      </c>
      <c r="L34" s="57" t="e">
        <f>IF(OR(L30="",ISERROR(#REF!+L30)),"",#REF!+L30)</f>
        <v>#REF!</v>
      </c>
      <c r="M34" s="71" t="e">
        <f>IF(SUM(J34:L34)=0,"",SUM(J34:L34))</f>
        <v>#REF!</v>
      </c>
      <c r="N34" s="83" t="e">
        <f>IF(OR(N30="",ISERROR(#REF!+N30)),"",#REF!+N30)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9">IF(ISERROR(G34/G35),"",G34/G35)</f>
        <v/>
      </c>
      <c r="H36" s="61" t="str">
        <f t="shared" si="9"/>
        <v/>
      </c>
      <c r="I36" s="70" t="str">
        <f t="shared" si="9"/>
        <v/>
      </c>
      <c r="J36" s="73" t="str">
        <f t="shared" si="9"/>
        <v/>
      </c>
      <c r="K36" s="61" t="str">
        <f t="shared" si="9"/>
        <v/>
      </c>
      <c r="L36" s="61" t="str">
        <f t="shared" si="9"/>
        <v/>
      </c>
      <c r="M36" s="70" t="str">
        <f t="shared" si="9"/>
        <v/>
      </c>
      <c r="N36" s="85" t="str">
        <f t="shared" si="9"/>
        <v/>
      </c>
      <c r="O36" s="128" t="str">
        <f t="shared" si="9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#REF!</v>
      </c>
      <c r="D39" s="655"/>
      <c r="E39" s="594"/>
      <c r="F39" s="29"/>
      <c r="G39" s="626" t="e">
        <f>IF(I32="","",I32)</f>
        <v>#REF!</v>
      </c>
      <c r="H39" s="626"/>
      <c r="I39" s="626"/>
      <c r="J39" s="626" t="e">
        <f>IF(M32="","",M32)</f>
        <v>#REF!</v>
      </c>
      <c r="K39" s="626"/>
      <c r="L39" s="626"/>
      <c r="M39" s="626"/>
      <c r="N39" s="80" t="e">
        <f>N32</f>
        <v>#REF!</v>
      </c>
      <c r="O39" s="80" t="e">
        <f>IF(O32="","",O32)</f>
        <v>#REF!</v>
      </c>
      <c r="P39" s="30"/>
      <c r="Q39" s="593" t="e">
        <f>IF(Q32="","",Q32)</f>
        <v>#REF!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32" t="s">
        <v>35</v>
      </c>
      <c r="B44" s="33"/>
      <c r="C44" s="606" t="e">
        <f>IF(#REF!="","",#REF!)</f>
        <v>#REF!</v>
      </c>
      <c r="D44" s="607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60"/>
      <c r="P44" s="39"/>
      <c r="Q44" s="657" t="e">
        <f>IF(#REF!="","",#REF!)</f>
        <v>#REF!</v>
      </c>
      <c r="R44" s="658"/>
      <c r="S44" s="6"/>
    </row>
    <row r="45" spans="1:19" ht="12.75" customHeight="1" x14ac:dyDescent="0.2">
      <c r="A45" s="34" t="s">
        <v>36</v>
      </c>
      <c r="B45" s="35"/>
      <c r="C45" s="603" t="e">
        <f>IF(#REF!="","",#REF!)</f>
        <v>#REF!</v>
      </c>
      <c r="D45" s="605"/>
      <c r="E45" s="603" t="e">
        <f>IF(#REF!="","",#REF!)</f>
        <v>#REF!</v>
      </c>
      <c r="F45" s="604"/>
      <c r="G45" s="605"/>
      <c r="H45" s="632" t="e">
        <f>IF(#REF!="","",#REF!)</f>
        <v>#REF!</v>
      </c>
      <c r="I45" s="637"/>
      <c r="J45" s="632" t="e">
        <f>IF(#REF!="","",#REF!)</f>
        <v>#REF!</v>
      </c>
      <c r="K45" s="637"/>
      <c r="L45" s="632" t="e">
        <f>IF(#REF!="","",#REF!)</f>
        <v>#REF!</v>
      </c>
      <c r="M45" s="637"/>
      <c r="N45" s="632" t="e">
        <f>IF(#REF!="","",#REF!)</f>
        <v>#REF!</v>
      </c>
      <c r="O45" s="637"/>
      <c r="P45" s="39"/>
      <c r="Q45" s="608" t="e">
        <f>IF(#REF!="","",#REF!)</f>
        <v>#REF!</v>
      </c>
      <c r="R45" s="609"/>
      <c r="S45" s="6"/>
    </row>
    <row r="46" spans="1:19" ht="12.75" customHeight="1" x14ac:dyDescent="0.2">
      <c r="A46" s="34" t="s">
        <v>37</v>
      </c>
      <c r="B46" s="35"/>
      <c r="C46" s="603" t="e">
        <f>IF(#REF!="","",#REF!)</f>
        <v>#REF!</v>
      </c>
      <c r="D46" s="605"/>
      <c r="E46" s="603" t="e">
        <f>IF(#REF!="","",#REF!)</f>
        <v>#REF!</v>
      </c>
      <c r="F46" s="604"/>
      <c r="G46" s="605"/>
      <c r="H46" s="632" t="e">
        <f>IF(#REF!="","",#REF!)</f>
        <v>#REF!</v>
      </c>
      <c r="I46" s="637"/>
      <c r="J46" s="632" t="e">
        <f>IF(#REF!="","",#REF!)</f>
        <v>#REF!</v>
      </c>
      <c r="K46" s="637"/>
      <c r="L46" s="632" t="e">
        <f>IF(#REF!="","",#REF!)</f>
        <v>#REF!</v>
      </c>
      <c r="M46" s="637"/>
      <c r="N46" s="632" t="e">
        <f>IF(#REF!="","",#REF!)</f>
        <v>#REF!</v>
      </c>
      <c r="O46" s="637"/>
      <c r="P46" s="39"/>
      <c r="Q46" s="608" t="e">
        <f>IF(#REF!="","",#REF!)</f>
        <v>#REF!</v>
      </c>
      <c r="R46" s="609"/>
      <c r="S46" s="6"/>
    </row>
    <row r="47" spans="1:19" ht="12.75" customHeight="1" x14ac:dyDescent="0.2">
      <c r="A47" s="34" t="s">
        <v>38</v>
      </c>
      <c r="B47" s="35"/>
      <c r="C47" s="603" t="e">
        <f>IF(#REF!="","",#REF!)</f>
        <v>#REF!</v>
      </c>
      <c r="D47" s="605"/>
      <c r="E47" s="603" t="e">
        <f>IF(#REF!="","",#REF!)</f>
        <v>#REF!</v>
      </c>
      <c r="F47" s="604"/>
      <c r="G47" s="605"/>
      <c r="H47" s="632" t="e">
        <f>IF(#REF!="","",#REF!)</f>
        <v>#REF!</v>
      </c>
      <c r="I47" s="637"/>
      <c r="J47" s="632" t="e">
        <f>IF(#REF!="","",#REF!)</f>
        <v>#REF!</v>
      </c>
      <c r="K47" s="637"/>
      <c r="L47" s="632" t="e">
        <f>IF(#REF!="","",#REF!)</f>
        <v>#REF!</v>
      </c>
      <c r="M47" s="637"/>
      <c r="N47" s="632" t="e">
        <f>IF(#REF!="","",#REF!)</f>
        <v>#REF!</v>
      </c>
      <c r="O47" s="637"/>
      <c r="P47" s="39"/>
      <c r="Q47" s="608" t="e">
        <f>IF(#REF!="","",#REF!)</f>
        <v>#REF!</v>
      </c>
      <c r="R47" s="609"/>
      <c r="S47" s="6"/>
    </row>
    <row r="48" spans="1:19" ht="12.75" customHeight="1" x14ac:dyDescent="0.2">
      <c r="A48" s="34" t="s">
        <v>39</v>
      </c>
      <c r="B48" s="35"/>
      <c r="C48" s="603" t="e">
        <f>IF(#REF!="","",#REF!)</f>
        <v>#REF!</v>
      </c>
      <c r="D48" s="605"/>
      <c r="E48" s="603" t="e">
        <f>IF(Q30="","",Q30)</f>
        <v>#REF!</v>
      </c>
      <c r="F48" s="604"/>
      <c r="G48" s="605"/>
      <c r="H48" s="632" t="e">
        <f>IF(#REF!="","",#REF!)</f>
        <v>#REF!</v>
      </c>
      <c r="I48" s="637"/>
      <c r="J48" s="632" t="e">
        <f>IF(#REF!="","",#REF!)</f>
        <v>#REF!</v>
      </c>
      <c r="K48" s="637"/>
      <c r="L48" s="632" t="e">
        <f>IF(#REF!="","",#REF!)</f>
        <v>#REF!</v>
      </c>
      <c r="M48" s="637"/>
      <c r="N48" s="632" t="e">
        <f>IF(#REF!="","",#REF!)</f>
        <v>#REF!</v>
      </c>
      <c r="O48" s="637"/>
      <c r="P48" s="39"/>
      <c r="Q48" s="608" t="e">
        <f>IF(#REF!="","",#REF!)</f>
        <v>#REF!</v>
      </c>
      <c r="R48" s="609"/>
      <c r="S48" s="6"/>
    </row>
    <row r="49" spans="1:19" ht="12.75" customHeight="1" x14ac:dyDescent="0.2">
      <c r="A49" s="34" t="s">
        <v>40</v>
      </c>
      <c r="B49" s="35"/>
      <c r="C49" s="603" t="e">
        <f>IF(#REF!="","",#REF!)</f>
        <v>#REF!</v>
      </c>
      <c r="D49" s="605"/>
      <c r="E49" s="603" t="e">
        <f>IF(#REF!="","",#REF!)</f>
        <v>#REF!</v>
      </c>
      <c r="F49" s="604"/>
      <c r="G49" s="605"/>
      <c r="H49" s="632" t="e">
        <f>IF(#REF!="","",#REF!)</f>
        <v>#REF!</v>
      </c>
      <c r="I49" s="637"/>
      <c r="J49" s="632" t="e">
        <f>IF(#REF!="","",#REF!)</f>
        <v>#REF!</v>
      </c>
      <c r="K49" s="637"/>
      <c r="L49" s="632" t="e">
        <f>IF(#REF!="","",#REF!)</f>
        <v>#REF!</v>
      </c>
      <c r="M49" s="637"/>
      <c r="N49" s="632" t="e">
        <f>IF(#REF!="","",#REF!)</f>
        <v>#REF!</v>
      </c>
      <c r="O49" s="637"/>
      <c r="P49" s="39"/>
      <c r="Q49" s="608" t="e">
        <f>IF(#REF!="","",#REF!)</f>
        <v>#REF!</v>
      </c>
      <c r="R49" s="609"/>
      <c r="S49" s="6"/>
    </row>
    <row r="50" spans="1:19" ht="12.75" customHeight="1" x14ac:dyDescent="0.2">
      <c r="A50" s="34" t="s">
        <v>41</v>
      </c>
      <c r="B50" s="35"/>
      <c r="C50" s="603" t="e">
        <f>IF(#REF!="","",#REF!)</f>
        <v>#REF!</v>
      </c>
      <c r="D50" s="605"/>
      <c r="E50" s="603" t="e">
        <f>IF(#REF!="","",#REF!)</f>
        <v>#REF!</v>
      </c>
      <c r="F50" s="604"/>
      <c r="G50" s="605"/>
      <c r="H50" s="632" t="e">
        <f>IF(#REF!="","",#REF!)</f>
        <v>#REF!</v>
      </c>
      <c r="I50" s="637"/>
      <c r="J50" s="632" t="e">
        <f>IF(#REF!="","",#REF!)</f>
        <v>#REF!</v>
      </c>
      <c r="K50" s="637"/>
      <c r="L50" s="632" t="e">
        <f>IF($O$39="","",$O$39)</f>
        <v>#REF!</v>
      </c>
      <c r="M50" s="637"/>
      <c r="N50" s="632" t="e">
        <f>IF($O$39="","",$O$39)</f>
        <v>#REF!</v>
      </c>
      <c r="O50" s="637"/>
      <c r="P50" s="39"/>
      <c r="Q50" s="608" t="e">
        <f>IF(#REF!="","",#REF!)</f>
        <v>#REF!</v>
      </c>
      <c r="R50" s="609"/>
      <c r="S50" s="6"/>
    </row>
    <row r="51" spans="1:19" ht="12.75" customHeight="1" x14ac:dyDescent="0.2">
      <c r="A51" s="34" t="s">
        <v>42</v>
      </c>
      <c r="B51" s="35"/>
      <c r="C51" s="603" t="e">
        <f>IF(#REF!="","",#REF!)</f>
        <v>#REF!</v>
      </c>
      <c r="D51" s="605"/>
      <c r="E51" s="603" t="e">
        <f>IF(#REF!="","",#REF!)</f>
        <v>#REF!</v>
      </c>
      <c r="F51" s="604"/>
      <c r="G51" s="605"/>
      <c r="H51" s="632" t="e">
        <f>IF(#REF!="","",#REF!)</f>
        <v>#REF!</v>
      </c>
      <c r="I51" s="637"/>
      <c r="J51" s="632" t="e">
        <f>IF(#REF!="","",#REF!)</f>
        <v>#REF!</v>
      </c>
      <c r="K51" s="637"/>
      <c r="L51" s="632" t="e">
        <f>IF(#REF!="","",#REF!)</f>
        <v>#REF!</v>
      </c>
      <c r="M51" s="637"/>
      <c r="N51" s="632" t="e">
        <f>IF(#REF!="","",#REF!)</f>
        <v>#REF!</v>
      </c>
      <c r="O51" s="637"/>
      <c r="P51" s="39"/>
      <c r="Q51" s="608" t="e">
        <f>IF(#REF!="","",#REF!)</f>
        <v>#REF!</v>
      </c>
      <c r="R51" s="609"/>
      <c r="S51" s="6"/>
    </row>
    <row r="52" spans="1:19" ht="12.75" customHeight="1" x14ac:dyDescent="0.2">
      <c r="A52" s="34" t="s">
        <v>43</v>
      </c>
      <c r="B52" s="35"/>
      <c r="C52" s="603" t="e">
        <f>IF(#REF!="","",#REF!)</f>
        <v>#REF!</v>
      </c>
      <c r="D52" s="605"/>
      <c r="E52" s="603" t="e">
        <f>IF(#REF!="","",#REF!)</f>
        <v>#REF!</v>
      </c>
      <c r="F52" s="604"/>
      <c r="G52" s="605"/>
      <c r="H52" s="632" t="e">
        <f>IF(#REF!="","",#REF!)</f>
        <v>#REF!</v>
      </c>
      <c r="I52" s="637"/>
      <c r="J52" s="632" t="e">
        <f>IF(#REF!="","",#REF!)</f>
        <v>#REF!</v>
      </c>
      <c r="K52" s="637"/>
      <c r="L52" s="632" t="e">
        <f>IF(#REF!="","",#REF!)</f>
        <v>#REF!</v>
      </c>
      <c r="M52" s="637"/>
      <c r="N52" s="632" t="e">
        <f>IF(#REF!="","",#REF!)</f>
        <v>#REF!</v>
      </c>
      <c r="O52" s="637"/>
      <c r="P52" s="39"/>
      <c r="Q52" s="608" t="e">
        <f>IF(#REF!="","",#REF!)</f>
        <v>#REF!</v>
      </c>
      <c r="R52" s="609"/>
      <c r="S52" s="6"/>
    </row>
    <row r="53" spans="1:19" ht="12.75" customHeight="1" x14ac:dyDescent="0.2">
      <c r="A53" s="34" t="s">
        <v>44</v>
      </c>
      <c r="B53" s="35"/>
      <c r="C53" s="603" t="str">
        <f>IF($Q$31="","",$Q$31)</f>
        <v/>
      </c>
      <c r="D53" s="605"/>
      <c r="E53" s="603" t="e">
        <f>IF($Q$30="","",$Q$30)</f>
        <v>#REF!</v>
      </c>
      <c r="F53" s="604"/>
      <c r="G53" s="605"/>
      <c r="H53" s="632" t="e">
        <f>IF($J$39="","",$J$39)</f>
        <v>#REF!</v>
      </c>
      <c r="I53" s="637"/>
      <c r="J53" s="632" t="e">
        <f>IF($C$39="","",$C$39)</f>
        <v>#REF!</v>
      </c>
      <c r="K53" s="637"/>
      <c r="L53" s="632" t="e">
        <f>IF($O$39="","",$O$39)</f>
        <v>#REF!</v>
      </c>
      <c r="M53" s="637"/>
      <c r="N53" s="632" t="e">
        <f>IF($N$39="","",$N$39)</f>
        <v>#REF!</v>
      </c>
      <c r="O53" s="637"/>
      <c r="P53" s="39"/>
      <c r="Q53" s="608" t="e">
        <f>IF($Q$39="","",$Q$39)</f>
        <v>#REF!</v>
      </c>
      <c r="R53" s="609"/>
      <c r="S53" s="6"/>
    </row>
    <row r="54" spans="1:19" ht="12.75" customHeight="1" x14ac:dyDescent="0.2">
      <c r="A54" s="34" t="s">
        <v>45</v>
      </c>
      <c r="B54" s="35"/>
      <c r="C54" s="603"/>
      <c r="D54" s="605"/>
      <c r="E54" s="603"/>
      <c r="F54" s="604"/>
      <c r="G54" s="605"/>
      <c r="H54" s="632"/>
      <c r="I54" s="637"/>
      <c r="J54" s="632"/>
      <c r="K54" s="637"/>
      <c r="L54" s="632"/>
      <c r="M54" s="637"/>
      <c r="N54" s="632"/>
      <c r="O54" s="609"/>
      <c r="P54" s="39"/>
      <c r="Q54" s="608"/>
      <c r="R54" s="609"/>
      <c r="S54" s="6"/>
    </row>
    <row r="55" spans="1:19" ht="13.5" customHeight="1" thickBot="1" x14ac:dyDescent="0.25">
      <c r="A55" s="36" t="s">
        <v>46</v>
      </c>
      <c r="B55" s="37"/>
      <c r="C55" s="700"/>
      <c r="D55" s="701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39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0">IF(ISERROR((G30/G32)/100),"",(G30/G32)/100)</f>
        <v/>
      </c>
      <c r="H79" s="144" t="str">
        <f t="shared" si="10"/>
        <v/>
      </c>
      <c r="I79" s="148" t="str">
        <f t="shared" si="10"/>
        <v/>
      </c>
      <c r="J79" s="143" t="str">
        <f t="shared" si="10"/>
        <v/>
      </c>
      <c r="K79" s="144" t="str">
        <f t="shared" si="10"/>
        <v/>
      </c>
      <c r="L79" s="144" t="str">
        <f t="shared" si="10"/>
        <v/>
      </c>
      <c r="M79" s="149" t="str">
        <f t="shared" si="10"/>
        <v/>
      </c>
      <c r="N79" s="150" t="str">
        <f t="shared" si="10"/>
        <v/>
      </c>
      <c r="O79" s="146" t="str">
        <f t="shared" si="10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1">IF(ISERROR(((G32-G$76)*100)*G79),"",((G32-G$76)*100)*G79)</f>
        <v/>
      </c>
      <c r="H80" s="159" t="str">
        <f t="shared" si="11"/>
        <v/>
      </c>
      <c r="I80" s="163" t="str">
        <f t="shared" si="11"/>
        <v/>
      </c>
      <c r="J80" s="158" t="str">
        <f t="shared" si="11"/>
        <v/>
      </c>
      <c r="K80" s="159" t="str">
        <f t="shared" si="11"/>
        <v/>
      </c>
      <c r="L80" s="159" t="str">
        <f t="shared" si="11"/>
        <v/>
      </c>
      <c r="M80" s="163" t="str">
        <f t="shared" si="11"/>
        <v/>
      </c>
      <c r="N80" s="164" t="str">
        <f t="shared" si="11"/>
        <v/>
      </c>
      <c r="O80" s="165" t="str">
        <f t="shared" si="11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2">IF(ISERROR((G34/G36)/100),"",(G34/G36)/100)</f>
        <v/>
      </c>
      <c r="H82" s="144" t="str">
        <f t="shared" si="12"/>
        <v/>
      </c>
      <c r="I82" s="148" t="str">
        <f t="shared" si="12"/>
        <v/>
      </c>
      <c r="J82" s="143" t="str">
        <f t="shared" si="12"/>
        <v/>
      </c>
      <c r="K82" s="144" t="str">
        <f t="shared" si="12"/>
        <v/>
      </c>
      <c r="L82" s="144" t="str">
        <f t="shared" si="12"/>
        <v/>
      </c>
      <c r="M82" s="149" t="str">
        <f t="shared" si="12"/>
        <v/>
      </c>
      <c r="N82" s="150" t="str">
        <f t="shared" si="12"/>
        <v/>
      </c>
      <c r="O82" s="146" t="str">
        <f t="shared" si="12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3">IF(ISERROR(((G36-G$76)*100)*G82),"",((G36-G$76)*100)*G82)</f>
        <v/>
      </c>
      <c r="H83" s="159" t="str">
        <f t="shared" si="13"/>
        <v/>
      </c>
      <c r="I83" s="163" t="str">
        <f t="shared" si="13"/>
        <v/>
      </c>
      <c r="J83" s="158" t="str">
        <f t="shared" si="13"/>
        <v/>
      </c>
      <c r="K83" s="159" t="str">
        <f t="shared" si="13"/>
        <v/>
      </c>
      <c r="L83" s="159" t="str">
        <f t="shared" si="13"/>
        <v/>
      </c>
      <c r="M83" s="163" t="str">
        <f t="shared" si="13"/>
        <v/>
      </c>
      <c r="N83" s="164" t="str">
        <f t="shared" si="13"/>
        <v/>
      </c>
      <c r="O83" s="165" t="str">
        <f t="shared" si="13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45">
    <mergeCell ref="Q49:R49"/>
    <mergeCell ref="N46:O46"/>
    <mergeCell ref="N47:O47"/>
    <mergeCell ref="N48:O48"/>
    <mergeCell ref="N49:O49"/>
    <mergeCell ref="L51:M51"/>
    <mergeCell ref="Q82:R82"/>
    <mergeCell ref="Q83:R83"/>
    <mergeCell ref="A77:B78"/>
    <mergeCell ref="O77:O78"/>
    <mergeCell ref="Q77:Q78"/>
    <mergeCell ref="R77:R78"/>
    <mergeCell ref="Q80:R80"/>
    <mergeCell ref="N77:N78"/>
    <mergeCell ref="Q76:R76"/>
    <mergeCell ref="Q79:R79"/>
    <mergeCell ref="C77:C78"/>
    <mergeCell ref="D77:D78"/>
    <mergeCell ref="E77:E78"/>
    <mergeCell ref="G77:G78"/>
    <mergeCell ref="H77:H78"/>
    <mergeCell ref="I77:I78"/>
    <mergeCell ref="J77:J78"/>
    <mergeCell ref="M77:M78"/>
    <mergeCell ref="Q51:R51"/>
    <mergeCell ref="N54:O54"/>
    <mergeCell ref="N55:O55"/>
    <mergeCell ref="J52:K52"/>
    <mergeCell ref="J53:K53"/>
    <mergeCell ref="J54:K54"/>
    <mergeCell ref="J55:K55"/>
    <mergeCell ref="L52:M52"/>
    <mergeCell ref="L53:M53"/>
    <mergeCell ref="N52:O52"/>
    <mergeCell ref="N53:O53"/>
    <mergeCell ref="N51:O51"/>
    <mergeCell ref="Q52:R52"/>
    <mergeCell ref="Q53:R53"/>
    <mergeCell ref="Q54:R54"/>
    <mergeCell ref="Q55:R55"/>
    <mergeCell ref="H53:I53"/>
    <mergeCell ref="H54:I54"/>
    <mergeCell ref="H55:I55"/>
    <mergeCell ref="L54:M54"/>
    <mergeCell ref="L55:M55"/>
    <mergeCell ref="H46:I46"/>
    <mergeCell ref="H47:I47"/>
    <mergeCell ref="H48:I48"/>
    <mergeCell ref="H49:I49"/>
    <mergeCell ref="H50:I50"/>
    <mergeCell ref="H51:I51"/>
    <mergeCell ref="J50:K50"/>
    <mergeCell ref="J51:K51"/>
    <mergeCell ref="L46:M46"/>
    <mergeCell ref="L47:M47"/>
    <mergeCell ref="J46:K46"/>
    <mergeCell ref="J47:K47"/>
    <mergeCell ref="J48:K48"/>
    <mergeCell ref="J49:K49"/>
    <mergeCell ref="H52:I52"/>
    <mergeCell ref="C53:D53"/>
    <mergeCell ref="C54:D54"/>
    <mergeCell ref="C55:D55"/>
    <mergeCell ref="E49:G49"/>
    <mergeCell ref="E50:G50"/>
    <mergeCell ref="E51:G51"/>
    <mergeCell ref="E52:G52"/>
    <mergeCell ref="E53:G53"/>
    <mergeCell ref="E54:G54"/>
    <mergeCell ref="E55:G55"/>
    <mergeCell ref="C51:D51"/>
    <mergeCell ref="C52:D52"/>
    <mergeCell ref="C50:D50"/>
    <mergeCell ref="A42:B42"/>
    <mergeCell ref="A43:B43"/>
    <mergeCell ref="C44:D44"/>
    <mergeCell ref="C45:D45"/>
    <mergeCell ref="C42:D43"/>
    <mergeCell ref="H42:I43"/>
    <mergeCell ref="G2:G3"/>
    <mergeCell ref="J2:J3"/>
    <mergeCell ref="H2:H3"/>
    <mergeCell ref="I2:I3"/>
    <mergeCell ref="E42:G42"/>
    <mergeCell ref="E43:G43"/>
    <mergeCell ref="H44:I44"/>
    <mergeCell ref="H45:I45"/>
    <mergeCell ref="E44:G44"/>
    <mergeCell ref="E45:G45"/>
    <mergeCell ref="J40:M40"/>
    <mergeCell ref="J38:M38"/>
    <mergeCell ref="C39:E39"/>
    <mergeCell ref="C40:E40"/>
    <mergeCell ref="C38:E38"/>
    <mergeCell ref="G39:I39"/>
    <mergeCell ref="C2:C3"/>
    <mergeCell ref="G38:I38"/>
    <mergeCell ref="Q1:R1"/>
    <mergeCell ref="Q39:R39"/>
    <mergeCell ref="O2:O3"/>
    <mergeCell ref="M2:M3"/>
    <mergeCell ref="J39:M39"/>
    <mergeCell ref="N2:N3"/>
    <mergeCell ref="G1:O1"/>
    <mergeCell ref="G40:I40"/>
    <mergeCell ref="C46:D46"/>
    <mergeCell ref="N45:O45"/>
    <mergeCell ref="Q31:R31"/>
    <mergeCell ref="Q32:R32"/>
    <mergeCell ref="Q45:R45"/>
    <mergeCell ref="L45:M45"/>
    <mergeCell ref="L44:M44"/>
    <mergeCell ref="N44:O44"/>
    <mergeCell ref="Q2:Q3"/>
    <mergeCell ref="R2:R3"/>
    <mergeCell ref="L42:M43"/>
    <mergeCell ref="N42:O43"/>
    <mergeCell ref="Q38:R38"/>
    <mergeCell ref="Q30:R30"/>
    <mergeCell ref="Q44:R44"/>
    <mergeCell ref="C1:E1"/>
    <mergeCell ref="D2:D3"/>
    <mergeCell ref="E2:E3"/>
    <mergeCell ref="C47:D47"/>
    <mergeCell ref="C48:D48"/>
    <mergeCell ref="C49:D49"/>
    <mergeCell ref="L48:M48"/>
    <mergeCell ref="L49:M49"/>
    <mergeCell ref="L50:M50"/>
    <mergeCell ref="Q34:R34"/>
    <mergeCell ref="Q35:R35"/>
    <mergeCell ref="Q36:R36"/>
    <mergeCell ref="Q40:R40"/>
    <mergeCell ref="J42:K43"/>
    <mergeCell ref="Q42:R43"/>
    <mergeCell ref="E46:G46"/>
    <mergeCell ref="E47:G47"/>
    <mergeCell ref="E48:G48"/>
    <mergeCell ref="Q50:R50"/>
    <mergeCell ref="N50:O50"/>
    <mergeCell ref="J44:K44"/>
    <mergeCell ref="J45:K45"/>
    <mergeCell ref="Q46:R46"/>
    <mergeCell ref="Q47:R47"/>
    <mergeCell ref="Q48:R48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65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>
    <tabColor indexed="52"/>
    <pageSetUpPr fitToPage="1"/>
  </sheetPr>
  <dimension ref="A1:S84"/>
  <sheetViews>
    <sheetView showGridLines="0" zoomScale="80" workbookViewId="0">
      <pane ySplit="3" topLeftCell="A43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8.85546875" style="3" bestFit="1" customWidth="1"/>
    <col min="6" max="6" width="1.28515625" style="6" customWidth="1"/>
    <col min="7" max="7" width="7.7109375" style="3" customWidth="1"/>
    <col min="8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7.140625" style="3" bestFit="1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>IF(SUM(C5:D5)=0,"",SUM(C5:D5))</f>
        <v>#REF!</v>
      </c>
      <c r="F5" s="7"/>
      <c r="G5" s="24" t="e">
        <f>IF(#REF!="","",#REF!)</f>
        <v>#REF!</v>
      </c>
      <c r="H5" s="23" t="e">
        <f>IF(#REF!="","",#REF!)</f>
        <v>#REF!</v>
      </c>
      <c r="I5" s="116" t="e">
        <f>IF(SUM(G5:H5)=0,"",SUM(G5:H5))</f>
        <v>#REF!</v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41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/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/>
      <c r="D7" s="21"/>
      <c r="E7" s="27" t="str">
        <f>IF(SUM(C7:D7)=0,"",SUM(C7:D7))</f>
        <v/>
      </c>
      <c r="F7" s="7"/>
      <c r="G7" s="22"/>
      <c r="H7" s="21"/>
      <c r="I7" s="116" t="str">
        <f>IF(SUM(G7:H7)=0,"",SUM(G7:H7))</f>
        <v/>
      </c>
      <c r="J7" s="22"/>
      <c r="K7" s="21"/>
      <c r="L7" s="21"/>
      <c r="M7" s="116" t="str">
        <f>IF(SUM(J7:L7)=0,"",SUM(J7:L7))</f>
        <v/>
      </c>
      <c r="N7" s="43"/>
      <c r="O7" s="45" t="str">
        <f>IF(SUM(I7,M7,N7)=0,"",SUM(I7,M7,N7))</f>
        <v/>
      </c>
      <c r="P7" s="9"/>
      <c r="Q7" s="134" t="str">
        <f>IF(SUM(E7,O7)=0,"",SUM(E7,O7))</f>
        <v/>
      </c>
      <c r="R7" s="112"/>
    </row>
    <row r="8" spans="1:18" x14ac:dyDescent="0.2">
      <c r="A8" s="88"/>
      <c r="B8" s="103" t="s">
        <v>12</v>
      </c>
      <c r="C8" s="22"/>
      <c r="D8" s="21"/>
      <c r="E8" s="27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>IF(SUM(C9:D9)=0,"",SUM(C9:D9))</f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 t="e">
        <f>IF(#REF!="","",-#REF!)</f>
        <v>#REF!</v>
      </c>
      <c r="L9" s="23" t="e">
        <f>IF(#REF!="","",-#REF!)</f>
        <v>#REF!</v>
      </c>
      <c r="M9" s="116" t="e">
        <f>IF(SUM(J9:L9)=0,"",SUM(J9:L9))</f>
        <v>#REF!</v>
      </c>
      <c r="N9" s="41" t="e">
        <f>IF(#REF!="","",-#REF!)</f>
        <v>#REF!</v>
      </c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>IF(SUM(C10:D10)=0,"",SUM(C10:D10))</f>
        <v/>
      </c>
      <c r="F10" s="7"/>
      <c r="G10" s="22"/>
      <c r="H10" s="21"/>
      <c r="I10" s="116" t="str">
        <f>IF(SUM(G10:H10)=0,"",SUM(G10:H10))</f>
        <v/>
      </c>
      <c r="J10" s="22"/>
      <c r="K10" s="21"/>
      <c r="L10" s="21"/>
      <c r="M10" s="116" t="str">
        <f>IF(SUM(J10:L10)=0,"",SUM(J10:L10))</f>
        <v/>
      </c>
      <c r="N10" s="43"/>
      <c r="O10" s="45" t="str">
        <f>IF(SUM(I10,M10,N10)=0,"",SUM(I10,M10,N10))</f>
        <v/>
      </c>
      <c r="P10" s="9"/>
      <c r="Q10" s="134" t="str">
        <f>IF(SUM(E10,O10)=0,"",SUM(E10,O10))</f>
        <v/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>IF(SUM(C11:D11)=0,"",SUM(C11:D11))</f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 t="e">
        <f>IF(SUM(K7:K10)=0,"",SUM(K7:K10))</f>
        <v>#REF!</v>
      </c>
      <c r="L11" s="25" t="e">
        <f>IF(SUM(L7:L10)=0,"",SUM(L7:L10))</f>
        <v>#REF!</v>
      </c>
      <c r="M11" s="116" t="e">
        <f>IF(SUM(J11:L11)=0,"",SUM(J11:L11))</f>
        <v>#REF!</v>
      </c>
      <c r="N11" s="28" t="e">
        <f>IF(SUM(N7:N10)=0,"",SUM(N7:N10))</f>
        <v>#REF!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0">IF(AND(G5="",G11=""),"",SUM(G5,G11))</f>
        <v>#REF!</v>
      </c>
      <c r="H13" s="11" t="e">
        <f t="shared" si="0"/>
        <v>#REF!</v>
      </c>
      <c r="I13" s="117" t="e">
        <f t="shared" si="0"/>
        <v>#REF!</v>
      </c>
      <c r="J13" s="14" t="e">
        <f t="shared" si="0"/>
        <v>#REF!</v>
      </c>
      <c r="K13" s="11" t="e">
        <f t="shared" si="0"/>
        <v>#REF!</v>
      </c>
      <c r="L13" s="11" t="e">
        <f t="shared" si="0"/>
        <v>#REF!</v>
      </c>
      <c r="M13" s="118" t="e">
        <f t="shared" si="0"/>
        <v>#REF!</v>
      </c>
      <c r="N13" s="46" t="e">
        <f t="shared" si="0"/>
        <v>#REF!</v>
      </c>
      <c r="O13" s="47" t="e">
        <f t="shared" si="0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/>
      <c r="D16" s="21"/>
      <c r="E16" s="27" t="str">
        <f>IF(SUM(C16:D16)=0,"",SUM(C16:D16))</f>
        <v/>
      </c>
      <c r="F16" s="7"/>
      <c r="G16" s="22"/>
      <c r="H16" s="21"/>
      <c r="I16" s="116" t="str">
        <f>IF(SUM(G16:H16)=0,"",SUM(G16:H16))</f>
        <v/>
      </c>
      <c r="J16" s="22"/>
      <c r="K16" s="21"/>
      <c r="L16" s="21"/>
      <c r="M16" s="116" t="str">
        <f>IF(SUM(J16:L16)=0,"",SUM(J16:L16))</f>
        <v/>
      </c>
      <c r="N16" s="43"/>
      <c r="O16" s="45" t="str">
        <f>IF(SUM(I16,M16,N16)=0,"",SUM(I16,M16,N16))</f>
        <v/>
      </c>
      <c r="P16" s="9"/>
      <c r="Q16" s="134" t="str">
        <f>IF(SUM(E16,O16)=0,"",SUM(E16,O16))</f>
        <v/>
      </c>
      <c r="R16" s="112" t="str">
        <f>IF(Q16="","",Q16/Q$28)</f>
        <v/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20"/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/>
      <c r="D18" s="21"/>
      <c r="E18" s="27" t="str">
        <f t="shared" ref="E18:E26" si="1">IF(SUM(C18:D18)=0,"",SUM(C18:D18))</f>
        <v/>
      </c>
      <c r="F18" s="7"/>
      <c r="G18" s="22"/>
      <c r="H18" s="21"/>
      <c r="I18" s="116" t="str">
        <f t="shared" ref="I18:I26" si="2">IF(SUM(G18:H18)=0,"",SUM(G18:H18))</f>
        <v/>
      </c>
      <c r="J18" s="22"/>
      <c r="K18" s="21"/>
      <c r="L18" s="21"/>
      <c r="M18" s="116" t="str">
        <f t="shared" ref="M18:M26" si="3">IF(SUM(J18:L18)=0,"",SUM(J18:L18))</f>
        <v/>
      </c>
      <c r="N18" s="43"/>
      <c r="O18" s="45" t="str">
        <f t="shared" ref="O18:O26" si="4">IF(SUM(I18,M18,N18)=0,"",SUM(I18,M18,N18))</f>
        <v/>
      </c>
      <c r="P18" s="9"/>
      <c r="Q18" s="134" t="str">
        <f t="shared" ref="Q18:Q26" si="5">IF(SUM(E18,O18)=0,"",SUM(E18,O18))</f>
        <v/>
      </c>
      <c r="R18" s="112" t="str">
        <f t="shared" ref="R18:R26" si="6">IF(Q18="","",Q18/Q$28)</f>
        <v/>
      </c>
    </row>
    <row r="19" spans="1:18" x14ac:dyDescent="0.2">
      <c r="A19" s="88"/>
      <c r="B19" s="103" t="s">
        <v>20</v>
      </c>
      <c r="C19" s="22"/>
      <c r="D19" s="21"/>
      <c r="E19" s="27" t="str">
        <f t="shared" si="1"/>
        <v/>
      </c>
      <c r="F19" s="7"/>
      <c r="G19" s="22"/>
      <c r="H19" s="21"/>
      <c r="I19" s="116" t="str">
        <f t="shared" si="2"/>
        <v/>
      </c>
      <c r="J19" s="22"/>
      <c r="K19" s="21"/>
      <c r="L19" s="21"/>
      <c r="M19" s="116" t="str">
        <f t="shared" si="3"/>
        <v/>
      </c>
      <c r="N19" s="43"/>
      <c r="O19" s="45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21</v>
      </c>
      <c r="C20" s="22"/>
      <c r="D20" s="21"/>
      <c r="E20" s="27" t="str">
        <f t="shared" si="1"/>
        <v/>
      </c>
      <c r="F20" s="7"/>
      <c r="G20" s="22"/>
      <c r="H20" s="21"/>
      <c r="I20" s="116" t="str">
        <f t="shared" si="2"/>
        <v/>
      </c>
      <c r="J20" s="22"/>
      <c r="K20" s="21"/>
      <c r="L20" s="21"/>
      <c r="M20" s="116" t="str">
        <f t="shared" si="3"/>
        <v/>
      </c>
      <c r="N20" s="43"/>
      <c r="O20" s="45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1"/>
        <v/>
      </c>
      <c r="F21" s="7"/>
      <c r="G21" s="22"/>
      <c r="H21" s="21"/>
      <c r="I21" s="116" t="str">
        <f t="shared" si="2"/>
        <v/>
      </c>
      <c r="J21" s="22"/>
      <c r="K21" s="21"/>
      <c r="L21" s="21"/>
      <c r="M21" s="116" t="str">
        <f t="shared" si="3"/>
        <v/>
      </c>
      <c r="N21" s="43"/>
      <c r="O21" s="45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23</v>
      </c>
      <c r="C22" s="22"/>
      <c r="D22" s="21"/>
      <c r="E22" s="27" t="str">
        <f t="shared" si="1"/>
        <v/>
      </c>
      <c r="F22" s="7"/>
      <c r="G22" s="22"/>
      <c r="H22" s="21"/>
      <c r="I22" s="116" t="str">
        <f t="shared" si="2"/>
        <v/>
      </c>
      <c r="J22" s="22"/>
      <c r="K22" s="21"/>
      <c r="L22" s="21"/>
      <c r="M22" s="116" t="str">
        <f t="shared" si="3"/>
        <v/>
      </c>
      <c r="N22" s="43"/>
      <c r="O22" s="45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50</v>
      </c>
      <c r="C23" s="22"/>
      <c r="D23" s="21"/>
      <c r="E23" s="27" t="str">
        <f t="shared" si="1"/>
        <v/>
      </c>
      <c r="F23" s="7"/>
      <c r="G23" s="22"/>
      <c r="H23" s="21"/>
      <c r="I23" s="116" t="str">
        <f t="shared" si="2"/>
        <v/>
      </c>
      <c r="J23" s="22"/>
      <c r="K23" s="21"/>
      <c r="L23" s="21"/>
      <c r="M23" s="116" t="str">
        <f t="shared" si="3"/>
        <v/>
      </c>
      <c r="N23" s="43"/>
      <c r="O23" s="45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1"/>
        <v/>
      </c>
      <c r="F24" s="7"/>
      <c r="G24" s="22"/>
      <c r="H24" s="21"/>
      <c r="I24" s="116" t="str">
        <f t="shared" si="2"/>
        <v/>
      </c>
      <c r="J24" s="22"/>
      <c r="K24" s="21"/>
      <c r="L24" s="21"/>
      <c r="M24" s="116" t="str">
        <f t="shared" si="3"/>
        <v/>
      </c>
      <c r="N24" s="43"/>
      <c r="O24" s="45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1"/>
        <v/>
      </c>
      <c r="F25" s="7"/>
      <c r="G25" s="22"/>
      <c r="H25" s="21"/>
      <c r="I25" s="116" t="str">
        <f t="shared" si="2"/>
        <v/>
      </c>
      <c r="J25" s="22"/>
      <c r="K25" s="21"/>
      <c r="L25" s="21"/>
      <c r="M25" s="116" t="str">
        <f t="shared" si="3"/>
        <v/>
      </c>
      <c r="N25" s="43"/>
      <c r="O25" s="45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/>
      <c r="D26" s="21"/>
      <c r="E26" s="27" t="str">
        <f t="shared" si="1"/>
        <v/>
      </c>
      <c r="F26" s="7"/>
      <c r="G26" s="22"/>
      <c r="H26" s="21"/>
      <c r="I26" s="116" t="str">
        <f t="shared" si="2"/>
        <v/>
      </c>
      <c r="J26" s="22"/>
      <c r="K26" s="21"/>
      <c r="L26" s="21"/>
      <c r="M26" s="116" t="str">
        <f t="shared" si="3"/>
        <v/>
      </c>
      <c r="N26" s="43"/>
      <c r="O26" s="45" t="str">
        <f t="shared" si="4"/>
        <v/>
      </c>
      <c r="P26" s="9"/>
      <c r="Q26" s="134" t="str">
        <f t="shared" si="5"/>
        <v/>
      </c>
      <c r="R26" s="112" t="str">
        <f t="shared" si="6"/>
        <v/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0</v>
      </c>
      <c r="D28" s="14">
        <f>SUM(D16:D27)</f>
        <v>0</v>
      </c>
      <c r="E28" s="14">
        <f>SUM(E16:E27)</f>
        <v>0</v>
      </c>
      <c r="F28" s="119"/>
      <c r="G28" s="14">
        <f>SUM(G16:G27)</f>
        <v>0</v>
      </c>
      <c r="H28" s="14">
        <f>SUM(H16:H27)</f>
        <v>0</v>
      </c>
      <c r="I28" s="14">
        <f>SUM(I16:I27)</f>
        <v>0</v>
      </c>
      <c r="J28" s="14">
        <f>SUM(J16:J27)</f>
        <v>0</v>
      </c>
      <c r="K28" s="14">
        <f t="shared" ref="K28:Q28" si="7">SUM(K16:K27)</f>
        <v>0</v>
      </c>
      <c r="L28" s="14">
        <f t="shared" si="7"/>
        <v>0</v>
      </c>
      <c r="M28" s="176">
        <f t="shared" si="7"/>
        <v>0</v>
      </c>
      <c r="N28" s="175" t="str">
        <f>IF(SUM(N16:N27)=0,"",SUM(N16:N27))</f>
        <v/>
      </c>
      <c r="O28" s="14">
        <f t="shared" si="7"/>
        <v>0</v>
      </c>
      <c r="P28" s="9"/>
      <c r="Q28" s="137">
        <f t="shared" si="7"/>
        <v>0</v>
      </c>
      <c r="R28" s="136" t="e">
        <f>IF(Q28="","",Q28/Q$28)</f>
        <v>#DIV/0!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/>
      <c r="D31" s="123"/>
      <c r="E31" s="60" t="str">
        <f>IF(SUM(C31:D31)=0,"",SUM(C31:D31))</f>
        <v/>
      </c>
      <c r="F31" s="7"/>
      <c r="G31" s="124"/>
      <c r="H31" s="123"/>
      <c r="I31" s="69" t="str">
        <f>IF(SUM(G31:H31)=0,"",SUM(G31:H31))</f>
        <v/>
      </c>
      <c r="J31" s="125"/>
      <c r="K31" s="123"/>
      <c r="L31" s="123"/>
      <c r="M31" s="72" t="str">
        <f>IF(SUM(J31:L31)=0,"",SUM(J31:L31))</f>
        <v/>
      </c>
      <c r="N31" s="126"/>
      <c r="O31" s="129" t="str">
        <f>IF(SUM(I31,M31,N31)=0,"",SUM(I31,M31,N31))</f>
        <v/>
      </c>
      <c r="Q31" s="664" t="str">
        <f>IF(SUM(E31,O31)=0,"",SUM(E31,O31))</f>
        <v/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8">IF(OR(G30="",G31=""),"",G30/G31)</f>
        <v>#REF!</v>
      </c>
      <c r="H32" s="61" t="e">
        <f t="shared" si="8"/>
        <v>#REF!</v>
      </c>
      <c r="I32" s="70" t="e">
        <f t="shared" si="8"/>
        <v>#REF!</v>
      </c>
      <c r="J32" s="73" t="e">
        <f t="shared" si="8"/>
        <v>#REF!</v>
      </c>
      <c r="K32" s="61" t="e">
        <f t="shared" si="8"/>
        <v>#REF!</v>
      </c>
      <c r="L32" s="61" t="e">
        <f t="shared" si="8"/>
        <v>#REF!</v>
      </c>
      <c r="M32" s="70" t="e">
        <f t="shared" si="8"/>
        <v>#REF!</v>
      </c>
      <c r="N32" s="85" t="e">
        <f t="shared" si="8"/>
        <v>#REF!</v>
      </c>
      <c r="O32" s="128" t="e">
        <f t="shared" si="8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IF(OR(C30="",ISERROR(#REF!+C30)),"",#REF!+C30)</f>
        <v>#REF!</v>
      </c>
      <c r="D34" s="57" t="e">
        <f>IF(OR(D30="",ISERROR(#REF!+D30)),"",#REF!+D30)</f>
        <v>#REF!</v>
      </c>
      <c r="E34" s="58" t="e">
        <f>IF(SUM(C34:D34)=0,"",SUM(C34:D34))</f>
        <v>#REF!</v>
      </c>
      <c r="F34" s="7"/>
      <c r="G34" s="65" t="e">
        <f>IF(OR(G30="",ISERROR(#REF!+G30)),"",#REF!+G30)</f>
        <v>#REF!</v>
      </c>
      <c r="H34" s="57" t="e">
        <f>IF(OR(H30="",ISERROR(#REF!+H30)),"",#REF!+H30)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IF(OR(K30="",ISERROR(#REF!+K30)),"",#REF!+K30)</f>
        <v>#REF!</v>
      </c>
      <c r="L34" s="57" t="e">
        <f>IF(OR(L30="",ISERROR(#REF!+L30)),"",#REF!+L30)</f>
        <v>#REF!</v>
      </c>
      <c r="M34" s="71" t="e">
        <f>IF(SUM(J34:L34)=0,"",SUM(J34:L34))</f>
        <v>#REF!</v>
      </c>
      <c r="N34" s="83" t="e">
        <f>IF(OR(N30="",ISERROR(#REF!+N30)),"",#REF!+N30)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9">IF(ISERROR(G34/G35),"",G34/G35)</f>
        <v/>
      </c>
      <c r="H36" s="61" t="str">
        <f t="shared" si="9"/>
        <v/>
      </c>
      <c r="I36" s="70" t="str">
        <f t="shared" si="9"/>
        <v/>
      </c>
      <c r="J36" s="73" t="str">
        <f t="shared" si="9"/>
        <v/>
      </c>
      <c r="K36" s="61" t="str">
        <f t="shared" si="9"/>
        <v/>
      </c>
      <c r="L36" s="61" t="str">
        <f t="shared" si="9"/>
        <v/>
      </c>
      <c r="M36" s="70" t="str">
        <f t="shared" si="9"/>
        <v/>
      </c>
      <c r="N36" s="85" t="str">
        <f t="shared" si="9"/>
        <v/>
      </c>
      <c r="O36" s="128" t="str">
        <f t="shared" si="9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#REF!</v>
      </c>
      <c r="D39" s="655"/>
      <c r="E39" s="594"/>
      <c r="F39" s="29"/>
      <c r="G39" s="626" t="e">
        <f>IF(I32="","",I32)</f>
        <v>#REF!</v>
      </c>
      <c r="H39" s="626"/>
      <c r="I39" s="626"/>
      <c r="J39" s="626" t="e">
        <f>IF(M32="","",M32)</f>
        <v>#REF!</v>
      </c>
      <c r="K39" s="626"/>
      <c r="L39" s="626"/>
      <c r="M39" s="626"/>
      <c r="N39" s="80" t="e">
        <f>N32</f>
        <v>#REF!</v>
      </c>
      <c r="O39" s="80" t="e">
        <f>IF(O32="","",O32)</f>
        <v>#REF!</v>
      </c>
      <c r="P39" s="30"/>
      <c r="Q39" s="593" t="e">
        <f>IF(Q32="","",Q32)</f>
        <v>#REF!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32" t="s">
        <v>35</v>
      </c>
      <c r="B44" s="33"/>
      <c r="C44" s="606" t="e">
        <f>IF(#REF!="","",#REF!)</f>
        <v>#REF!</v>
      </c>
      <c r="D44" s="607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60"/>
      <c r="P44" s="39"/>
      <c r="Q44" s="657" t="e">
        <f>IF(#REF!="","",#REF!)</f>
        <v>#REF!</v>
      </c>
      <c r="R44" s="658"/>
      <c r="S44" s="6"/>
    </row>
    <row r="45" spans="1:19" ht="12.75" customHeight="1" x14ac:dyDescent="0.2">
      <c r="A45" s="34" t="s">
        <v>36</v>
      </c>
      <c r="B45" s="35"/>
      <c r="C45" s="603" t="e">
        <f>IF(#REF!="","",#REF!)</f>
        <v>#REF!</v>
      </c>
      <c r="D45" s="605"/>
      <c r="E45" s="603" t="e">
        <f>IF(#REF!="","",#REF!)</f>
        <v>#REF!</v>
      </c>
      <c r="F45" s="604"/>
      <c r="G45" s="605"/>
      <c r="H45" s="632" t="e">
        <f>IF(#REF!="","",#REF!)</f>
        <v>#REF!</v>
      </c>
      <c r="I45" s="637"/>
      <c r="J45" s="632" t="e">
        <f>IF(#REF!="","",#REF!)</f>
        <v>#REF!</v>
      </c>
      <c r="K45" s="637"/>
      <c r="L45" s="632" t="e">
        <f>IF(#REF!="","",#REF!)</f>
        <v>#REF!</v>
      </c>
      <c r="M45" s="637"/>
      <c r="N45" s="632" t="e">
        <f>IF(#REF!="","",#REF!)</f>
        <v>#REF!</v>
      </c>
      <c r="O45" s="637"/>
      <c r="P45" s="39"/>
      <c r="Q45" s="608" t="e">
        <f>IF(#REF!="","",#REF!)</f>
        <v>#REF!</v>
      </c>
      <c r="R45" s="609"/>
      <c r="S45" s="6"/>
    </row>
    <row r="46" spans="1:19" ht="12.75" customHeight="1" x14ac:dyDescent="0.2">
      <c r="A46" s="34" t="s">
        <v>37</v>
      </c>
      <c r="B46" s="35"/>
      <c r="C46" s="603" t="e">
        <f>IF(#REF!="","",#REF!)</f>
        <v>#REF!</v>
      </c>
      <c r="D46" s="605"/>
      <c r="E46" s="603" t="e">
        <f>IF(#REF!="","",#REF!)</f>
        <v>#REF!</v>
      </c>
      <c r="F46" s="604"/>
      <c r="G46" s="605"/>
      <c r="H46" s="632" t="e">
        <f>IF(#REF!="","",#REF!)</f>
        <v>#REF!</v>
      </c>
      <c r="I46" s="637"/>
      <c r="J46" s="632" t="e">
        <f>IF(#REF!="","",#REF!)</f>
        <v>#REF!</v>
      </c>
      <c r="K46" s="637"/>
      <c r="L46" s="632" t="e">
        <f>IF(#REF!="","",#REF!)</f>
        <v>#REF!</v>
      </c>
      <c r="M46" s="637"/>
      <c r="N46" s="632" t="e">
        <f>IF(#REF!="","",#REF!)</f>
        <v>#REF!</v>
      </c>
      <c r="O46" s="637"/>
      <c r="P46" s="39"/>
      <c r="Q46" s="608" t="e">
        <f>IF(#REF!="","",#REF!)</f>
        <v>#REF!</v>
      </c>
      <c r="R46" s="609"/>
      <c r="S46" s="6"/>
    </row>
    <row r="47" spans="1:19" ht="12.75" customHeight="1" x14ac:dyDescent="0.2">
      <c r="A47" s="34" t="s">
        <v>38</v>
      </c>
      <c r="B47" s="35"/>
      <c r="C47" s="603" t="e">
        <f>IF(#REF!="","",#REF!)</f>
        <v>#REF!</v>
      </c>
      <c r="D47" s="605"/>
      <c r="E47" s="603" t="e">
        <f>IF(#REF!="","",#REF!)</f>
        <v>#REF!</v>
      </c>
      <c r="F47" s="604"/>
      <c r="G47" s="605"/>
      <c r="H47" s="632" t="e">
        <f>IF(#REF!="","",#REF!)</f>
        <v>#REF!</v>
      </c>
      <c r="I47" s="637"/>
      <c r="J47" s="632" t="e">
        <f>IF(#REF!="","",#REF!)</f>
        <v>#REF!</v>
      </c>
      <c r="K47" s="637"/>
      <c r="L47" s="632" t="e">
        <f>IF(#REF!="","",#REF!)</f>
        <v>#REF!</v>
      </c>
      <c r="M47" s="637"/>
      <c r="N47" s="632" t="e">
        <f>IF(#REF!="","",#REF!)</f>
        <v>#REF!</v>
      </c>
      <c r="O47" s="637"/>
      <c r="P47" s="39"/>
      <c r="Q47" s="608" t="e">
        <f>IF(#REF!="","",#REF!)</f>
        <v>#REF!</v>
      </c>
      <c r="R47" s="609"/>
      <c r="S47" s="6"/>
    </row>
    <row r="48" spans="1:19" ht="12.75" customHeight="1" x14ac:dyDescent="0.2">
      <c r="A48" s="34" t="s">
        <v>39</v>
      </c>
      <c r="B48" s="35"/>
      <c r="C48" s="603" t="e">
        <f>IF(#REF!="","",#REF!)</f>
        <v>#REF!</v>
      </c>
      <c r="D48" s="605"/>
      <c r="E48" s="603" t="e">
        <f>IF(Q30="","",Q30)</f>
        <v>#REF!</v>
      </c>
      <c r="F48" s="604"/>
      <c r="G48" s="605"/>
      <c r="H48" s="632" t="e">
        <f>IF(#REF!="","",#REF!)</f>
        <v>#REF!</v>
      </c>
      <c r="I48" s="637"/>
      <c r="J48" s="632" t="e">
        <f>IF(#REF!="","",#REF!)</f>
        <v>#REF!</v>
      </c>
      <c r="K48" s="637"/>
      <c r="L48" s="632" t="e">
        <f>IF(#REF!="","",#REF!)</f>
        <v>#REF!</v>
      </c>
      <c r="M48" s="637"/>
      <c r="N48" s="632" t="e">
        <f>IF(#REF!="","",#REF!)</f>
        <v>#REF!</v>
      </c>
      <c r="O48" s="637"/>
      <c r="P48" s="39"/>
      <c r="Q48" s="608" t="e">
        <f>IF(#REF!="","",#REF!)</f>
        <v>#REF!</v>
      </c>
      <c r="R48" s="609"/>
      <c r="S48" s="6"/>
    </row>
    <row r="49" spans="1:19" ht="12.75" customHeight="1" x14ac:dyDescent="0.2">
      <c r="A49" s="34" t="s">
        <v>40</v>
      </c>
      <c r="B49" s="35"/>
      <c r="C49" s="603" t="e">
        <f>IF(#REF!="","",#REF!)</f>
        <v>#REF!</v>
      </c>
      <c r="D49" s="605"/>
      <c r="E49" s="603" t="e">
        <f>IF(#REF!="","",#REF!)</f>
        <v>#REF!</v>
      </c>
      <c r="F49" s="604"/>
      <c r="G49" s="605"/>
      <c r="H49" s="632" t="e">
        <f>IF(#REF!="","",#REF!)</f>
        <v>#REF!</v>
      </c>
      <c r="I49" s="637"/>
      <c r="J49" s="632" t="e">
        <f>IF(#REF!="","",#REF!)</f>
        <v>#REF!</v>
      </c>
      <c r="K49" s="637"/>
      <c r="L49" s="632" t="e">
        <f>IF(#REF!="","",#REF!)</f>
        <v>#REF!</v>
      </c>
      <c r="M49" s="637"/>
      <c r="N49" s="632" t="e">
        <f>IF(#REF!="","",#REF!)</f>
        <v>#REF!</v>
      </c>
      <c r="O49" s="637"/>
      <c r="P49" s="39"/>
      <c r="Q49" s="608" t="e">
        <f>IF(#REF!="","",#REF!)</f>
        <v>#REF!</v>
      </c>
      <c r="R49" s="609"/>
      <c r="S49" s="6"/>
    </row>
    <row r="50" spans="1:19" ht="12.75" customHeight="1" x14ac:dyDescent="0.2">
      <c r="A50" s="34" t="s">
        <v>41</v>
      </c>
      <c r="B50" s="35"/>
      <c r="C50" s="603" t="e">
        <f>IF(#REF!="","",#REF!)</f>
        <v>#REF!</v>
      </c>
      <c r="D50" s="605"/>
      <c r="E50" s="603" t="e">
        <f>IF(#REF!="","",#REF!)</f>
        <v>#REF!</v>
      </c>
      <c r="F50" s="604"/>
      <c r="G50" s="605"/>
      <c r="H50" s="632" t="e">
        <f>IF(#REF!="","",#REF!)</f>
        <v>#REF!</v>
      </c>
      <c r="I50" s="637"/>
      <c r="J50" s="632" t="e">
        <f>IF(#REF!="","",#REF!)</f>
        <v>#REF!</v>
      </c>
      <c r="K50" s="637"/>
      <c r="L50" s="632" t="e">
        <f>IF(#REF!="","",#REF!)</f>
        <v>#REF!</v>
      </c>
      <c r="M50" s="637"/>
      <c r="N50" s="632" t="e">
        <f>IF(#REF!="","",#REF!)</f>
        <v>#REF!</v>
      </c>
      <c r="O50" s="637"/>
      <c r="P50" s="39"/>
      <c r="Q50" s="608" t="e">
        <f>IF(#REF!="","",#REF!)</f>
        <v>#REF!</v>
      </c>
      <c r="R50" s="609"/>
      <c r="S50" s="6"/>
    </row>
    <row r="51" spans="1:19" ht="12.75" customHeight="1" x14ac:dyDescent="0.2">
      <c r="A51" s="34" t="s">
        <v>42</v>
      </c>
      <c r="B51" s="35"/>
      <c r="C51" s="603" t="e">
        <f>IF(#REF!="","",#REF!)</f>
        <v>#REF!</v>
      </c>
      <c r="D51" s="605"/>
      <c r="E51" s="603" t="e">
        <f>IF(#REF!="","",#REF!)</f>
        <v>#REF!</v>
      </c>
      <c r="F51" s="604"/>
      <c r="G51" s="605"/>
      <c r="H51" s="632" t="e">
        <f>IF(#REF!="","",#REF!)</f>
        <v>#REF!</v>
      </c>
      <c r="I51" s="637"/>
      <c r="J51" s="632" t="e">
        <f>IF(#REF!="","",#REF!)</f>
        <v>#REF!</v>
      </c>
      <c r="K51" s="637"/>
      <c r="L51" s="632" t="e">
        <f>IF(#REF!="","",#REF!)</f>
        <v>#REF!</v>
      </c>
      <c r="M51" s="637"/>
      <c r="N51" s="632" t="e">
        <f>IF(#REF!="","",#REF!)</f>
        <v>#REF!</v>
      </c>
      <c r="O51" s="637"/>
      <c r="P51" s="39"/>
      <c r="Q51" s="608" t="e">
        <f>IF(#REF!="","",#REF!)</f>
        <v>#REF!</v>
      </c>
      <c r="R51" s="609"/>
      <c r="S51" s="6"/>
    </row>
    <row r="52" spans="1:19" ht="12.75" customHeight="1" x14ac:dyDescent="0.2">
      <c r="A52" s="34" t="s">
        <v>43</v>
      </c>
      <c r="B52" s="35"/>
      <c r="C52" s="603" t="e">
        <f>IF(#REF!="","",#REF!)</f>
        <v>#REF!</v>
      </c>
      <c r="D52" s="605"/>
      <c r="E52" s="603" t="e">
        <f>IF(#REF!="","",#REF!)</f>
        <v>#REF!</v>
      </c>
      <c r="F52" s="604"/>
      <c r="G52" s="605"/>
      <c r="H52" s="632" t="e">
        <f>IF(#REF!="","",#REF!)</f>
        <v>#REF!</v>
      </c>
      <c r="I52" s="637"/>
      <c r="J52" s="632" t="e">
        <f>IF(#REF!="","",#REF!)</f>
        <v>#REF!</v>
      </c>
      <c r="K52" s="637"/>
      <c r="L52" s="632" t="e">
        <f>IF(#REF!="","",#REF!)</f>
        <v>#REF!</v>
      </c>
      <c r="M52" s="637"/>
      <c r="N52" s="632" t="e">
        <f>IF(#REF!="","",#REF!)</f>
        <v>#REF!</v>
      </c>
      <c r="O52" s="637"/>
      <c r="P52" s="39"/>
      <c r="Q52" s="608" t="e">
        <f>IF(#REF!="","",#REF!)</f>
        <v>#REF!</v>
      </c>
      <c r="R52" s="609"/>
      <c r="S52" s="6"/>
    </row>
    <row r="53" spans="1:19" ht="12.75" customHeight="1" x14ac:dyDescent="0.2">
      <c r="A53" s="34" t="s">
        <v>44</v>
      </c>
      <c r="B53" s="35"/>
      <c r="C53" s="603" t="e">
        <f>IF(#REF!="","",#REF!)</f>
        <v>#REF!</v>
      </c>
      <c r="D53" s="605"/>
      <c r="E53" s="603" t="e">
        <f>IF(#REF!="","",#REF!)</f>
        <v>#REF!</v>
      </c>
      <c r="F53" s="604"/>
      <c r="G53" s="605"/>
      <c r="H53" s="632" t="e">
        <f>IF(#REF!="","",#REF!)</f>
        <v>#REF!</v>
      </c>
      <c r="I53" s="637"/>
      <c r="J53" s="632" t="e">
        <f>IF(#REF!="","",#REF!)</f>
        <v>#REF!</v>
      </c>
      <c r="K53" s="637"/>
      <c r="L53" s="632" t="e">
        <f>IF(#REF!="","",#REF!)</f>
        <v>#REF!</v>
      </c>
      <c r="M53" s="637"/>
      <c r="N53" s="632" t="e">
        <f>IF(#REF!="","",#REF!)</f>
        <v>#REF!</v>
      </c>
      <c r="O53" s="637"/>
      <c r="P53" s="39"/>
      <c r="Q53" s="608" t="e">
        <f>IF(#REF!="","",#REF!)</f>
        <v>#REF!</v>
      </c>
      <c r="R53" s="609"/>
      <c r="S53" s="6"/>
    </row>
    <row r="54" spans="1:19" ht="12.75" customHeight="1" x14ac:dyDescent="0.2">
      <c r="A54" s="34" t="s">
        <v>45</v>
      </c>
      <c r="B54" s="35"/>
      <c r="C54" s="603" t="str">
        <f>IF($Q$31="","",$Q$31)</f>
        <v/>
      </c>
      <c r="D54" s="605"/>
      <c r="E54" s="603" t="e">
        <f>IF($Q$30="","",$Q$30)</f>
        <v>#REF!</v>
      </c>
      <c r="F54" s="604"/>
      <c r="G54" s="605"/>
      <c r="H54" s="632" t="e">
        <f>IF($J$39="","",$J$39)</f>
        <v>#REF!</v>
      </c>
      <c r="I54" s="637"/>
      <c r="J54" s="632" t="e">
        <f>IF($C$39="","",$C$39)</f>
        <v>#REF!</v>
      </c>
      <c r="K54" s="637"/>
      <c r="L54" s="632" t="e">
        <f>IF($O$39="","",$O$39)</f>
        <v>#REF!</v>
      </c>
      <c r="M54" s="637"/>
      <c r="N54" s="632" t="e">
        <f>IF($N$39="","",$N$39)</f>
        <v>#REF!</v>
      </c>
      <c r="O54" s="637"/>
      <c r="P54" s="39"/>
      <c r="Q54" s="608" t="e">
        <f>IF($Q$39="","",$Q$39)</f>
        <v>#REF!</v>
      </c>
      <c r="R54" s="609"/>
      <c r="S54" s="6"/>
    </row>
    <row r="55" spans="1:19" ht="13.5" customHeight="1" thickBot="1" x14ac:dyDescent="0.25">
      <c r="A55" s="36" t="s">
        <v>46</v>
      </c>
      <c r="B55" s="37"/>
      <c r="C55" s="700"/>
      <c r="D55" s="701"/>
      <c r="E55" s="700"/>
      <c r="F55" s="702"/>
      <c r="G55" s="701"/>
      <c r="H55" s="680"/>
      <c r="I55" s="699"/>
      <c r="J55" s="680"/>
      <c r="K55" s="699"/>
      <c r="L55" s="680"/>
      <c r="M55" s="699"/>
      <c r="N55" s="680"/>
      <c r="O55" s="681"/>
      <c r="P55" s="39"/>
      <c r="Q55" s="698"/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0">IF(ISERROR((G30/G32)/100),"",(G30/G32)/100)</f>
        <v/>
      </c>
      <c r="H79" s="144" t="str">
        <f t="shared" si="10"/>
        <v/>
      </c>
      <c r="I79" s="148" t="str">
        <f t="shared" si="10"/>
        <v/>
      </c>
      <c r="J79" s="143" t="str">
        <f t="shared" si="10"/>
        <v/>
      </c>
      <c r="K79" s="144" t="str">
        <f t="shared" si="10"/>
        <v/>
      </c>
      <c r="L79" s="144" t="str">
        <f t="shared" si="10"/>
        <v/>
      </c>
      <c r="M79" s="149" t="str">
        <f t="shared" si="10"/>
        <v/>
      </c>
      <c r="N79" s="150" t="str">
        <f t="shared" si="10"/>
        <v/>
      </c>
      <c r="O79" s="146" t="str">
        <f t="shared" si="10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1">IF(ISERROR(((G32-G$76)*100)*G79),"",((G32-G$76)*100)*G79)</f>
        <v/>
      </c>
      <c r="H80" s="159" t="str">
        <f t="shared" si="11"/>
        <v/>
      </c>
      <c r="I80" s="163" t="str">
        <f t="shared" si="11"/>
        <v/>
      </c>
      <c r="J80" s="158" t="str">
        <f t="shared" si="11"/>
        <v/>
      </c>
      <c r="K80" s="159" t="str">
        <f t="shared" si="11"/>
        <v/>
      </c>
      <c r="L80" s="159" t="str">
        <f t="shared" si="11"/>
        <v/>
      </c>
      <c r="M80" s="163" t="str">
        <f t="shared" si="11"/>
        <v/>
      </c>
      <c r="N80" s="164" t="str">
        <f t="shared" si="11"/>
        <v/>
      </c>
      <c r="O80" s="165" t="str">
        <f t="shared" si="11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2">IF(ISERROR((G34/G36)/100),"",(G34/G36)/100)</f>
        <v/>
      </c>
      <c r="H82" s="144" t="str">
        <f t="shared" si="12"/>
        <v/>
      </c>
      <c r="I82" s="148" t="str">
        <f t="shared" si="12"/>
        <v/>
      </c>
      <c r="J82" s="143" t="str">
        <f t="shared" si="12"/>
        <v/>
      </c>
      <c r="K82" s="144" t="str">
        <f t="shared" si="12"/>
        <v/>
      </c>
      <c r="L82" s="144" t="str">
        <f t="shared" si="12"/>
        <v/>
      </c>
      <c r="M82" s="149" t="str">
        <f t="shared" si="12"/>
        <v/>
      </c>
      <c r="N82" s="150" t="str">
        <f t="shared" si="12"/>
        <v/>
      </c>
      <c r="O82" s="146" t="str">
        <f t="shared" si="12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3">IF(ISERROR(((G36-G$76)*100)*G82),"",((G36-G$76)*100)*G82)</f>
        <v/>
      </c>
      <c r="H83" s="159" t="str">
        <f t="shared" si="13"/>
        <v/>
      </c>
      <c r="I83" s="163" t="str">
        <f t="shared" si="13"/>
        <v/>
      </c>
      <c r="J83" s="158" t="str">
        <f t="shared" si="13"/>
        <v/>
      </c>
      <c r="K83" s="159" t="str">
        <f t="shared" si="13"/>
        <v/>
      </c>
      <c r="L83" s="159" t="str">
        <f t="shared" si="13"/>
        <v/>
      </c>
      <c r="M83" s="163" t="str">
        <f t="shared" si="13"/>
        <v/>
      </c>
      <c r="N83" s="164" t="str">
        <f t="shared" si="13"/>
        <v/>
      </c>
      <c r="O83" s="165" t="str">
        <f t="shared" si="13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45">
    <mergeCell ref="Q83:R83"/>
    <mergeCell ref="A77:B78"/>
    <mergeCell ref="O77:O78"/>
    <mergeCell ref="Q77:Q78"/>
    <mergeCell ref="R77:R78"/>
    <mergeCell ref="Q80:R80"/>
    <mergeCell ref="M77:M78"/>
    <mergeCell ref="N77:N78"/>
    <mergeCell ref="N44:O44"/>
    <mergeCell ref="N45:O45"/>
    <mergeCell ref="N46:O46"/>
    <mergeCell ref="N47:O47"/>
    <mergeCell ref="N48:O48"/>
    <mergeCell ref="Q82:R82"/>
    <mergeCell ref="J52:K52"/>
    <mergeCell ref="J53:K53"/>
    <mergeCell ref="J54:K54"/>
    <mergeCell ref="Q53:R53"/>
    <mergeCell ref="Q54:R54"/>
    <mergeCell ref="N54:O54"/>
    <mergeCell ref="L53:M53"/>
    <mergeCell ref="L54:M54"/>
    <mergeCell ref="H55:I55"/>
    <mergeCell ref="Q51:R51"/>
    <mergeCell ref="Q76:R76"/>
    <mergeCell ref="Q35:R35"/>
    <mergeCell ref="Q36:R36"/>
    <mergeCell ref="J55:K55"/>
    <mergeCell ref="L48:M48"/>
    <mergeCell ref="L49:M49"/>
    <mergeCell ref="L50:M50"/>
    <mergeCell ref="L51:M51"/>
    <mergeCell ref="L52:M52"/>
    <mergeCell ref="J51:K51"/>
    <mergeCell ref="N53:O53"/>
    <mergeCell ref="L45:M45"/>
    <mergeCell ref="L46:M46"/>
    <mergeCell ref="L47:M47"/>
    <mergeCell ref="N49:O49"/>
    <mergeCell ref="N50:O50"/>
    <mergeCell ref="N51:O51"/>
    <mergeCell ref="N52:O52"/>
    <mergeCell ref="Q49:R49"/>
    <mergeCell ref="Q50:R50"/>
    <mergeCell ref="Q52:R52"/>
    <mergeCell ref="L55:M55"/>
    <mergeCell ref="N55:O55"/>
    <mergeCell ref="Q48:R48"/>
    <mergeCell ref="Q55:R55"/>
    <mergeCell ref="J48:K48"/>
    <mergeCell ref="J49:K49"/>
    <mergeCell ref="J50:K50"/>
    <mergeCell ref="H49:I49"/>
    <mergeCell ref="H50:I50"/>
    <mergeCell ref="H51:I51"/>
    <mergeCell ref="H52:I52"/>
    <mergeCell ref="H53:I53"/>
    <mergeCell ref="H54:I54"/>
    <mergeCell ref="C55:D55"/>
    <mergeCell ref="E49:G49"/>
    <mergeCell ref="E50:G50"/>
    <mergeCell ref="E51:G51"/>
    <mergeCell ref="E52:G52"/>
    <mergeCell ref="E53:G53"/>
    <mergeCell ref="E54:G54"/>
    <mergeCell ref="E55:G55"/>
    <mergeCell ref="C49:D49"/>
    <mergeCell ref="C50:D50"/>
    <mergeCell ref="C51:D51"/>
    <mergeCell ref="C52:D52"/>
    <mergeCell ref="C53:D53"/>
    <mergeCell ref="C54:D54"/>
    <mergeCell ref="C48:D48"/>
    <mergeCell ref="E44:G44"/>
    <mergeCell ref="E45:G45"/>
    <mergeCell ref="E46:G46"/>
    <mergeCell ref="E47:G47"/>
    <mergeCell ref="C44:D44"/>
    <mergeCell ref="C45:D45"/>
    <mergeCell ref="C46:D46"/>
    <mergeCell ref="C47:D47"/>
    <mergeCell ref="Q47:R47"/>
    <mergeCell ref="E2:E3"/>
    <mergeCell ref="Q2:Q3"/>
    <mergeCell ref="R2:R3"/>
    <mergeCell ref="E48:G48"/>
    <mergeCell ref="H44:I44"/>
    <mergeCell ref="H45:I45"/>
    <mergeCell ref="H46:I46"/>
    <mergeCell ref="H47:I47"/>
    <mergeCell ref="H48:I48"/>
    <mergeCell ref="Q45:R45"/>
    <mergeCell ref="E43:G43"/>
    <mergeCell ref="Q30:R30"/>
    <mergeCell ref="Q31:R31"/>
    <mergeCell ref="Q32:R32"/>
    <mergeCell ref="Q34:R34"/>
    <mergeCell ref="Q79:R79"/>
    <mergeCell ref="C77:C78"/>
    <mergeCell ref="D77:D78"/>
    <mergeCell ref="E77:E78"/>
    <mergeCell ref="G77:G78"/>
    <mergeCell ref="H77:H78"/>
    <mergeCell ref="I77:I78"/>
    <mergeCell ref="J2:J3"/>
    <mergeCell ref="H2:H3"/>
    <mergeCell ref="C38:E38"/>
    <mergeCell ref="N2:N3"/>
    <mergeCell ref="C2:C3"/>
    <mergeCell ref="D2:D3"/>
    <mergeCell ref="J77:J78"/>
    <mergeCell ref="Q42:R43"/>
    <mergeCell ref="L42:M43"/>
    <mergeCell ref="N42:O43"/>
    <mergeCell ref="Q44:R44"/>
    <mergeCell ref="L44:M44"/>
    <mergeCell ref="J44:K44"/>
    <mergeCell ref="J45:K45"/>
    <mergeCell ref="J46:K46"/>
    <mergeCell ref="J47:K47"/>
    <mergeCell ref="Q46:R46"/>
    <mergeCell ref="C1:E1"/>
    <mergeCell ref="A43:B43"/>
    <mergeCell ref="J42:K43"/>
    <mergeCell ref="C42:D43"/>
    <mergeCell ref="H42:I43"/>
    <mergeCell ref="A42:B42"/>
    <mergeCell ref="E42:G42"/>
    <mergeCell ref="Q40:R40"/>
    <mergeCell ref="G40:I40"/>
    <mergeCell ref="J39:M39"/>
    <mergeCell ref="J40:M40"/>
    <mergeCell ref="C40:E40"/>
    <mergeCell ref="G1:O1"/>
    <mergeCell ref="O2:O3"/>
    <mergeCell ref="M2:M3"/>
    <mergeCell ref="G39:I39"/>
    <mergeCell ref="I2:I3"/>
    <mergeCell ref="C39:E39"/>
    <mergeCell ref="Q38:R38"/>
    <mergeCell ref="Q1:R1"/>
    <mergeCell ref="Q39:R39"/>
    <mergeCell ref="G2:G3"/>
    <mergeCell ref="J38:M38"/>
    <mergeCell ref="G38:I38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65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tabColor indexed="52"/>
    <pageSetUpPr fitToPage="1"/>
  </sheetPr>
  <dimension ref="A1:S84"/>
  <sheetViews>
    <sheetView showGridLines="0" topLeftCell="B1" workbookViewId="0">
      <pane ySplit="3" topLeftCell="A4" activePane="bottomLeft" state="frozen"/>
      <selection activeCell="J40" sqref="J40:M40"/>
      <selection pane="bottomLeft" activeCell="J40" sqref="J40:M40"/>
    </sheetView>
  </sheetViews>
  <sheetFormatPr baseColWidth="10" defaultRowHeight="11.25" x14ac:dyDescent="0.2"/>
  <cols>
    <col min="1" max="1" width="2.140625" style="3" customWidth="1"/>
    <col min="2" max="2" width="26.85546875" style="3" customWidth="1"/>
    <col min="3" max="3" width="8.140625" style="3" customWidth="1"/>
    <col min="4" max="4" width="8.5703125" style="3" bestFit="1" customWidth="1"/>
    <col min="5" max="5" width="12.7109375" style="3" bestFit="1" customWidth="1"/>
    <col min="6" max="6" width="1.28515625" style="6" customWidth="1"/>
    <col min="7" max="7" width="7.7109375" style="3" customWidth="1"/>
    <col min="8" max="8" width="7.28515625" style="3" customWidth="1"/>
    <col min="9" max="9" width="10.140625" style="3" bestFit="1" customWidth="1"/>
    <col min="10" max="11" width="7.28515625" style="3" customWidth="1"/>
    <col min="12" max="12" width="9" style="3" bestFit="1" customWidth="1"/>
    <col min="13" max="13" width="8.85546875" style="3" bestFit="1" customWidth="1"/>
    <col min="14" max="14" width="9.5703125" style="3" customWidth="1"/>
    <col min="15" max="15" width="10" style="3" customWidth="1"/>
    <col min="16" max="16" width="1.7109375" style="2" customWidth="1"/>
    <col min="17" max="17" width="9.5703125" style="3" customWidth="1"/>
    <col min="18" max="18" width="7.140625" style="3" bestFit="1" customWidth="1"/>
    <col min="19" max="16384" width="11.42578125" style="3"/>
  </cols>
  <sheetData>
    <row r="1" spans="1:18" ht="12.75" customHeight="1" x14ac:dyDescent="0.2">
      <c r="A1" s="86"/>
      <c r="B1" s="87"/>
      <c r="C1" s="591" t="s">
        <v>0</v>
      </c>
      <c r="D1" s="599"/>
      <c r="E1" s="592"/>
      <c r="F1" s="1"/>
      <c r="G1" s="591" t="s">
        <v>1</v>
      </c>
      <c r="H1" s="599"/>
      <c r="I1" s="599"/>
      <c r="J1" s="599"/>
      <c r="K1" s="599"/>
      <c r="L1" s="599"/>
      <c r="M1" s="599"/>
      <c r="N1" s="599"/>
      <c r="O1" s="592"/>
      <c r="Q1" s="591" t="s">
        <v>2</v>
      </c>
      <c r="R1" s="592"/>
    </row>
    <row r="2" spans="1:18" ht="13.5" customHeight="1" x14ac:dyDescent="0.2">
      <c r="A2" s="88"/>
      <c r="B2" s="103"/>
      <c r="C2" s="610" t="s">
        <v>3</v>
      </c>
      <c r="D2" s="612" t="s">
        <v>4</v>
      </c>
      <c r="E2" s="719" t="s">
        <v>74</v>
      </c>
      <c r="F2" s="107"/>
      <c r="G2" s="674" t="s">
        <v>58</v>
      </c>
      <c r="H2" s="616" t="s">
        <v>60</v>
      </c>
      <c r="I2" s="618" t="s">
        <v>62</v>
      </c>
      <c r="J2" s="676" t="s">
        <v>59</v>
      </c>
      <c r="K2" s="108" t="s">
        <v>6</v>
      </c>
      <c r="L2" s="109" t="s">
        <v>61</v>
      </c>
      <c r="M2" s="624" t="s">
        <v>64</v>
      </c>
      <c r="N2" s="642" t="s">
        <v>72</v>
      </c>
      <c r="O2" s="622" t="s">
        <v>63</v>
      </c>
      <c r="P2" s="55"/>
      <c r="Q2" s="620" t="s">
        <v>5</v>
      </c>
      <c r="R2" s="661" t="s">
        <v>47</v>
      </c>
    </row>
    <row r="3" spans="1:18" ht="13.5" customHeight="1" x14ac:dyDescent="0.2">
      <c r="A3" s="89"/>
      <c r="B3" s="104"/>
      <c r="C3" s="611"/>
      <c r="D3" s="613"/>
      <c r="E3" s="720"/>
      <c r="F3" s="107"/>
      <c r="G3" s="675"/>
      <c r="H3" s="617"/>
      <c r="I3" s="619"/>
      <c r="J3" s="677"/>
      <c r="K3" s="110" t="s">
        <v>7</v>
      </c>
      <c r="L3" s="111" t="s">
        <v>8</v>
      </c>
      <c r="M3" s="625"/>
      <c r="N3" s="643"/>
      <c r="O3" s="623"/>
      <c r="P3" s="55"/>
      <c r="Q3" s="621"/>
      <c r="R3" s="662"/>
    </row>
    <row r="4" spans="1:18" x14ac:dyDescent="0.2">
      <c r="A4" s="90" t="s">
        <v>9</v>
      </c>
      <c r="B4" s="103"/>
      <c r="C4" s="8"/>
      <c r="D4" s="5"/>
      <c r="E4" s="49"/>
      <c r="G4" s="113"/>
      <c r="H4" s="114"/>
      <c r="I4" s="115"/>
      <c r="J4" s="113"/>
      <c r="K4" s="114"/>
      <c r="L4" s="114"/>
      <c r="M4" s="115"/>
      <c r="N4" s="40"/>
      <c r="O4" s="50"/>
      <c r="Q4" s="133"/>
      <c r="R4" s="20"/>
    </row>
    <row r="5" spans="1:18" x14ac:dyDescent="0.2">
      <c r="A5" s="88"/>
      <c r="B5" s="103" t="s">
        <v>10</v>
      </c>
      <c r="C5" s="24" t="e">
        <f>IF(#REF!="","",#REF!)</f>
        <v>#REF!</v>
      </c>
      <c r="D5" s="23" t="e">
        <f>IF(#REF!="","",#REF!)</f>
        <v>#REF!</v>
      </c>
      <c r="E5" s="27" t="e">
        <f>IF(SUM(C5:D5)=0,"",SUM(C5:D5))</f>
        <v>#REF!</v>
      </c>
      <c r="F5" s="7"/>
      <c r="G5" s="24" t="e">
        <f>IF(#REF!="","",#REF!)</f>
        <v>#REF!</v>
      </c>
      <c r="H5" s="23" t="e">
        <f>IF(#REF!="","",#REF!)</f>
        <v>#REF!</v>
      </c>
      <c r="I5" s="116" t="e">
        <f>IF(SUM(G5:H5)=0,"",SUM(G5:H5))</f>
        <v>#REF!</v>
      </c>
      <c r="J5" s="24" t="e">
        <f>IF(#REF!="","",#REF!)</f>
        <v>#REF!</v>
      </c>
      <c r="K5" s="23" t="e">
        <f>IF(#REF!="","",#REF!)</f>
        <v>#REF!</v>
      </c>
      <c r="L5" s="23" t="e">
        <f>IF(#REF!="","",#REF!)</f>
        <v>#REF!</v>
      </c>
      <c r="M5" s="116" t="e">
        <f>IF(SUM(J5:L5)=0,"",SUM(J5:L5))</f>
        <v>#REF!</v>
      </c>
      <c r="N5" s="41" t="e">
        <f>IF(#REF!="","",#REF!)</f>
        <v>#REF!</v>
      </c>
      <c r="O5" s="45" t="e">
        <f>IF(SUM(I5,M5,N5)=0,"",SUM(I5,M5,N5))</f>
        <v>#REF!</v>
      </c>
      <c r="P5" s="9"/>
      <c r="Q5" s="119" t="e">
        <f>IF(SUM(E5,O5)=0,"",SUM(E5,O5))</f>
        <v>#REF!</v>
      </c>
      <c r="R5" s="112" t="e">
        <f>IF(Q5="","",Q5/Q$13)</f>
        <v>#REF!</v>
      </c>
    </row>
    <row r="6" spans="1:18" ht="6.75" customHeight="1" x14ac:dyDescent="0.2">
      <c r="A6" s="88"/>
      <c r="B6" s="103"/>
      <c r="C6" s="8"/>
      <c r="D6" s="4"/>
      <c r="E6" s="27"/>
      <c r="F6" s="7"/>
      <c r="G6" s="8"/>
      <c r="H6" s="4"/>
      <c r="I6" s="116"/>
      <c r="J6" s="8"/>
      <c r="K6" s="4"/>
      <c r="L6" s="4"/>
      <c r="M6" s="120"/>
      <c r="N6" s="42"/>
      <c r="O6" s="45"/>
      <c r="P6" s="9"/>
      <c r="Q6" s="134"/>
      <c r="R6" s="112"/>
    </row>
    <row r="7" spans="1:18" x14ac:dyDescent="0.2">
      <c r="A7" s="88"/>
      <c r="B7" s="103" t="s">
        <v>11</v>
      </c>
      <c r="C7" s="22">
        <f>490.42+12645.52+112.4-2492.38+1226.18</f>
        <v>11982.14</v>
      </c>
      <c r="D7" s="21">
        <f>1239.63+2492.38</f>
        <v>3732.01</v>
      </c>
      <c r="E7" s="27">
        <f>IF(SUM(C7:D7)=0,"",SUM(C7:D7))</f>
        <v>15714.15</v>
      </c>
      <c r="F7" s="7"/>
      <c r="G7" s="22">
        <v>3848.1</v>
      </c>
      <c r="H7" s="21"/>
      <c r="I7" s="116">
        <f>IF(SUM(G7:H7)=0,"",SUM(G7:H7))</f>
        <v>3848.1</v>
      </c>
      <c r="J7" s="22"/>
      <c r="K7" s="21">
        <f>620.05+346.06+394.67+22-238.39</f>
        <v>1144.3899999999999</v>
      </c>
      <c r="L7" s="21">
        <v>2649.44</v>
      </c>
      <c r="M7" s="116">
        <f>IF(SUM(J7:L7)=0,"",SUM(J7:L7))</f>
        <v>3793.83</v>
      </c>
      <c r="N7" s="43">
        <v>238.39</v>
      </c>
      <c r="O7" s="45">
        <f>IF(SUM(I7,M7,N7)=0,"",SUM(I7,M7,N7))</f>
        <v>7880.3200000000006</v>
      </c>
      <c r="P7" s="9"/>
      <c r="Q7" s="134">
        <f>IF(SUM(E7,O7)=0,"",SUM(E7,O7))</f>
        <v>23594.47</v>
      </c>
      <c r="R7" s="112"/>
    </row>
    <row r="8" spans="1:18" x14ac:dyDescent="0.2">
      <c r="A8" s="88"/>
      <c r="B8" s="103" t="s">
        <v>12</v>
      </c>
      <c r="C8" s="22"/>
      <c r="D8" s="21"/>
      <c r="E8" s="27" t="str">
        <f>IF(SUM(C8:D8)=0,"",SUM(C8:D8))</f>
        <v/>
      </c>
      <c r="F8" s="7"/>
      <c r="G8" s="22"/>
      <c r="H8" s="21"/>
      <c r="I8" s="116" t="str">
        <f>IF(SUM(G8:H8)=0,"",SUM(G8:H8))</f>
        <v/>
      </c>
      <c r="J8" s="22"/>
      <c r="K8" s="21"/>
      <c r="L8" s="21"/>
      <c r="M8" s="116" t="str">
        <f>IF(SUM(J8:L8)=0,"",SUM(J8:L8))</f>
        <v/>
      </c>
      <c r="N8" s="43"/>
      <c r="O8" s="45" t="str">
        <f>IF(SUM(I8,M8,N8)=0,"",SUM(I8,M8,N8))</f>
        <v/>
      </c>
      <c r="P8" s="9"/>
      <c r="Q8" s="134" t="str">
        <f>IF(SUM(E8,O8)=0,"",SUM(E8,O8))</f>
        <v/>
      </c>
      <c r="R8" s="112"/>
    </row>
    <row r="9" spans="1:18" x14ac:dyDescent="0.2">
      <c r="A9" s="88"/>
      <c r="B9" s="103" t="s">
        <v>13</v>
      </c>
      <c r="C9" s="121" t="e">
        <f>IF(#REF!="","",-#REF!)</f>
        <v>#REF!</v>
      </c>
      <c r="D9" s="23" t="e">
        <f>IF(#REF!="","",-#REF!)</f>
        <v>#REF!</v>
      </c>
      <c r="E9" s="27" t="e">
        <f>IF(SUM(C9:D9)=0,"",SUM(C9:D9))</f>
        <v>#REF!</v>
      </c>
      <c r="F9" s="7"/>
      <c r="G9" s="24" t="e">
        <f>IF(#REF!="","",-#REF!)</f>
        <v>#REF!</v>
      </c>
      <c r="H9" s="23" t="e">
        <f>IF(#REF!="","",-#REF!)</f>
        <v>#REF!</v>
      </c>
      <c r="I9" s="116" t="e">
        <f>IF(SUM(G9:H9)=0,"",SUM(G9:H9))</f>
        <v>#REF!</v>
      </c>
      <c r="J9" s="24" t="e">
        <f>IF(#REF!="","",-#REF!)</f>
        <v>#REF!</v>
      </c>
      <c r="K9" s="23"/>
      <c r="L9" s="23" t="e">
        <f>IF(#REF!="","",-#REF!)</f>
        <v>#REF!</v>
      </c>
      <c r="M9" s="116" t="e">
        <f>IF(SUM(J9:L9)=0,"",SUM(J9:L9))</f>
        <v>#REF!</v>
      </c>
      <c r="N9" s="41"/>
      <c r="O9" s="45" t="e">
        <f>IF(SUM(I9,M9,N9)=0,"",SUM(I9,M9,N9))</f>
        <v>#REF!</v>
      </c>
      <c r="P9" s="9"/>
      <c r="Q9" s="134" t="e">
        <f>IF(SUM(E9,O9)=0,"",SUM(E9,O9))</f>
        <v>#REF!</v>
      </c>
      <c r="R9" s="112"/>
    </row>
    <row r="10" spans="1:18" x14ac:dyDescent="0.2">
      <c r="A10" s="88"/>
      <c r="B10" s="103" t="s">
        <v>14</v>
      </c>
      <c r="C10" s="22"/>
      <c r="D10" s="21"/>
      <c r="E10" s="27" t="str">
        <f>IF(SUM(C10:D10)=0,"",SUM(C10:D10))</f>
        <v/>
      </c>
      <c r="F10" s="7"/>
      <c r="G10" s="22"/>
      <c r="H10" s="21">
        <v>390</v>
      </c>
      <c r="I10" s="116">
        <v>389.78</v>
      </c>
      <c r="J10" s="22"/>
      <c r="K10" s="21">
        <v>108</v>
      </c>
      <c r="L10" s="21">
        <v>-390</v>
      </c>
      <c r="M10" s="116">
        <v>-282</v>
      </c>
      <c r="N10" s="43">
        <v>-108</v>
      </c>
      <c r="O10" s="45">
        <f>IF(SUM(I10,M10,N10)=0,"",SUM(I10,M10,N10))</f>
        <v>-0.22000000000002728</v>
      </c>
      <c r="P10" s="9"/>
      <c r="Q10" s="134">
        <f>IF(SUM(E10,O10)=0,"",SUM(E10,O10))</f>
        <v>-0.22000000000002728</v>
      </c>
      <c r="R10" s="112"/>
    </row>
    <row r="11" spans="1:18" x14ac:dyDescent="0.2">
      <c r="A11" s="88"/>
      <c r="B11" s="105" t="s">
        <v>15</v>
      </c>
      <c r="C11" s="26" t="e">
        <f>IF(SUM(C7:C10)=0,"",SUM(C7:C10))</f>
        <v>#REF!</v>
      </c>
      <c r="D11" s="25" t="e">
        <f>IF(SUM(D7:D10)=0,"",SUM(D7:D10))</f>
        <v>#REF!</v>
      </c>
      <c r="E11" s="27" t="e">
        <f>IF(SUM(C11:D11)=0,"",SUM(C11:D11))</f>
        <v>#REF!</v>
      </c>
      <c r="F11" s="7"/>
      <c r="G11" s="26" t="e">
        <f>IF(SUM(G7:G10)=0,"",SUM(G7:G10))</f>
        <v>#REF!</v>
      </c>
      <c r="H11" s="25" t="e">
        <f>IF(SUM(H7:H10)=0,"",SUM(H7:H10))</f>
        <v>#REF!</v>
      </c>
      <c r="I11" s="116" t="e">
        <f>IF(SUM(G11:H11)=0,"",SUM(G11:H11))</f>
        <v>#REF!</v>
      </c>
      <c r="J11" s="26" t="e">
        <f>IF(SUM(J7:J10)=0,"",SUM(J7:J10))</f>
        <v>#REF!</v>
      </c>
      <c r="K11" s="25">
        <f>IF(SUM(K7:K10)=0,"",SUM(K7:K10))</f>
        <v>1252.3899999999999</v>
      </c>
      <c r="L11" s="25" t="e">
        <f>IF(SUM(L7:L10)=0,"",SUM(L7:L10))</f>
        <v>#REF!</v>
      </c>
      <c r="M11" s="116" t="e">
        <f>IF(SUM(J11:L11)=0,"",SUM(J11:L11))</f>
        <v>#REF!</v>
      </c>
      <c r="N11" s="28">
        <f>IF(SUM(N7:N10)=0,"",SUM(N7:N10))</f>
        <v>130.38999999999999</v>
      </c>
      <c r="O11" s="45" t="e">
        <f>IF(SUM(I11,M11,N11)=0,"",SUM(I11,M11,N11))</f>
        <v>#REF!</v>
      </c>
      <c r="P11" s="9"/>
      <c r="Q11" s="134" t="e">
        <f>IF(SUM(E11,O11)=0,"",SUM(E11,O11))</f>
        <v>#REF!</v>
      </c>
      <c r="R11" s="112" t="e">
        <f>IF(Q11="","",Q11/Q$13)</f>
        <v>#REF!</v>
      </c>
    </row>
    <row r="12" spans="1:18" x14ac:dyDescent="0.2">
      <c r="A12" s="88"/>
      <c r="B12" s="103"/>
      <c r="C12" s="8"/>
      <c r="D12" s="4"/>
      <c r="E12" s="27"/>
      <c r="F12" s="7"/>
      <c r="G12" s="8"/>
      <c r="H12" s="4"/>
      <c r="I12" s="116"/>
      <c r="J12" s="8"/>
      <c r="K12" s="4"/>
      <c r="L12" s="4"/>
      <c r="M12" s="120"/>
      <c r="N12" s="42"/>
      <c r="O12" s="45"/>
      <c r="P12" s="9"/>
      <c r="Q12" s="134"/>
      <c r="R12" s="112"/>
    </row>
    <row r="13" spans="1:18" x14ac:dyDescent="0.2">
      <c r="A13" s="91"/>
      <c r="B13" s="106" t="s">
        <v>16</v>
      </c>
      <c r="C13" s="14" t="e">
        <f>IF(AND(C5="",C11=""),"",SUM(C5,C11))</f>
        <v>#REF!</v>
      </c>
      <c r="D13" s="11" t="e">
        <f>IF(AND(D5="",D11=""),"",SUM(D5,D11))</f>
        <v>#REF!</v>
      </c>
      <c r="E13" s="12" t="e">
        <f>IF(AND(E5="",E11=""),"",SUM(E5,E11))</f>
        <v>#REF!</v>
      </c>
      <c r="F13" s="13"/>
      <c r="G13" s="14" t="e">
        <f t="shared" ref="G13:O13" si="0">IF(AND(G5="",G11=""),"",SUM(G5,G11))</f>
        <v>#REF!</v>
      </c>
      <c r="H13" s="11" t="e">
        <f t="shared" si="0"/>
        <v>#REF!</v>
      </c>
      <c r="I13" s="117" t="e">
        <f t="shared" si="0"/>
        <v>#REF!</v>
      </c>
      <c r="J13" s="14" t="e">
        <f t="shared" si="0"/>
        <v>#REF!</v>
      </c>
      <c r="K13" s="11" t="e">
        <f t="shared" si="0"/>
        <v>#REF!</v>
      </c>
      <c r="L13" s="11" t="e">
        <f t="shared" si="0"/>
        <v>#REF!</v>
      </c>
      <c r="M13" s="118" t="e">
        <f t="shared" si="0"/>
        <v>#REF!</v>
      </c>
      <c r="N13" s="46" t="e">
        <f t="shared" si="0"/>
        <v>#REF!</v>
      </c>
      <c r="O13" s="47" t="e">
        <f t="shared" si="0"/>
        <v>#REF!</v>
      </c>
      <c r="P13" s="9"/>
      <c r="Q13" s="135" t="e">
        <f>IF(AND(Q5="",Q11=""),"",SUM(Q5,Q11))</f>
        <v>#REF!</v>
      </c>
      <c r="R13" s="136" t="e">
        <f>IF(Q13="","",Q13/Q$13)</f>
        <v>#REF!</v>
      </c>
    </row>
    <row r="14" spans="1:18" x14ac:dyDescent="0.2">
      <c r="A14" s="88"/>
      <c r="B14" s="103"/>
      <c r="C14" s="8"/>
      <c r="D14" s="4"/>
      <c r="E14" s="27"/>
      <c r="F14" s="7"/>
      <c r="G14" s="8"/>
      <c r="H14" s="4"/>
      <c r="I14" s="116"/>
      <c r="J14" s="8"/>
      <c r="K14" s="4"/>
      <c r="L14" s="4"/>
      <c r="M14" s="120"/>
      <c r="N14" s="42"/>
      <c r="O14" s="45"/>
      <c r="Q14" s="134"/>
      <c r="R14" s="112"/>
    </row>
    <row r="15" spans="1:18" x14ac:dyDescent="0.2">
      <c r="A15" s="90" t="s">
        <v>17</v>
      </c>
      <c r="B15" s="103"/>
      <c r="C15" s="8"/>
      <c r="D15" s="4"/>
      <c r="E15" s="27"/>
      <c r="F15" s="7"/>
      <c r="G15" s="8"/>
      <c r="H15" s="4"/>
      <c r="I15" s="116"/>
      <c r="J15" s="8"/>
      <c r="K15" s="4"/>
      <c r="L15" s="4"/>
      <c r="M15" s="120"/>
      <c r="N15" s="42"/>
      <c r="O15" s="45"/>
      <c r="Q15" s="134"/>
      <c r="R15" s="20"/>
    </row>
    <row r="16" spans="1:18" x14ac:dyDescent="0.2">
      <c r="A16" s="88"/>
      <c r="B16" s="103" t="s">
        <v>18</v>
      </c>
      <c r="C16" s="22">
        <f>7735.45+152.31</f>
        <v>7887.76</v>
      </c>
      <c r="D16" s="21">
        <f>2328.31+0</f>
        <v>2328.31</v>
      </c>
      <c r="E16" s="27">
        <f>IF(SUM(C16:D16)=0,"",SUM(C16:D16))</f>
        <v>10216.07</v>
      </c>
      <c r="F16" s="7"/>
      <c r="G16" s="22">
        <f>3163.92+242.856</f>
        <v>3406.7759999999998</v>
      </c>
      <c r="H16" s="21">
        <f>305.76+206.41</f>
        <v>512.16999999999996</v>
      </c>
      <c r="I16" s="116">
        <f>IF(SUM(G16:H16)=0,"",SUM(G16:H16))</f>
        <v>3918.9459999999999</v>
      </c>
      <c r="J16" s="22">
        <v>6.94</v>
      </c>
      <c r="K16" s="21">
        <f>254.97+760</f>
        <v>1014.97</v>
      </c>
      <c r="L16" s="21">
        <f>1148.41+1430.42</f>
        <v>2578.83</v>
      </c>
      <c r="M16" s="116">
        <f>IF(SUM(J16:L16)=0,"",SUM(J16:L16))</f>
        <v>3600.74</v>
      </c>
      <c r="N16" s="43">
        <f>301.63+1042.24</f>
        <v>1343.87</v>
      </c>
      <c r="O16" s="45">
        <f>IF(SUM(I16,M16,N16)=0,"",SUM(I16,M16,N16))</f>
        <v>8863.5560000000005</v>
      </c>
      <c r="P16" s="9"/>
      <c r="Q16" s="134">
        <f>IF(SUM(E16,O16)=0,"",SUM(E16,O16))</f>
        <v>19079.626</v>
      </c>
      <c r="R16" s="112">
        <f>IF(Q16="","",Q16/Q$28)</f>
        <v>0.88791029659205156</v>
      </c>
    </row>
    <row r="17" spans="1:18" ht="6.75" customHeight="1" x14ac:dyDescent="0.2">
      <c r="A17" s="88"/>
      <c r="B17" s="103"/>
      <c r="C17" s="8"/>
      <c r="D17" s="4"/>
      <c r="E17" s="27"/>
      <c r="F17" s="7"/>
      <c r="G17" s="8"/>
      <c r="H17" s="4"/>
      <c r="I17" s="116"/>
      <c r="J17" s="8"/>
      <c r="K17" s="4"/>
      <c r="L17" s="4"/>
      <c r="M17" s="120"/>
      <c r="N17" s="42"/>
      <c r="O17" s="45"/>
      <c r="P17" s="9"/>
      <c r="Q17" s="134"/>
      <c r="R17" s="112"/>
    </row>
    <row r="18" spans="1:18" x14ac:dyDescent="0.2">
      <c r="A18" s="88"/>
      <c r="B18" s="103" t="s">
        <v>19</v>
      </c>
      <c r="C18" s="22">
        <v>1281.6320000000001</v>
      </c>
      <c r="D18" s="21"/>
      <c r="E18" s="27">
        <f t="shared" ref="E18:E26" si="1">IF(SUM(C18:D18)=0,"",SUM(C18:D18))</f>
        <v>1281.6320000000001</v>
      </c>
      <c r="F18" s="7"/>
      <c r="G18" s="22">
        <v>320.40800000000002</v>
      </c>
      <c r="H18" s="21"/>
      <c r="I18" s="116">
        <f t="shared" ref="I18:I26" si="2">IF(SUM(G18:H18)=0,"",SUM(G18:H18))</f>
        <v>320.40800000000002</v>
      </c>
      <c r="J18" s="22"/>
      <c r="K18" s="21"/>
      <c r="L18" s="21"/>
      <c r="M18" s="116" t="str">
        <f t="shared" ref="M18:M26" si="3">IF(SUM(J18:L18)=0,"",SUM(J18:L18))</f>
        <v/>
      </c>
      <c r="N18" s="43"/>
      <c r="O18" s="45">
        <f t="shared" ref="O18:O26" si="4">IF(SUM(I18,M18,N18)=0,"",SUM(I18,M18,N18))</f>
        <v>320.40800000000002</v>
      </c>
      <c r="P18" s="9"/>
      <c r="Q18" s="134">
        <f t="shared" ref="Q18:Q26" si="5">IF(SUM(E18,O18)=0,"",SUM(E18,O18))</f>
        <v>1602.04</v>
      </c>
      <c r="R18" s="112">
        <f t="shared" ref="R18:R26" si="6">IF(Q18="","",Q18/Q$28)</f>
        <v>7.4554281700926955E-2</v>
      </c>
    </row>
    <row r="19" spans="1:18" x14ac:dyDescent="0.2">
      <c r="A19" s="88"/>
      <c r="B19" s="103" t="s">
        <v>20</v>
      </c>
      <c r="C19" s="22"/>
      <c r="D19" s="21"/>
      <c r="E19" s="27" t="str">
        <f t="shared" si="1"/>
        <v/>
      </c>
      <c r="F19" s="7"/>
      <c r="G19" s="22"/>
      <c r="H19" s="21"/>
      <c r="I19" s="116" t="str">
        <f t="shared" si="2"/>
        <v/>
      </c>
      <c r="J19" s="22"/>
      <c r="K19" s="21"/>
      <c r="L19" s="21"/>
      <c r="M19" s="116" t="str">
        <f t="shared" si="3"/>
        <v/>
      </c>
      <c r="N19" s="43"/>
      <c r="O19" s="45" t="str">
        <f t="shared" si="4"/>
        <v/>
      </c>
      <c r="P19" s="9"/>
      <c r="Q19" s="134" t="str">
        <f t="shared" si="5"/>
        <v/>
      </c>
      <c r="R19" s="112" t="str">
        <f t="shared" si="6"/>
        <v/>
      </c>
    </row>
    <row r="20" spans="1:18" x14ac:dyDescent="0.2">
      <c r="A20" s="88"/>
      <c r="B20" s="103" t="s">
        <v>21</v>
      </c>
      <c r="C20" s="22"/>
      <c r="D20" s="21"/>
      <c r="E20" s="27" t="str">
        <f t="shared" si="1"/>
        <v/>
      </c>
      <c r="F20" s="7"/>
      <c r="G20" s="22"/>
      <c r="H20" s="21"/>
      <c r="I20" s="116" t="str">
        <f t="shared" si="2"/>
        <v/>
      </c>
      <c r="J20" s="22"/>
      <c r="K20" s="21"/>
      <c r="L20" s="21"/>
      <c r="M20" s="116" t="str">
        <f t="shared" si="3"/>
        <v/>
      </c>
      <c r="N20" s="43"/>
      <c r="O20" s="45" t="str">
        <f t="shared" si="4"/>
        <v/>
      </c>
      <c r="P20" s="9"/>
      <c r="Q20" s="134" t="str">
        <f t="shared" si="5"/>
        <v/>
      </c>
      <c r="R20" s="112" t="str">
        <f t="shared" si="6"/>
        <v/>
      </c>
    </row>
    <row r="21" spans="1:18" x14ac:dyDescent="0.2">
      <c r="A21" s="88"/>
      <c r="B21" s="103" t="s">
        <v>22</v>
      </c>
      <c r="C21" s="22"/>
      <c r="D21" s="21"/>
      <c r="E21" s="27" t="str">
        <f t="shared" si="1"/>
        <v/>
      </c>
      <c r="F21" s="7"/>
      <c r="G21" s="22"/>
      <c r="H21" s="21"/>
      <c r="I21" s="116" t="str">
        <f t="shared" si="2"/>
        <v/>
      </c>
      <c r="J21" s="22"/>
      <c r="K21" s="21"/>
      <c r="L21" s="21"/>
      <c r="M21" s="116" t="str">
        <f t="shared" si="3"/>
        <v/>
      </c>
      <c r="N21" s="43"/>
      <c r="O21" s="45" t="str">
        <f t="shared" si="4"/>
        <v/>
      </c>
      <c r="P21" s="9"/>
      <c r="Q21" s="134" t="str">
        <f t="shared" si="5"/>
        <v/>
      </c>
      <c r="R21" s="112" t="str">
        <f t="shared" si="6"/>
        <v/>
      </c>
    </row>
    <row r="22" spans="1:18" x14ac:dyDescent="0.2">
      <c r="A22" s="88"/>
      <c r="B22" s="103" t="s">
        <v>23</v>
      </c>
      <c r="C22" s="22"/>
      <c r="D22" s="21"/>
      <c r="E22" s="27" t="str">
        <f t="shared" si="1"/>
        <v/>
      </c>
      <c r="F22" s="7"/>
      <c r="G22" s="22"/>
      <c r="H22" s="21"/>
      <c r="I22" s="116" t="str">
        <f t="shared" si="2"/>
        <v/>
      </c>
      <c r="J22" s="22"/>
      <c r="K22" s="21"/>
      <c r="L22" s="21"/>
      <c r="M22" s="116" t="str">
        <f t="shared" si="3"/>
        <v/>
      </c>
      <c r="N22" s="43"/>
      <c r="O22" s="45" t="str">
        <f t="shared" si="4"/>
        <v/>
      </c>
      <c r="P22" s="9"/>
      <c r="Q22" s="134" t="str">
        <f t="shared" si="5"/>
        <v/>
      </c>
      <c r="R22" s="112" t="str">
        <f t="shared" si="6"/>
        <v/>
      </c>
    </row>
    <row r="23" spans="1:18" x14ac:dyDescent="0.2">
      <c r="A23" s="88"/>
      <c r="B23" s="103" t="s">
        <v>50</v>
      </c>
      <c r="C23" s="22"/>
      <c r="D23" s="21"/>
      <c r="E23" s="27" t="str">
        <f t="shared" si="1"/>
        <v/>
      </c>
      <c r="F23" s="7"/>
      <c r="G23" s="22"/>
      <c r="H23" s="21"/>
      <c r="I23" s="116" t="str">
        <f t="shared" si="2"/>
        <v/>
      </c>
      <c r="J23" s="22"/>
      <c r="K23" s="21"/>
      <c r="L23" s="21"/>
      <c r="M23" s="116" t="str">
        <f t="shared" si="3"/>
        <v/>
      </c>
      <c r="N23" s="43"/>
      <c r="O23" s="45" t="str">
        <f t="shared" si="4"/>
        <v/>
      </c>
      <c r="P23" s="9"/>
      <c r="Q23" s="134" t="str">
        <f t="shared" si="5"/>
        <v/>
      </c>
      <c r="R23" s="112" t="str">
        <f t="shared" si="6"/>
        <v/>
      </c>
    </row>
    <row r="24" spans="1:18" x14ac:dyDescent="0.2">
      <c r="A24" s="88"/>
      <c r="B24" s="103" t="s">
        <v>48</v>
      </c>
      <c r="C24" s="22"/>
      <c r="D24" s="21"/>
      <c r="E24" s="27" t="str">
        <f t="shared" si="1"/>
        <v/>
      </c>
      <c r="F24" s="7"/>
      <c r="G24" s="22"/>
      <c r="H24" s="21"/>
      <c r="I24" s="116" t="str">
        <f t="shared" si="2"/>
        <v/>
      </c>
      <c r="J24" s="22"/>
      <c r="K24" s="21"/>
      <c r="L24" s="21"/>
      <c r="M24" s="116" t="str">
        <f t="shared" si="3"/>
        <v/>
      </c>
      <c r="N24" s="43"/>
      <c r="O24" s="45" t="str">
        <f t="shared" si="4"/>
        <v/>
      </c>
      <c r="P24" s="9"/>
      <c r="Q24" s="134" t="str">
        <f t="shared" si="5"/>
        <v/>
      </c>
      <c r="R24" s="112" t="str">
        <f t="shared" si="6"/>
        <v/>
      </c>
    </row>
    <row r="25" spans="1:18" x14ac:dyDescent="0.2">
      <c r="A25" s="88"/>
      <c r="B25" s="103" t="s">
        <v>49</v>
      </c>
      <c r="C25" s="22"/>
      <c r="D25" s="21"/>
      <c r="E25" s="27" t="str">
        <f t="shared" si="1"/>
        <v/>
      </c>
      <c r="F25" s="7"/>
      <c r="G25" s="22"/>
      <c r="H25" s="21"/>
      <c r="I25" s="116" t="str">
        <f t="shared" si="2"/>
        <v/>
      </c>
      <c r="J25" s="22"/>
      <c r="K25" s="21"/>
      <c r="L25" s="21"/>
      <c r="M25" s="116" t="str">
        <f t="shared" si="3"/>
        <v/>
      </c>
      <c r="N25" s="43"/>
      <c r="O25" s="45" t="str">
        <f t="shared" si="4"/>
        <v/>
      </c>
      <c r="P25" s="9"/>
      <c r="Q25" s="134" t="str">
        <f t="shared" si="5"/>
        <v/>
      </c>
      <c r="R25" s="112" t="str">
        <f t="shared" si="6"/>
        <v/>
      </c>
    </row>
    <row r="26" spans="1:18" x14ac:dyDescent="0.2">
      <c r="A26" s="88"/>
      <c r="B26" s="103" t="s">
        <v>24</v>
      </c>
      <c r="C26" s="22">
        <v>473.76</v>
      </c>
      <c r="D26" s="21"/>
      <c r="E26" s="27">
        <f t="shared" si="1"/>
        <v>473.76</v>
      </c>
      <c r="F26" s="7"/>
      <c r="G26" s="22">
        <v>332.81</v>
      </c>
      <c r="H26" s="21"/>
      <c r="I26" s="116">
        <f t="shared" si="2"/>
        <v>332.81</v>
      </c>
      <c r="J26" s="22"/>
      <c r="K26" s="21"/>
      <c r="L26" s="21"/>
      <c r="M26" s="116" t="str">
        <f t="shared" si="3"/>
        <v/>
      </c>
      <c r="N26" s="43"/>
      <c r="O26" s="45">
        <f t="shared" si="4"/>
        <v>332.81</v>
      </c>
      <c r="P26" s="9"/>
      <c r="Q26" s="134">
        <f t="shared" si="5"/>
        <v>806.56999999999994</v>
      </c>
      <c r="R26" s="112">
        <f t="shared" si="6"/>
        <v>3.7535421707021455E-2</v>
      </c>
    </row>
    <row r="27" spans="1:18" x14ac:dyDescent="0.2">
      <c r="A27" s="88"/>
      <c r="B27" s="103"/>
      <c r="C27" s="8"/>
      <c r="D27" s="4"/>
      <c r="E27" s="27"/>
      <c r="F27" s="7"/>
      <c r="G27" s="8"/>
      <c r="H27" s="4"/>
      <c r="I27" s="116"/>
      <c r="J27" s="8"/>
      <c r="K27" s="4"/>
      <c r="L27" s="4"/>
      <c r="M27" s="120"/>
      <c r="N27" s="42"/>
      <c r="O27" s="45"/>
      <c r="P27" s="9"/>
      <c r="Q27" s="134"/>
      <c r="R27" s="112"/>
    </row>
    <row r="28" spans="1:18" x14ac:dyDescent="0.2">
      <c r="A28" s="91" t="s">
        <v>25</v>
      </c>
      <c r="B28" s="106"/>
      <c r="C28" s="14">
        <f>SUM(C16:C27)</f>
        <v>9643.152</v>
      </c>
      <c r="D28" s="14">
        <f>SUM(D16:D27)</f>
        <v>2328.31</v>
      </c>
      <c r="E28" s="14">
        <f>SUM(E16:E27)</f>
        <v>11971.462</v>
      </c>
      <c r="F28" s="119"/>
      <c r="G28" s="14">
        <f>SUM(G16:G27)</f>
        <v>4059.9939999999997</v>
      </c>
      <c r="H28" s="14">
        <f>SUM(H16:H27)</f>
        <v>512.16999999999996</v>
      </c>
      <c r="I28" s="14">
        <f>SUM(I16:I27)</f>
        <v>4572.1640000000007</v>
      </c>
      <c r="J28" s="14">
        <f>SUM(J16:J27)</f>
        <v>6.94</v>
      </c>
      <c r="K28" s="14">
        <f t="shared" ref="K28:Q28" si="7">SUM(K16:K27)</f>
        <v>1014.97</v>
      </c>
      <c r="L28" s="14">
        <f t="shared" si="7"/>
        <v>2578.83</v>
      </c>
      <c r="M28" s="176">
        <f t="shared" si="7"/>
        <v>3600.74</v>
      </c>
      <c r="N28" s="175">
        <f>IF(SUM(N16:N27)=0,"",SUM(N16:N27))</f>
        <v>1343.87</v>
      </c>
      <c r="O28" s="14">
        <f t="shared" si="7"/>
        <v>9516.7739999999994</v>
      </c>
      <c r="P28" s="9"/>
      <c r="Q28" s="137">
        <f t="shared" si="7"/>
        <v>21488.236000000001</v>
      </c>
      <c r="R28" s="136">
        <f>IF(Q28="","",Q28/Q$28)</f>
        <v>1</v>
      </c>
    </row>
    <row r="29" spans="1:18" ht="5.0999999999999996" customHeight="1" thickBot="1" x14ac:dyDescent="0.25">
      <c r="A29" s="77"/>
      <c r="B29" s="77"/>
      <c r="C29" s="13"/>
      <c r="D29" s="13"/>
      <c r="E29" s="13"/>
      <c r="F29" s="13"/>
      <c r="G29" s="13"/>
      <c r="H29" s="13"/>
      <c r="I29" s="74"/>
      <c r="J29" s="13"/>
      <c r="K29" s="13"/>
      <c r="L29" s="13"/>
      <c r="M29" s="74"/>
      <c r="N29" s="74"/>
      <c r="O29" s="75"/>
      <c r="P29" s="76"/>
      <c r="Q29" s="13"/>
      <c r="R29" s="19"/>
    </row>
    <row r="30" spans="1:18" ht="13.5" customHeight="1" thickTop="1" x14ac:dyDescent="0.2">
      <c r="A30" s="92" t="s">
        <v>26</v>
      </c>
      <c r="B30" s="93"/>
      <c r="C30" s="65" t="e">
        <f>C13-C28</f>
        <v>#REF!</v>
      </c>
      <c r="D30" s="57" t="e">
        <f>D13-D28</f>
        <v>#REF!</v>
      </c>
      <c r="E30" s="58" t="e">
        <f>IF(SUM(C30:D30)=0,"",SUM(C30:D30))</f>
        <v>#REF!</v>
      </c>
      <c r="F30" s="7"/>
      <c r="G30" s="65" t="e">
        <f>G13-G28</f>
        <v>#REF!</v>
      </c>
      <c r="H30" s="57" t="e">
        <f>H13-H28</f>
        <v>#REF!</v>
      </c>
      <c r="I30" s="68" t="e">
        <f>IF(SUM(G30:H30)=0,"",SUM(G30:H30))</f>
        <v>#REF!</v>
      </c>
      <c r="J30" s="63" t="e">
        <f>J13-J28</f>
        <v>#REF!</v>
      </c>
      <c r="K30" s="57" t="e">
        <f>K13-K28</f>
        <v>#REF!</v>
      </c>
      <c r="L30" s="57" t="e">
        <f>L13-L28</f>
        <v>#REF!</v>
      </c>
      <c r="M30" s="71" t="e">
        <f>IF(SUM(J30:L30)=0,"",SUM(J30:L30))</f>
        <v>#REF!</v>
      </c>
      <c r="N30" s="83" t="e">
        <f>IF(OR(N13="",N28="",N16=""),"",N13-N28)</f>
        <v>#REF!</v>
      </c>
      <c r="O30" s="127" t="e">
        <f>IF(SUM(I30,M30,N30)=0,"",SUM(I30,M30,N30))</f>
        <v>#REF!</v>
      </c>
      <c r="Q30" s="666" t="e">
        <f>IF(SUM(E30,O30)=0,"",SUM(E30,O30))</f>
        <v>#REF!</v>
      </c>
      <c r="R30" s="667" t="str">
        <f>IF(SUM(F30,P30)=0,"",SUM(F30,P30))</f>
        <v/>
      </c>
    </row>
    <row r="31" spans="1:18" ht="12.75" customHeight="1" x14ac:dyDescent="0.2">
      <c r="A31" s="94" t="s">
        <v>27</v>
      </c>
      <c r="B31" s="95"/>
      <c r="C31" s="124">
        <f>41204.18-8753.58</f>
        <v>32450.6</v>
      </c>
      <c r="D31" s="123">
        <v>8753.58</v>
      </c>
      <c r="E31" s="60">
        <f>IF(SUM(C31:D31)=0,"",SUM(C31:D31))</f>
        <v>41204.18</v>
      </c>
      <c r="F31" s="7"/>
      <c r="G31" s="124">
        <f>23809.11-502.35-9296.97</f>
        <v>14009.790000000003</v>
      </c>
      <c r="H31" s="123"/>
      <c r="I31" s="69">
        <f>IF(SUM(G31:H31)=0,"",SUM(G31:H31))</f>
        <v>14009.790000000003</v>
      </c>
      <c r="J31" s="125">
        <v>9296.9699999999993</v>
      </c>
      <c r="K31" s="123"/>
      <c r="L31" s="123"/>
      <c r="M31" s="72">
        <f>IF(SUM(J31:L31)=0,"",SUM(J31:L31))</f>
        <v>9296.9699999999993</v>
      </c>
      <c r="N31" s="126">
        <v>502.35</v>
      </c>
      <c r="O31" s="129">
        <f>IF(SUM(I31,M31,N31)=0,"",SUM(I31,M31,N31))</f>
        <v>23809.11</v>
      </c>
      <c r="Q31" s="664">
        <f>IF(SUM(E31,O31)=0,"",SUM(E31,O31))</f>
        <v>65013.29</v>
      </c>
      <c r="R31" s="665" t="str">
        <f>IF(SUM(F31,P31)=0,"",SUM(F31,P31))</f>
        <v/>
      </c>
    </row>
    <row r="32" spans="1:18" ht="13.5" customHeight="1" thickBot="1" x14ac:dyDescent="0.25">
      <c r="A32" s="96" t="s">
        <v>28</v>
      </c>
      <c r="B32" s="97"/>
      <c r="C32" s="67" t="e">
        <f>IF(OR(C30="",C31=""),"",C30/C31)</f>
        <v>#REF!</v>
      </c>
      <c r="D32" s="61" t="e">
        <f>IF(OR(D30="",D31=""),"",D30/D31)</f>
        <v>#REF!</v>
      </c>
      <c r="E32" s="62" t="e">
        <f>IF(OR(E30="",E31=""),"",E30/E31)</f>
        <v>#REF!</v>
      </c>
      <c r="F32" s="15"/>
      <c r="G32" s="67" t="e">
        <f t="shared" ref="G32:O32" si="8">IF(OR(G30="",G31=""),"",G30/G31)</f>
        <v>#REF!</v>
      </c>
      <c r="H32" s="61" t="e">
        <f t="shared" si="8"/>
        <v>#REF!</v>
      </c>
      <c r="I32" s="70" t="e">
        <f t="shared" si="8"/>
        <v>#REF!</v>
      </c>
      <c r="J32" s="73" t="e">
        <f t="shared" si="8"/>
        <v>#REF!</v>
      </c>
      <c r="K32" s="61" t="e">
        <f t="shared" si="8"/>
        <v>#REF!</v>
      </c>
      <c r="L32" s="61" t="e">
        <f t="shared" si="8"/>
        <v>#REF!</v>
      </c>
      <c r="M32" s="70" t="e">
        <f t="shared" si="8"/>
        <v>#REF!</v>
      </c>
      <c r="N32" s="85" t="e">
        <f t="shared" si="8"/>
        <v>#REF!</v>
      </c>
      <c r="O32" s="128" t="e">
        <f t="shared" si="8"/>
        <v>#REF!</v>
      </c>
      <c r="Q32" s="668" t="e">
        <f>IF(OR(Q30="",Q31=""),"",Q30/Q31)</f>
        <v>#REF!</v>
      </c>
      <c r="R32" s="669"/>
    </row>
    <row r="33" spans="1:19" ht="5.0999999999999996" customHeight="1" thickTop="1" thickBot="1" x14ac:dyDescent="0.25">
      <c r="A33" s="31"/>
      <c r="B33" s="31"/>
      <c r="E33" s="16"/>
      <c r="I33" s="56"/>
      <c r="M33" s="51"/>
      <c r="N33" s="51"/>
      <c r="O33" s="51"/>
    </row>
    <row r="34" spans="1:19" ht="13.5" customHeight="1" thickTop="1" x14ac:dyDescent="0.2">
      <c r="A34" s="92" t="s">
        <v>30</v>
      </c>
      <c r="B34" s="93"/>
      <c r="C34" s="65" t="e">
        <f>IF(OR(C30="",ISERROR(#REF!+C30)),"",#REF!+C30)</f>
        <v>#REF!</v>
      </c>
      <c r="D34" s="57" t="e">
        <f>IF(OR(D30="",ISERROR(#REF!+D30)),"",#REF!+D30)</f>
        <v>#REF!</v>
      </c>
      <c r="E34" s="58" t="e">
        <f>IF(SUM(C34:D34)=0,"",SUM(C34:D34))</f>
        <v>#REF!</v>
      </c>
      <c r="F34" s="7"/>
      <c r="G34" s="65" t="e">
        <f>IF(OR(G30="",ISERROR(#REF!+G30)),"",#REF!+G30)</f>
        <v>#REF!</v>
      </c>
      <c r="H34" s="57" t="e">
        <f>IF(OR(H30="",ISERROR(#REF!+H30)),"",#REF!+H30)</f>
        <v>#REF!</v>
      </c>
      <c r="I34" s="68" t="e">
        <f>IF(SUM(G34:H34)=0,"",SUM(G34:H34))</f>
        <v>#REF!</v>
      </c>
      <c r="J34" s="63" t="e">
        <f>#REF!+J30</f>
        <v>#REF!</v>
      </c>
      <c r="K34" s="57" t="e">
        <f>IF(OR(K30="",ISERROR(#REF!+K30)),"",#REF!+K30)</f>
        <v>#REF!</v>
      </c>
      <c r="L34" s="57" t="e">
        <f>IF(OR(L30="",ISERROR(#REF!+L30)),"",#REF!+L30)</f>
        <v>#REF!</v>
      </c>
      <c r="M34" s="71" t="e">
        <f>IF(SUM(J34:L34)=0,"",SUM(J34:L34))</f>
        <v>#REF!</v>
      </c>
      <c r="N34" s="83" t="e">
        <f>IF(OR(N30="",ISERROR(#REF!+N30)),"",#REF!+N30)</f>
        <v>#REF!</v>
      </c>
      <c r="O34" s="127" t="e">
        <f>IF(SUM(I34,M34,N34)=0,"",SUM(I34,M34,N34))</f>
        <v>#REF!</v>
      </c>
      <c r="Q34" s="666" t="e">
        <f>IF(OR(E34="",O34=""),"",SUM(E34,O34))</f>
        <v>#REF!</v>
      </c>
      <c r="R34" s="667"/>
    </row>
    <row r="35" spans="1:19" ht="12.75" customHeight="1" x14ac:dyDescent="0.2">
      <c r="A35" s="94" t="s">
        <v>29</v>
      </c>
      <c r="B35" s="95"/>
      <c r="C35" s="66" t="str">
        <f>IF(OR(C31=0,C31="",ISERROR(#REF!+C31)),"",#REF!+C31)</f>
        <v/>
      </c>
      <c r="D35" s="59" t="str">
        <f>IF(OR(D31=0,D31="",ISERROR(#REF!+D31)),"",#REF!+D31)</f>
        <v/>
      </c>
      <c r="E35" s="60" t="str">
        <f>IF(SUM(C35:D35)=0,"",SUM(C35:D35))</f>
        <v/>
      </c>
      <c r="F35" s="7"/>
      <c r="G35" s="66" t="str">
        <f>IF(OR(G31=0,G31="",ISERROR(#REF!+G31)),"",#REF!+G31)</f>
        <v/>
      </c>
      <c r="H35" s="59" t="str">
        <f>IF(OR(H31=0,H31="",ISERROR(#REF!+H31)),"",#REF!+H31)</f>
        <v/>
      </c>
      <c r="I35" s="69" t="str">
        <f>IF(SUM(G35:H35)=0,"",SUM(G35:H35))</f>
        <v/>
      </c>
      <c r="J35" s="64" t="str">
        <f>IF(OR(J31=0,J31="",ISERROR(#REF!+J31)),"",#REF!+J31)</f>
        <v/>
      </c>
      <c r="K35" s="59" t="str">
        <f>IF(OR(K31=0,K31="",ISERROR(#REF!+K31)),"",#REF!+K31)</f>
        <v/>
      </c>
      <c r="L35" s="59" t="str">
        <f>IF(OR(L31=0,L31="",ISERROR(#REF!+L31)),"",#REF!+L31)</f>
        <v/>
      </c>
      <c r="M35" s="72" t="str">
        <f>IF(SUM(J35:L35)=0,"",SUM(J35:L35))</f>
        <v/>
      </c>
      <c r="N35" s="84" t="str">
        <f>IF(OR(N31=0,N31="",ISERROR(#REF!+N31)),"",#REF!+N31)</f>
        <v/>
      </c>
      <c r="O35" s="129" t="str">
        <f>IF(SUM(I35,M35,N35)=0,"",SUM(I35,M35,N35))</f>
        <v/>
      </c>
      <c r="Q35" s="664" t="str">
        <f>IF(OR(E35="",O35=""),"",SUM(E35,O35))</f>
        <v/>
      </c>
      <c r="R35" s="665"/>
    </row>
    <row r="36" spans="1:19" s="16" customFormat="1" ht="13.5" customHeight="1" thickBot="1" x14ac:dyDescent="0.25">
      <c r="A36" s="96" t="s">
        <v>31</v>
      </c>
      <c r="B36" s="97"/>
      <c r="C36" s="67" t="str">
        <f>IF(ISERROR(C34/C35),"",C34/C35)</f>
        <v/>
      </c>
      <c r="D36" s="61" t="str">
        <f>IF(ISERROR(D34/D35),"",D34/D35)</f>
        <v/>
      </c>
      <c r="E36" s="62" t="str">
        <f>IF(ISERROR(E34/E35),"",E34/E35)</f>
        <v/>
      </c>
      <c r="F36" s="15"/>
      <c r="G36" s="67" t="str">
        <f t="shared" ref="G36:O36" si="9">IF(ISERROR(G34/G35),"",G34/G35)</f>
        <v/>
      </c>
      <c r="H36" s="61" t="str">
        <f t="shared" si="9"/>
        <v/>
      </c>
      <c r="I36" s="70" t="str">
        <f t="shared" si="9"/>
        <v/>
      </c>
      <c r="J36" s="73" t="str">
        <f t="shared" si="9"/>
        <v/>
      </c>
      <c r="K36" s="61" t="str">
        <f t="shared" si="9"/>
        <v/>
      </c>
      <c r="L36" s="61" t="str">
        <f t="shared" si="9"/>
        <v/>
      </c>
      <c r="M36" s="70" t="str">
        <f t="shared" si="9"/>
        <v/>
      </c>
      <c r="N36" s="85" t="str">
        <f t="shared" si="9"/>
        <v/>
      </c>
      <c r="O36" s="128" t="str">
        <f t="shared" si="9"/>
        <v/>
      </c>
      <c r="P36" s="55"/>
      <c r="Q36" s="668" t="str">
        <f>IF(ISERROR(Q34/Q35),"",Q34/Q35)</f>
        <v/>
      </c>
      <c r="R36" s="669"/>
    </row>
    <row r="37" spans="1:19" ht="5.0999999999999996" customHeight="1" thickTop="1" thickBot="1" x14ac:dyDescent="0.25">
      <c r="A37" s="31"/>
      <c r="B37" s="31"/>
    </row>
    <row r="38" spans="1:19" ht="12.75" thickTop="1" thickBot="1" x14ac:dyDescent="0.25">
      <c r="A38" s="98"/>
      <c r="B38" s="99"/>
      <c r="C38" s="652" t="s">
        <v>68</v>
      </c>
      <c r="D38" s="653"/>
      <c r="E38" s="654"/>
      <c r="F38" s="54"/>
      <c r="G38" s="652" t="s">
        <v>67</v>
      </c>
      <c r="H38" s="653"/>
      <c r="I38" s="654"/>
      <c r="J38" s="649" t="s">
        <v>66</v>
      </c>
      <c r="K38" s="650"/>
      <c r="L38" s="650"/>
      <c r="M38" s="651"/>
      <c r="N38" s="102" t="s">
        <v>75</v>
      </c>
      <c r="O38" s="101" t="s">
        <v>69</v>
      </c>
      <c r="P38" s="55"/>
      <c r="Q38" s="652" t="s">
        <v>70</v>
      </c>
      <c r="R38" s="654"/>
    </row>
    <row r="39" spans="1:19" ht="16.5" customHeight="1" thickTop="1" thickBot="1" x14ac:dyDescent="0.3">
      <c r="A39" s="100" t="s">
        <v>28</v>
      </c>
      <c r="B39" s="99"/>
      <c r="C39" s="593" t="e">
        <f>IF(E32="","",E32)</f>
        <v>#REF!</v>
      </c>
      <c r="D39" s="655"/>
      <c r="E39" s="594"/>
      <c r="F39" s="29"/>
      <c r="G39" s="626" t="e">
        <f>IF(I32="","",I32)</f>
        <v>#REF!</v>
      </c>
      <c r="H39" s="626"/>
      <c r="I39" s="626"/>
      <c r="J39" s="626" t="e">
        <f>IF(M32="","",M32)</f>
        <v>#REF!</v>
      </c>
      <c r="K39" s="626"/>
      <c r="L39" s="626"/>
      <c r="M39" s="626"/>
      <c r="N39" s="80" t="e">
        <f>N32</f>
        <v>#REF!</v>
      </c>
      <c r="O39" s="80" t="e">
        <f>IF(O32="","",O32)</f>
        <v>#REF!</v>
      </c>
      <c r="P39" s="30"/>
      <c r="Q39" s="593" t="e">
        <f>IF(Q32="","",Q32)</f>
        <v>#REF!</v>
      </c>
      <c r="R39" s="594"/>
    </row>
    <row r="40" spans="1:19" ht="16.5" customHeight="1" thickTop="1" thickBot="1" x14ac:dyDescent="0.25">
      <c r="A40" s="100" t="s">
        <v>32</v>
      </c>
      <c r="B40" s="99"/>
      <c r="C40" s="595" t="str">
        <f>IF(E36="","",E36)</f>
        <v/>
      </c>
      <c r="D40" s="656"/>
      <c r="E40" s="596"/>
      <c r="F40" s="130"/>
      <c r="G40" s="627" t="str">
        <f>IF(I36="","",I36)</f>
        <v/>
      </c>
      <c r="H40" s="627"/>
      <c r="I40" s="627"/>
      <c r="J40" s="627" t="str">
        <f>IF(M36="","",M36)</f>
        <v/>
      </c>
      <c r="K40" s="627"/>
      <c r="L40" s="627"/>
      <c r="M40" s="627"/>
      <c r="N40" s="131" t="str">
        <f>IF(N36="","",N36)</f>
        <v/>
      </c>
      <c r="O40" s="131" t="str">
        <f>IF(O36="","",O36)</f>
        <v/>
      </c>
      <c r="P40" s="132"/>
      <c r="Q40" s="595" t="str">
        <f>IF(Q36="","",Q36)</f>
        <v/>
      </c>
      <c r="R40" s="596"/>
    </row>
    <row r="41" spans="1:19" ht="5.0999999999999996" customHeight="1" thickTop="1" thickBot="1" x14ac:dyDescent="0.25">
      <c r="Q41" s="16"/>
    </row>
    <row r="42" spans="1:19" ht="13.5" customHeight="1" thickTop="1" x14ac:dyDescent="0.2">
      <c r="A42" s="597"/>
      <c r="B42" s="598"/>
      <c r="C42" s="600" t="s">
        <v>33</v>
      </c>
      <c r="D42" s="602"/>
      <c r="E42" s="600" t="s">
        <v>34</v>
      </c>
      <c r="F42" s="601"/>
      <c r="G42" s="602"/>
      <c r="H42" s="600" t="s">
        <v>65</v>
      </c>
      <c r="I42" s="602"/>
      <c r="J42" s="670" t="s">
        <v>52</v>
      </c>
      <c r="K42" s="602"/>
      <c r="L42" s="670" t="s">
        <v>53</v>
      </c>
      <c r="M42" s="671"/>
      <c r="N42" s="628" t="s">
        <v>73</v>
      </c>
      <c r="O42" s="629"/>
      <c r="P42" s="38"/>
      <c r="Q42" s="644" t="s">
        <v>54</v>
      </c>
      <c r="R42" s="645"/>
      <c r="S42" s="6"/>
    </row>
    <row r="43" spans="1:19" ht="13.5" customHeight="1" thickBot="1" x14ac:dyDescent="0.25">
      <c r="A43" s="638"/>
      <c r="B43" s="639"/>
      <c r="C43" s="633"/>
      <c r="D43" s="634"/>
      <c r="E43" s="633" t="s">
        <v>51</v>
      </c>
      <c r="F43" s="648"/>
      <c r="G43" s="634"/>
      <c r="H43" s="633"/>
      <c r="I43" s="634"/>
      <c r="J43" s="633"/>
      <c r="K43" s="634"/>
      <c r="L43" s="672"/>
      <c r="M43" s="673"/>
      <c r="N43" s="630"/>
      <c r="O43" s="631"/>
      <c r="P43" s="38"/>
      <c r="Q43" s="646"/>
      <c r="R43" s="647"/>
      <c r="S43" s="6"/>
    </row>
    <row r="44" spans="1:19" ht="13.5" customHeight="1" thickTop="1" x14ac:dyDescent="0.2">
      <c r="A44" s="32" t="s">
        <v>35</v>
      </c>
      <c r="B44" s="33"/>
      <c r="C44" s="606" t="e">
        <f>IF(#REF!="","",#REF!)</f>
        <v>#REF!</v>
      </c>
      <c r="D44" s="607"/>
      <c r="E44" s="606" t="e">
        <f>IF(#REF!="","",#REF!)</f>
        <v>#REF!</v>
      </c>
      <c r="F44" s="663"/>
      <c r="G44" s="607"/>
      <c r="H44" s="659" t="e">
        <f>IF(#REF!="","",#REF!)</f>
        <v>#REF!</v>
      </c>
      <c r="I44" s="660"/>
      <c r="J44" s="659" t="e">
        <f>IF(#REF!="","",#REF!)</f>
        <v>#REF!</v>
      </c>
      <c r="K44" s="660"/>
      <c r="L44" s="659" t="e">
        <f>IF(#REF!="","",#REF!)</f>
        <v>#REF!</v>
      </c>
      <c r="M44" s="660"/>
      <c r="N44" s="659" t="e">
        <f>IF(#REF!="","",#REF!)</f>
        <v>#REF!</v>
      </c>
      <c r="O44" s="660"/>
      <c r="P44" s="39"/>
      <c r="Q44" s="657" t="e">
        <f>IF(#REF!="","",#REF!)</f>
        <v>#REF!</v>
      </c>
      <c r="R44" s="658"/>
      <c r="S44" s="6"/>
    </row>
    <row r="45" spans="1:19" ht="12.75" customHeight="1" x14ac:dyDescent="0.2">
      <c r="A45" s="34" t="s">
        <v>36</v>
      </c>
      <c r="B45" s="35"/>
      <c r="C45" s="603" t="e">
        <f>IF(#REF!="","",#REF!)</f>
        <v>#REF!</v>
      </c>
      <c r="D45" s="605"/>
      <c r="E45" s="603" t="e">
        <f>IF(#REF!="","",#REF!)</f>
        <v>#REF!</v>
      </c>
      <c r="F45" s="604"/>
      <c r="G45" s="605"/>
      <c r="H45" s="632" t="e">
        <f>IF(#REF!="","",#REF!)</f>
        <v>#REF!</v>
      </c>
      <c r="I45" s="637"/>
      <c r="J45" s="632" t="e">
        <f>IF(#REF!="","",#REF!)</f>
        <v>#REF!</v>
      </c>
      <c r="K45" s="637"/>
      <c r="L45" s="632" t="e">
        <f>IF(#REF!="","",#REF!)</f>
        <v>#REF!</v>
      </c>
      <c r="M45" s="637"/>
      <c r="N45" s="632" t="e">
        <f>IF(#REF!="","",#REF!)</f>
        <v>#REF!</v>
      </c>
      <c r="O45" s="637"/>
      <c r="P45" s="39"/>
      <c r="Q45" s="608" t="e">
        <f>IF(#REF!="","",#REF!)</f>
        <v>#REF!</v>
      </c>
      <c r="R45" s="609"/>
      <c r="S45" s="6"/>
    </row>
    <row r="46" spans="1:19" ht="12.75" customHeight="1" x14ac:dyDescent="0.2">
      <c r="A46" s="34" t="s">
        <v>37</v>
      </c>
      <c r="B46" s="35"/>
      <c r="C46" s="603" t="e">
        <f>IF(#REF!="","",#REF!)</f>
        <v>#REF!</v>
      </c>
      <c r="D46" s="605"/>
      <c r="E46" s="603" t="e">
        <f>IF(#REF!="","",#REF!)</f>
        <v>#REF!</v>
      </c>
      <c r="F46" s="604"/>
      <c r="G46" s="605"/>
      <c r="H46" s="632" t="e">
        <f>IF(#REF!="","",#REF!)</f>
        <v>#REF!</v>
      </c>
      <c r="I46" s="637"/>
      <c r="J46" s="632" t="e">
        <f>IF(#REF!="","",#REF!)</f>
        <v>#REF!</v>
      </c>
      <c r="K46" s="637"/>
      <c r="L46" s="632" t="e">
        <f>IF(#REF!="","",#REF!)</f>
        <v>#REF!</v>
      </c>
      <c r="M46" s="637"/>
      <c r="N46" s="632" t="e">
        <f>IF(#REF!="","",#REF!)</f>
        <v>#REF!</v>
      </c>
      <c r="O46" s="637"/>
      <c r="P46" s="39"/>
      <c r="Q46" s="608" t="e">
        <f>IF(#REF!="","",#REF!)</f>
        <v>#REF!</v>
      </c>
      <c r="R46" s="609"/>
      <c r="S46" s="6"/>
    </row>
    <row r="47" spans="1:19" ht="12.75" customHeight="1" x14ac:dyDescent="0.2">
      <c r="A47" s="34" t="s">
        <v>38</v>
      </c>
      <c r="B47" s="35"/>
      <c r="C47" s="603" t="e">
        <f>IF(#REF!="","",#REF!)</f>
        <v>#REF!</v>
      </c>
      <c r="D47" s="605"/>
      <c r="E47" s="603" t="e">
        <f>IF(#REF!="","",#REF!)</f>
        <v>#REF!</v>
      </c>
      <c r="F47" s="604"/>
      <c r="G47" s="605"/>
      <c r="H47" s="632" t="e">
        <f>IF(#REF!="","",#REF!)</f>
        <v>#REF!</v>
      </c>
      <c r="I47" s="637"/>
      <c r="J47" s="632" t="e">
        <f>IF(#REF!="","",#REF!)</f>
        <v>#REF!</v>
      </c>
      <c r="K47" s="637"/>
      <c r="L47" s="632" t="e">
        <f>IF(#REF!="","",#REF!)</f>
        <v>#REF!</v>
      </c>
      <c r="M47" s="637"/>
      <c r="N47" s="632" t="e">
        <f>IF(#REF!="","",#REF!)</f>
        <v>#REF!</v>
      </c>
      <c r="O47" s="637"/>
      <c r="P47" s="39"/>
      <c r="Q47" s="608" t="e">
        <f>IF(#REF!="","",#REF!)</f>
        <v>#REF!</v>
      </c>
      <c r="R47" s="609"/>
      <c r="S47" s="6"/>
    </row>
    <row r="48" spans="1:19" ht="12.75" customHeight="1" x14ac:dyDescent="0.2">
      <c r="A48" s="34" t="s">
        <v>39</v>
      </c>
      <c r="B48" s="35"/>
      <c r="C48" s="603" t="e">
        <f>IF(#REF!="","",#REF!)</f>
        <v>#REF!</v>
      </c>
      <c r="D48" s="605"/>
      <c r="E48" s="603" t="e">
        <f>IF(Q30="","",Q30)</f>
        <v>#REF!</v>
      </c>
      <c r="F48" s="604"/>
      <c r="G48" s="605"/>
      <c r="H48" s="632" t="e">
        <f>IF(#REF!="","",#REF!)</f>
        <v>#REF!</v>
      </c>
      <c r="I48" s="637"/>
      <c r="J48" s="632" t="e">
        <f>IF(#REF!="","",#REF!)</f>
        <v>#REF!</v>
      </c>
      <c r="K48" s="637"/>
      <c r="L48" s="632" t="e">
        <f>IF(#REF!="","",#REF!)</f>
        <v>#REF!</v>
      </c>
      <c r="M48" s="637"/>
      <c r="N48" s="632" t="e">
        <f>IF(#REF!="","",#REF!)</f>
        <v>#REF!</v>
      </c>
      <c r="O48" s="637"/>
      <c r="P48" s="39"/>
      <c r="Q48" s="608" t="e">
        <f>IF(#REF!="","",#REF!)</f>
        <v>#REF!</v>
      </c>
      <c r="R48" s="609"/>
      <c r="S48" s="6"/>
    </row>
    <row r="49" spans="1:19" ht="12.75" customHeight="1" x14ac:dyDescent="0.2">
      <c r="A49" s="34" t="s">
        <v>40</v>
      </c>
      <c r="B49" s="35"/>
      <c r="C49" s="603" t="e">
        <f>IF(#REF!="","",#REF!)</f>
        <v>#REF!</v>
      </c>
      <c r="D49" s="605"/>
      <c r="E49" s="603" t="e">
        <f>IF(#REF!="","",#REF!)</f>
        <v>#REF!</v>
      </c>
      <c r="F49" s="604"/>
      <c r="G49" s="605"/>
      <c r="H49" s="632" t="e">
        <f>IF(#REF!="","",#REF!)</f>
        <v>#REF!</v>
      </c>
      <c r="I49" s="637"/>
      <c r="J49" s="632" t="e">
        <f>IF(#REF!="","",#REF!)</f>
        <v>#REF!</v>
      </c>
      <c r="K49" s="637"/>
      <c r="L49" s="632" t="e">
        <f>IF(#REF!="","",#REF!)</f>
        <v>#REF!</v>
      </c>
      <c r="M49" s="637"/>
      <c r="N49" s="632" t="e">
        <f>IF(#REF!="","",#REF!)</f>
        <v>#REF!</v>
      </c>
      <c r="O49" s="637"/>
      <c r="P49" s="39"/>
      <c r="Q49" s="608" t="e">
        <f>IF(#REF!="","",#REF!)</f>
        <v>#REF!</v>
      </c>
      <c r="R49" s="609"/>
      <c r="S49" s="6"/>
    </row>
    <row r="50" spans="1:19" ht="12.75" customHeight="1" x14ac:dyDescent="0.2">
      <c r="A50" s="34" t="s">
        <v>41</v>
      </c>
      <c r="B50" s="35"/>
      <c r="C50" s="603" t="e">
        <f>IF(#REF!="","",#REF!)</f>
        <v>#REF!</v>
      </c>
      <c r="D50" s="605"/>
      <c r="E50" s="603" t="e">
        <f>IF(#REF!="","",#REF!)</f>
        <v>#REF!</v>
      </c>
      <c r="F50" s="604"/>
      <c r="G50" s="605"/>
      <c r="H50" s="632" t="e">
        <f>IF(#REF!="","",#REF!)</f>
        <v>#REF!</v>
      </c>
      <c r="I50" s="637"/>
      <c r="J50" s="632" t="e">
        <f>IF(#REF!="","",#REF!)</f>
        <v>#REF!</v>
      </c>
      <c r="K50" s="637"/>
      <c r="L50" s="632" t="e">
        <f>IF(#REF!="","",#REF!)</f>
        <v>#REF!</v>
      </c>
      <c r="M50" s="637"/>
      <c r="N50" s="632" t="e">
        <f>IF(#REF!="","",#REF!)</f>
        <v>#REF!</v>
      </c>
      <c r="O50" s="637"/>
      <c r="P50" s="39"/>
      <c r="Q50" s="608" t="e">
        <f>IF(#REF!="","",#REF!)</f>
        <v>#REF!</v>
      </c>
      <c r="R50" s="609"/>
      <c r="S50" s="6"/>
    </row>
    <row r="51" spans="1:19" ht="12.75" customHeight="1" x14ac:dyDescent="0.2">
      <c r="A51" s="34" t="s">
        <v>42</v>
      </c>
      <c r="B51" s="35"/>
      <c r="C51" s="603" t="e">
        <f>IF(#REF!="","",#REF!)</f>
        <v>#REF!</v>
      </c>
      <c r="D51" s="605"/>
      <c r="E51" s="603" t="e">
        <f>IF(#REF!="","",#REF!)</f>
        <v>#REF!</v>
      </c>
      <c r="F51" s="604"/>
      <c r="G51" s="605"/>
      <c r="H51" s="632" t="e">
        <f>IF(#REF!="","",#REF!)</f>
        <v>#REF!</v>
      </c>
      <c r="I51" s="637"/>
      <c r="J51" s="632" t="e">
        <f>IF(#REF!="","",#REF!)</f>
        <v>#REF!</v>
      </c>
      <c r="K51" s="637"/>
      <c r="L51" s="632" t="e">
        <f>IF(#REF!="","",#REF!)</f>
        <v>#REF!</v>
      </c>
      <c r="M51" s="637"/>
      <c r="N51" s="632" t="e">
        <f>IF(#REF!="","",#REF!)</f>
        <v>#REF!</v>
      </c>
      <c r="O51" s="637"/>
      <c r="P51" s="39"/>
      <c r="Q51" s="608" t="e">
        <f>IF(#REF!="","",#REF!)</f>
        <v>#REF!</v>
      </c>
      <c r="R51" s="609"/>
      <c r="S51" s="6"/>
    </row>
    <row r="52" spans="1:19" ht="12.75" customHeight="1" x14ac:dyDescent="0.2">
      <c r="A52" s="34" t="s">
        <v>43</v>
      </c>
      <c r="B52" s="35"/>
      <c r="C52" s="603" t="e">
        <f>IF(#REF!="","",#REF!)</f>
        <v>#REF!</v>
      </c>
      <c r="D52" s="605"/>
      <c r="E52" s="603" t="e">
        <f>IF(#REF!="","",#REF!)</f>
        <v>#REF!</v>
      </c>
      <c r="F52" s="604"/>
      <c r="G52" s="605"/>
      <c r="H52" s="632" t="e">
        <f>IF(#REF!="","",#REF!)</f>
        <v>#REF!</v>
      </c>
      <c r="I52" s="637"/>
      <c r="J52" s="632" t="e">
        <f>IF(#REF!="","",#REF!)</f>
        <v>#REF!</v>
      </c>
      <c r="K52" s="637"/>
      <c r="L52" s="632" t="e">
        <f>IF(#REF!="","",#REF!)</f>
        <v>#REF!</v>
      </c>
      <c r="M52" s="637"/>
      <c r="N52" s="632" t="e">
        <f>IF(#REF!="","",#REF!)</f>
        <v>#REF!</v>
      </c>
      <c r="O52" s="637"/>
      <c r="P52" s="39"/>
      <c r="Q52" s="608" t="e">
        <f>IF(#REF!="","",#REF!)</f>
        <v>#REF!</v>
      </c>
      <c r="R52" s="609"/>
      <c r="S52" s="6"/>
    </row>
    <row r="53" spans="1:19" ht="12.75" customHeight="1" x14ac:dyDescent="0.2">
      <c r="A53" s="34" t="s">
        <v>44</v>
      </c>
      <c r="B53" s="35"/>
      <c r="C53" s="603" t="e">
        <f>IF(#REF!="","",#REF!)</f>
        <v>#REF!</v>
      </c>
      <c r="D53" s="605"/>
      <c r="E53" s="603" t="e">
        <f>IF(#REF!="","",#REF!)</f>
        <v>#REF!</v>
      </c>
      <c r="F53" s="604"/>
      <c r="G53" s="605"/>
      <c r="H53" s="632" t="e">
        <f>IF(#REF!="","",#REF!)</f>
        <v>#REF!</v>
      </c>
      <c r="I53" s="637"/>
      <c r="J53" s="632" t="e">
        <f>IF(#REF!="","",#REF!)</f>
        <v>#REF!</v>
      </c>
      <c r="K53" s="637"/>
      <c r="L53" s="632" t="e">
        <f>IF(#REF!="","",#REF!)</f>
        <v>#REF!</v>
      </c>
      <c r="M53" s="637"/>
      <c r="N53" s="632" t="e">
        <f>IF(#REF!="","",#REF!)</f>
        <v>#REF!</v>
      </c>
      <c r="O53" s="637"/>
      <c r="P53" s="39"/>
      <c r="Q53" s="608" t="e">
        <f>IF(#REF!="","",#REF!)</f>
        <v>#REF!</v>
      </c>
      <c r="R53" s="609"/>
      <c r="S53" s="6"/>
    </row>
    <row r="54" spans="1:19" ht="12.75" customHeight="1" x14ac:dyDescent="0.2">
      <c r="A54" s="34" t="s">
        <v>45</v>
      </c>
      <c r="B54" s="35"/>
      <c r="C54" s="603" t="e">
        <f>IF(#REF!="","",#REF!)</f>
        <v>#REF!</v>
      </c>
      <c r="D54" s="605"/>
      <c r="E54" s="603" t="e">
        <f>IF(#REF!="","",#REF!)</f>
        <v>#REF!</v>
      </c>
      <c r="F54" s="604"/>
      <c r="G54" s="605"/>
      <c r="H54" s="632" t="e">
        <f>IF(#REF!="","",#REF!)</f>
        <v>#REF!</v>
      </c>
      <c r="I54" s="637"/>
      <c r="J54" s="632" t="e">
        <f>IF(#REF!="","",#REF!)</f>
        <v>#REF!</v>
      </c>
      <c r="K54" s="637"/>
      <c r="L54" s="632" t="e">
        <f>IF(#REF!="","",#REF!)</f>
        <v>#REF!</v>
      </c>
      <c r="M54" s="637"/>
      <c r="N54" s="632" t="e">
        <f>IF(#REF!="","",#REF!)</f>
        <v>#REF!</v>
      </c>
      <c r="O54" s="637"/>
      <c r="P54" s="39"/>
      <c r="Q54" s="608" t="e">
        <f>IF(#REF!="","",#REF!)</f>
        <v>#REF!</v>
      </c>
      <c r="R54" s="609"/>
      <c r="S54" s="6"/>
    </row>
    <row r="55" spans="1:19" ht="13.5" customHeight="1" thickBot="1" x14ac:dyDescent="0.25">
      <c r="A55" s="36" t="s">
        <v>46</v>
      </c>
      <c r="B55" s="37"/>
      <c r="C55" s="700">
        <f>IF($Q$31="","",$Q$31)</f>
        <v>65013.29</v>
      </c>
      <c r="D55" s="701"/>
      <c r="E55" s="700" t="e">
        <f>IF($Q$30="","",$Q$30)</f>
        <v>#REF!</v>
      </c>
      <c r="F55" s="702"/>
      <c r="G55" s="701"/>
      <c r="H55" s="680" t="e">
        <f>IF($J$39="","",$J$39)</f>
        <v>#REF!</v>
      </c>
      <c r="I55" s="699"/>
      <c r="J55" s="680" t="e">
        <f>IF($C$39="","",$C$39)</f>
        <v>#REF!</v>
      </c>
      <c r="K55" s="699"/>
      <c r="L55" s="680" t="e">
        <f>IF($O$39="","",$O$39)</f>
        <v>#REF!</v>
      </c>
      <c r="M55" s="699"/>
      <c r="N55" s="680" t="e">
        <f>IF($N$39="","",$N$39)</f>
        <v>#REF!</v>
      </c>
      <c r="O55" s="681"/>
      <c r="P55" s="39"/>
      <c r="Q55" s="698" t="e">
        <f>IF($Q$39="","",$Q$39)</f>
        <v>#REF!</v>
      </c>
      <c r="R55" s="681"/>
      <c r="S55" s="6"/>
    </row>
    <row r="56" spans="1:19" ht="12" thickTop="1" x14ac:dyDescent="0.2"/>
    <row r="57" spans="1:19" x14ac:dyDescent="0.2">
      <c r="C57" s="17"/>
      <c r="D57" s="18"/>
      <c r="E57" s="18"/>
      <c r="F57" s="19"/>
    </row>
    <row r="75" spans="1:18" ht="12" thickBot="1" x14ac:dyDescent="0.25"/>
    <row r="76" spans="1:18" s="154" customFormat="1" ht="17.25" customHeight="1" thickTop="1" thickBot="1" x14ac:dyDescent="0.25">
      <c r="A76" s="155" t="s">
        <v>78</v>
      </c>
      <c r="B76" s="151"/>
      <c r="C76" s="167">
        <v>0.33</v>
      </c>
      <c r="D76" s="168">
        <v>0.2</v>
      </c>
      <c r="E76" s="169">
        <v>0.3</v>
      </c>
      <c r="F76" s="152"/>
      <c r="G76" s="170">
        <v>0.23</v>
      </c>
      <c r="H76" s="168">
        <v>0.12</v>
      </c>
      <c r="I76" s="171">
        <v>0.2</v>
      </c>
      <c r="J76" s="167">
        <v>0.28000000000000003</v>
      </c>
      <c r="K76" s="168">
        <v>0.18</v>
      </c>
      <c r="L76" s="168">
        <v>0.15</v>
      </c>
      <c r="M76" s="171">
        <v>0.23</v>
      </c>
      <c r="N76" s="172">
        <v>0.16</v>
      </c>
      <c r="O76" s="173">
        <v>0.2</v>
      </c>
      <c r="P76" s="153"/>
      <c r="Q76" s="678">
        <v>0.28000000000000003</v>
      </c>
      <c r="R76" s="679"/>
    </row>
    <row r="77" spans="1:18" ht="13.5" customHeight="1" thickTop="1" x14ac:dyDescent="0.2">
      <c r="A77" s="705" t="s">
        <v>79</v>
      </c>
      <c r="B77" s="706"/>
      <c r="C77" s="717" t="s">
        <v>3</v>
      </c>
      <c r="D77" s="682" t="s">
        <v>4</v>
      </c>
      <c r="E77" s="721" t="s">
        <v>74</v>
      </c>
      <c r="F77" s="107"/>
      <c r="G77" s="686" t="s">
        <v>58</v>
      </c>
      <c r="H77" s="688" t="s">
        <v>60</v>
      </c>
      <c r="I77" s="692" t="s">
        <v>62</v>
      </c>
      <c r="J77" s="694" t="s">
        <v>59</v>
      </c>
      <c r="K77" s="139" t="s">
        <v>6</v>
      </c>
      <c r="L77" s="140" t="s">
        <v>61</v>
      </c>
      <c r="M77" s="696" t="s">
        <v>64</v>
      </c>
      <c r="N77" s="715" t="s">
        <v>72</v>
      </c>
      <c r="O77" s="709" t="s">
        <v>63</v>
      </c>
      <c r="P77" s="55"/>
      <c r="Q77" s="711" t="s">
        <v>5</v>
      </c>
      <c r="R77" s="713" t="s">
        <v>47</v>
      </c>
    </row>
    <row r="78" spans="1:18" ht="13.5" customHeight="1" thickBot="1" x14ac:dyDescent="0.25">
      <c r="A78" s="707"/>
      <c r="B78" s="708"/>
      <c r="C78" s="718"/>
      <c r="D78" s="683"/>
      <c r="E78" s="722"/>
      <c r="F78" s="107"/>
      <c r="G78" s="687"/>
      <c r="H78" s="689"/>
      <c r="I78" s="693"/>
      <c r="J78" s="695"/>
      <c r="K78" s="141" t="s">
        <v>7</v>
      </c>
      <c r="L78" s="142" t="s">
        <v>8</v>
      </c>
      <c r="M78" s="697"/>
      <c r="N78" s="716"/>
      <c r="O78" s="710"/>
      <c r="P78" s="55"/>
      <c r="Q78" s="712"/>
      <c r="R78" s="714"/>
    </row>
    <row r="79" spans="1:18" ht="13.5" customHeight="1" thickTop="1" x14ac:dyDescent="0.2">
      <c r="A79" s="92" t="s">
        <v>76</v>
      </c>
      <c r="B79" s="93"/>
      <c r="C79" s="143" t="str">
        <f>IF(ISERROR((C30/C32)/100),"",(C30/C32)/100)</f>
        <v/>
      </c>
      <c r="D79" s="144" t="str">
        <f>IF(ISERROR((D30/D32)/100),"",(D30/D32)/100)</f>
        <v/>
      </c>
      <c r="E79" s="145" t="str">
        <f>IF(ISERROR((E30/E32)/100),"",(E30/E32)/100)</f>
        <v/>
      </c>
      <c r="F79" s="7"/>
      <c r="G79" s="147" t="str">
        <f t="shared" ref="G79:O79" si="10">IF(ISERROR((G30/G32)/100),"",(G30/G32)/100)</f>
        <v/>
      </c>
      <c r="H79" s="144" t="str">
        <f t="shared" si="10"/>
        <v/>
      </c>
      <c r="I79" s="148" t="str">
        <f t="shared" si="10"/>
        <v/>
      </c>
      <c r="J79" s="143" t="str">
        <f t="shared" si="10"/>
        <v/>
      </c>
      <c r="K79" s="144" t="str">
        <f t="shared" si="10"/>
        <v/>
      </c>
      <c r="L79" s="144" t="str">
        <f t="shared" si="10"/>
        <v/>
      </c>
      <c r="M79" s="149" t="str">
        <f t="shared" si="10"/>
        <v/>
      </c>
      <c r="N79" s="150" t="str">
        <f t="shared" si="10"/>
        <v/>
      </c>
      <c r="O79" s="146" t="str">
        <f t="shared" si="10"/>
        <v/>
      </c>
      <c r="Q79" s="690" t="str">
        <f>IF(ISERROR((Q30/Q32)/100),"",(Q30/Q32)/100)</f>
        <v/>
      </c>
      <c r="R79" s="691" t="str">
        <f>IF(ISERROR((R30/R32)/100),"",(R30/R32)/100)</f>
        <v/>
      </c>
    </row>
    <row r="80" spans="1:18" s="138" customFormat="1" ht="13.5" customHeight="1" thickBot="1" x14ac:dyDescent="0.25">
      <c r="A80" s="156" t="s">
        <v>77</v>
      </c>
      <c r="B80" s="157"/>
      <c r="C80" s="158" t="str">
        <f>IF(ISERROR(((C32-C$76)*100)*C79),"",((C32-C$76)*100)*C79)</f>
        <v/>
      </c>
      <c r="D80" s="159" t="str">
        <f>IF(ISERROR(((D32-D$76)*100)*D79),"",((D32-D$76)*100)*D79)</f>
        <v/>
      </c>
      <c r="E80" s="160" t="str">
        <f>IF(ISERROR(((E32-E$76)*100)*E79),"",((E32-E$76)*100)*E79)</f>
        <v/>
      </c>
      <c r="F80" s="161"/>
      <c r="G80" s="162" t="str">
        <f t="shared" ref="G80:O80" si="11">IF(ISERROR(((G32-G$76)*100)*G79),"",((G32-G$76)*100)*G79)</f>
        <v/>
      </c>
      <c r="H80" s="159" t="str">
        <f t="shared" si="11"/>
        <v/>
      </c>
      <c r="I80" s="163" t="str">
        <f t="shared" si="11"/>
        <v/>
      </c>
      <c r="J80" s="158" t="str">
        <f t="shared" si="11"/>
        <v/>
      </c>
      <c r="K80" s="159" t="str">
        <f t="shared" si="11"/>
        <v/>
      </c>
      <c r="L80" s="159" t="str">
        <f t="shared" si="11"/>
        <v/>
      </c>
      <c r="M80" s="163" t="str">
        <f t="shared" si="11"/>
        <v/>
      </c>
      <c r="N80" s="164" t="str">
        <f t="shared" si="11"/>
        <v/>
      </c>
      <c r="O80" s="165" t="str">
        <f t="shared" si="11"/>
        <v/>
      </c>
      <c r="P80" s="166"/>
      <c r="Q80" s="703" t="str">
        <f>IF(ISERROR(((Q32-Q$76)*100)*Q79),"",((Q32-Q$76)*100)*Q79)</f>
        <v/>
      </c>
      <c r="R80" s="704" t="str">
        <f>IF(ISERROR(((R32-R$76)*100)*R79),"",((R32-R$76)*100)*R79)</f>
        <v/>
      </c>
    </row>
    <row r="81" spans="1:18" ht="12.75" thickTop="1" thickBot="1" x14ac:dyDescent="0.25">
      <c r="A81" s="100" t="s">
        <v>80</v>
      </c>
      <c r="B81" s="174"/>
      <c r="C81" s="174"/>
      <c r="D81" s="174"/>
      <c r="E81" s="99"/>
      <c r="G81" s="98"/>
      <c r="H81" s="174"/>
      <c r="I81" s="174"/>
      <c r="J81" s="174"/>
      <c r="K81" s="174"/>
      <c r="L81" s="174"/>
      <c r="M81" s="174"/>
      <c r="N81" s="174"/>
      <c r="O81" s="99"/>
      <c r="Q81" s="98"/>
      <c r="R81" s="99"/>
    </row>
    <row r="82" spans="1:18" ht="13.5" customHeight="1" thickTop="1" x14ac:dyDescent="0.2">
      <c r="A82" s="92" t="s">
        <v>76</v>
      </c>
      <c r="B82" s="93"/>
      <c r="C82" s="143" t="str">
        <f>IF(ISERROR((C34/C36)/100),"",(C34/C36)/100)</f>
        <v/>
      </c>
      <c r="D82" s="144" t="str">
        <f>IF(ISERROR((D34/D36)/100),"",(D34/D36)/100)</f>
        <v/>
      </c>
      <c r="E82" s="145" t="str">
        <f>IF(ISERROR((E34/E36)/100),"",(E34/E36)/100)</f>
        <v/>
      </c>
      <c r="F82" s="7"/>
      <c r="G82" s="147" t="str">
        <f t="shared" ref="G82:O82" si="12">IF(ISERROR((G34/G36)/100),"",(G34/G36)/100)</f>
        <v/>
      </c>
      <c r="H82" s="144" t="str">
        <f t="shared" si="12"/>
        <v/>
      </c>
      <c r="I82" s="148" t="str">
        <f t="shared" si="12"/>
        <v/>
      </c>
      <c r="J82" s="143" t="str">
        <f t="shared" si="12"/>
        <v/>
      </c>
      <c r="K82" s="144" t="str">
        <f t="shared" si="12"/>
        <v/>
      </c>
      <c r="L82" s="144" t="str">
        <f t="shared" si="12"/>
        <v/>
      </c>
      <c r="M82" s="149" t="str">
        <f t="shared" si="12"/>
        <v/>
      </c>
      <c r="N82" s="150" t="str">
        <f t="shared" si="12"/>
        <v/>
      </c>
      <c r="O82" s="146" t="str">
        <f t="shared" si="12"/>
        <v/>
      </c>
      <c r="Q82" s="690" t="str">
        <f>IF(ISERROR((Q34/Q36)/100),"",(Q34/Q36)/100)</f>
        <v/>
      </c>
      <c r="R82" s="691" t="str">
        <f>IF(ISERROR((R34/R36)/100),"",(R34/R36)/100)</f>
        <v/>
      </c>
    </row>
    <row r="83" spans="1:18" s="138" customFormat="1" ht="13.5" customHeight="1" thickBot="1" x14ac:dyDescent="0.25">
      <c r="A83" s="156" t="s">
        <v>77</v>
      </c>
      <c r="B83" s="157"/>
      <c r="C83" s="158" t="str">
        <f>IF(ISERROR(((C36-C$76)*100)*C82),"",((C36-C$76)*100)*C82)</f>
        <v/>
      </c>
      <c r="D83" s="159" t="str">
        <f>IF(ISERROR(((D36-D$76)*100)*D82),"",((D36-D$76)*100)*D82)</f>
        <v/>
      </c>
      <c r="E83" s="160" t="str">
        <f>IF(ISERROR(((E36-E$76)*100)*E82),"",((E36-E$76)*100)*E82)</f>
        <v/>
      </c>
      <c r="F83" s="161"/>
      <c r="G83" s="162" t="str">
        <f t="shared" ref="G83:O83" si="13">IF(ISERROR(((G36-G$76)*100)*G82),"",((G36-G$76)*100)*G82)</f>
        <v/>
      </c>
      <c r="H83" s="159" t="str">
        <f t="shared" si="13"/>
        <v/>
      </c>
      <c r="I83" s="163" t="str">
        <f t="shared" si="13"/>
        <v/>
      </c>
      <c r="J83" s="158" t="str">
        <f t="shared" si="13"/>
        <v/>
      </c>
      <c r="K83" s="159" t="str">
        <f t="shared" si="13"/>
        <v/>
      </c>
      <c r="L83" s="159" t="str">
        <f t="shared" si="13"/>
        <v/>
      </c>
      <c r="M83" s="163" t="str">
        <f t="shared" si="13"/>
        <v/>
      </c>
      <c r="N83" s="164" t="str">
        <f t="shared" si="13"/>
        <v/>
      </c>
      <c r="O83" s="165" t="str">
        <f t="shared" si="13"/>
        <v/>
      </c>
      <c r="P83" s="166"/>
      <c r="Q83" s="703" t="str">
        <f>IF(ISERROR(((Q36-Q$76)*100)*Q82),"",((Q36-Q$76)*100)*Q82)</f>
        <v/>
      </c>
      <c r="R83" s="704" t="str">
        <f>IF(ISERROR(((R36-R$76)*100)*R82),"",((R36-R$76)*100)*R82)</f>
        <v/>
      </c>
    </row>
    <row r="84" spans="1:18" ht="12" thickTop="1" x14ac:dyDescent="0.2"/>
  </sheetData>
  <mergeCells count="145">
    <mergeCell ref="Q82:R82"/>
    <mergeCell ref="Q83:R83"/>
    <mergeCell ref="A77:B78"/>
    <mergeCell ref="O77:O78"/>
    <mergeCell ref="Q77:Q78"/>
    <mergeCell ref="R77:R78"/>
    <mergeCell ref="Q80:R80"/>
    <mergeCell ref="Q79:R79"/>
    <mergeCell ref="C77:C78"/>
    <mergeCell ref="D77:D78"/>
    <mergeCell ref="E77:E78"/>
    <mergeCell ref="G77:G78"/>
    <mergeCell ref="H77:H78"/>
    <mergeCell ref="I77:I78"/>
    <mergeCell ref="J77:J78"/>
    <mergeCell ref="M77:M78"/>
    <mergeCell ref="N77:N78"/>
    <mergeCell ref="Q76:R76"/>
    <mergeCell ref="Q34:R34"/>
    <mergeCell ref="Q35:R35"/>
    <mergeCell ref="Q36:R36"/>
    <mergeCell ref="Q54:R54"/>
    <mergeCell ref="Q55:R55"/>
    <mergeCell ref="Q50:R50"/>
    <mergeCell ref="Q51:R51"/>
    <mergeCell ref="Q52:R52"/>
    <mergeCell ref="Q53:R53"/>
    <mergeCell ref="Q49:R49"/>
    <mergeCell ref="N55:O55"/>
    <mergeCell ref="L54:M54"/>
    <mergeCell ref="L55:M55"/>
    <mergeCell ref="N52:O52"/>
    <mergeCell ref="N46:O46"/>
    <mergeCell ref="N47:O47"/>
    <mergeCell ref="N48:O48"/>
    <mergeCell ref="N49:O49"/>
    <mergeCell ref="L50:M50"/>
    <mergeCell ref="L51:M51"/>
    <mergeCell ref="L52:M52"/>
    <mergeCell ref="L53:M53"/>
    <mergeCell ref="N53:O53"/>
    <mergeCell ref="N54:O54"/>
    <mergeCell ref="N50:O50"/>
    <mergeCell ref="N51:O51"/>
    <mergeCell ref="H53:I53"/>
    <mergeCell ref="H54:I54"/>
    <mergeCell ref="H55:I55"/>
    <mergeCell ref="L42:M43"/>
    <mergeCell ref="J52:K52"/>
    <mergeCell ref="J53:K53"/>
    <mergeCell ref="J54:K54"/>
    <mergeCell ref="J55:K55"/>
    <mergeCell ref="L44:M44"/>
    <mergeCell ref="L45:M45"/>
    <mergeCell ref="J50:K50"/>
    <mergeCell ref="J51:K51"/>
    <mergeCell ref="J44:K44"/>
    <mergeCell ref="J45:K45"/>
    <mergeCell ref="J46:K46"/>
    <mergeCell ref="J47:K47"/>
    <mergeCell ref="J48:K48"/>
    <mergeCell ref="J49:K49"/>
    <mergeCell ref="L46:M46"/>
    <mergeCell ref="L47:M47"/>
    <mergeCell ref="L48:M48"/>
    <mergeCell ref="L49:M49"/>
    <mergeCell ref="C55:D55"/>
    <mergeCell ref="E49:G49"/>
    <mergeCell ref="E50:G50"/>
    <mergeCell ref="E51:G51"/>
    <mergeCell ref="E52:G52"/>
    <mergeCell ref="E53:G53"/>
    <mergeCell ref="E54:G54"/>
    <mergeCell ref="E55:G55"/>
    <mergeCell ref="C50:D50"/>
    <mergeCell ref="C53:D53"/>
    <mergeCell ref="G2:G3"/>
    <mergeCell ref="C40:E40"/>
    <mergeCell ref="H42:I43"/>
    <mergeCell ref="C46:D46"/>
    <mergeCell ref="C47:D47"/>
    <mergeCell ref="C48:D48"/>
    <mergeCell ref="C49:D49"/>
    <mergeCell ref="C54:D54"/>
    <mergeCell ref="Q44:R44"/>
    <mergeCell ref="Q45:R45"/>
    <mergeCell ref="Q30:R30"/>
    <mergeCell ref="Q31:R31"/>
    <mergeCell ref="C51:D51"/>
    <mergeCell ref="C52:D52"/>
    <mergeCell ref="H49:I49"/>
    <mergeCell ref="H50:I50"/>
    <mergeCell ref="H51:I51"/>
    <mergeCell ref="H52:I52"/>
    <mergeCell ref="Q32:R32"/>
    <mergeCell ref="C44:D44"/>
    <mergeCell ref="C45:D45"/>
    <mergeCell ref="E44:G44"/>
    <mergeCell ref="E45:G45"/>
    <mergeCell ref="H44:I44"/>
    <mergeCell ref="Q1:R1"/>
    <mergeCell ref="Q39:R39"/>
    <mergeCell ref="Q40:R40"/>
    <mergeCell ref="J2:J3"/>
    <mergeCell ref="O2:O3"/>
    <mergeCell ref="M2:M3"/>
    <mergeCell ref="J38:M38"/>
    <mergeCell ref="A43:B43"/>
    <mergeCell ref="E42:G42"/>
    <mergeCell ref="E43:G43"/>
    <mergeCell ref="A42:B42"/>
    <mergeCell ref="C1:E1"/>
    <mergeCell ref="G1:O1"/>
    <mergeCell ref="J42:K43"/>
    <mergeCell ref="H2:H3"/>
    <mergeCell ref="I2:I3"/>
    <mergeCell ref="C39:E39"/>
    <mergeCell ref="G38:I38"/>
    <mergeCell ref="N2:N3"/>
    <mergeCell ref="C2:C3"/>
    <mergeCell ref="D2:D3"/>
    <mergeCell ref="E2:E3"/>
    <mergeCell ref="Q2:Q3"/>
    <mergeCell ref="R2:R3"/>
    <mergeCell ref="E48:G48"/>
    <mergeCell ref="H46:I46"/>
    <mergeCell ref="H47:I47"/>
    <mergeCell ref="H48:I48"/>
    <mergeCell ref="C38:E38"/>
    <mergeCell ref="Q38:R38"/>
    <mergeCell ref="Q42:R43"/>
    <mergeCell ref="G39:I39"/>
    <mergeCell ref="G40:I40"/>
    <mergeCell ref="N42:O43"/>
    <mergeCell ref="C42:D43"/>
    <mergeCell ref="J39:M39"/>
    <mergeCell ref="J40:M40"/>
    <mergeCell ref="H45:I45"/>
    <mergeCell ref="E46:G46"/>
    <mergeCell ref="E47:G47"/>
    <mergeCell ref="Q46:R46"/>
    <mergeCell ref="Q47:R47"/>
    <mergeCell ref="Q48:R48"/>
    <mergeCell ref="N44:O44"/>
    <mergeCell ref="N45:O45"/>
  </mergeCells>
  <phoneticPr fontId="0" type="noConversion"/>
  <printOptions horizontalCentered="1"/>
  <pageMargins left="0" right="0" top="0.62992125984251968" bottom="0.62992125984251968" header="0.23622047244094491" footer="0.47244094488188981"/>
  <pageSetup paperSize="9" scale="64" orientation="portrait" r:id="rId1"/>
  <headerFooter alignWithMargins="0">
    <oddHeader>&amp;L&amp;"Book Antiqua,Gras"CAP CLUB HOTEL
CAPBRETON
&amp;C&amp;"Book Antiqua,Gras"RATIO
NOURRITURE ET BOISSON&amp;R&amp;"Book Antiqua,Gras"MOIS DE &amp;A
Année &amp;F</oddHeader>
    <oddFooter>&amp;L&amp;"Book Antiqua,Gras"&amp;8CAP CLUB HOTEL Confidentiel&amp;C&amp;"Book Antiqua,Normal"&amp;8&amp;D&amp;R&amp;"Book Antiqua,Normal"&amp;8Page 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B2"/>
  <sheetViews>
    <sheetView tabSelected="1" workbookViewId="0">
      <selection activeCell="B5" sqref="B5"/>
    </sheetView>
  </sheetViews>
  <sheetFormatPr baseColWidth="10" defaultRowHeight="12.75" x14ac:dyDescent="0.2"/>
  <cols>
    <col min="3" max="3" width="18.28515625" customWidth="1"/>
  </cols>
  <sheetData>
    <row r="2" spans="2:2" ht="18" customHeight="1" x14ac:dyDescent="0.2">
      <c r="B2" s="588" t="s">
        <v>154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7833" r:id="rId3" name="cmdCopierMois">
          <controlPr defaultSize="0" autoLine="0" r:id="rId4">
            <anchor moveWithCells="1">
              <from>
                <xdr:col>2</xdr:col>
                <xdr:colOff>219075</xdr:colOff>
                <xdr:row>2</xdr:row>
                <xdr:rowOff>133350</xdr:rowOff>
              </from>
              <to>
                <xdr:col>3</xdr:col>
                <xdr:colOff>66675</xdr:colOff>
                <xdr:row>4</xdr:row>
                <xdr:rowOff>76200</xdr:rowOff>
              </to>
            </anchor>
          </controlPr>
        </control>
      </mc:Choice>
      <mc:Fallback>
        <control shapeId="77833" r:id="rId3" name="cmdCopierMois"/>
      </mc:Fallback>
    </mc:AlternateContent>
    <mc:AlternateContent xmlns:mc="http://schemas.openxmlformats.org/markup-compatibility/2006">
      <mc:Choice Requires="x14">
        <control shapeId="77832" r:id="rId5" name="cboMois">
          <controlPr defaultSize="0" autoLine="0" autoPict="0" r:id="rId6">
            <anchor moveWithCells="1">
              <from>
                <xdr:col>2</xdr:col>
                <xdr:colOff>76200</xdr:colOff>
                <xdr:row>1</xdr:row>
                <xdr:rowOff>0</xdr:rowOff>
              </from>
              <to>
                <xdr:col>3</xdr:col>
                <xdr:colOff>180975</xdr:colOff>
                <xdr:row>1</xdr:row>
                <xdr:rowOff>219075</xdr:rowOff>
              </to>
            </anchor>
          </controlPr>
        </control>
      </mc:Choice>
      <mc:Fallback>
        <control shapeId="77832" r:id="rId5" name="cboMois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N60"/>
  <sheetViews>
    <sheetView workbookViewId="0">
      <selection activeCell="B21" sqref="B21"/>
    </sheetView>
  </sheetViews>
  <sheetFormatPr baseColWidth="10" defaultRowHeight="9" x14ac:dyDescent="0.2"/>
  <cols>
    <col min="1" max="1" width="30.42578125" style="185" bestFit="1" customWidth="1"/>
    <col min="2" max="3" width="9" style="185" bestFit="1" customWidth="1"/>
    <col min="4" max="4" width="18.7109375" style="185" bestFit="1" customWidth="1"/>
    <col min="5" max="5" width="9.85546875" style="185" bestFit="1" customWidth="1"/>
    <col min="6" max="6" width="9.85546875" style="185" customWidth="1"/>
    <col min="7" max="7" width="7" style="185" bestFit="1" customWidth="1"/>
    <col min="8" max="9" width="8" style="185" bestFit="1" customWidth="1"/>
    <col min="10" max="10" width="7" style="185" bestFit="1" customWidth="1"/>
    <col min="11" max="12" width="8" style="185" bestFit="1" customWidth="1"/>
    <col min="13" max="13" width="12.140625" style="185" bestFit="1" customWidth="1"/>
    <col min="14" max="16384" width="11.42578125" style="185"/>
  </cols>
  <sheetData>
    <row r="1" spans="1:14" x14ac:dyDescent="0.2">
      <c r="B1" s="757" t="s">
        <v>109</v>
      </c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  <c r="N1" s="186"/>
    </row>
    <row r="2" spans="1:14" x14ac:dyDescent="0.2">
      <c r="B2" s="758" t="s">
        <v>96</v>
      </c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</row>
    <row r="3" spans="1:14" x14ac:dyDescent="0.2">
      <c r="A3" s="187"/>
      <c r="B3" s="759" t="s">
        <v>103</v>
      </c>
      <c r="C3" s="759"/>
      <c r="D3" s="759"/>
      <c r="E3" s="760" t="s">
        <v>104</v>
      </c>
      <c r="F3" s="760"/>
      <c r="G3" s="760"/>
      <c r="H3" s="760"/>
      <c r="I3" s="760"/>
      <c r="J3" s="760"/>
      <c r="K3" s="760"/>
      <c r="L3" s="760"/>
      <c r="M3" s="760"/>
      <c r="N3" s="186"/>
    </row>
    <row r="4" spans="1:14" ht="11.25" customHeight="1" x14ac:dyDescent="0.2">
      <c r="A4" s="187"/>
      <c r="B4" s="759" t="s">
        <v>3</v>
      </c>
      <c r="C4" s="759" t="s">
        <v>90</v>
      </c>
      <c r="D4" s="761" t="s">
        <v>93</v>
      </c>
      <c r="E4" s="755" t="s">
        <v>91</v>
      </c>
      <c r="F4" s="755" t="s">
        <v>100</v>
      </c>
      <c r="G4" s="755" t="s">
        <v>83</v>
      </c>
      <c r="H4" s="755" t="s">
        <v>84</v>
      </c>
      <c r="I4" s="755" t="s">
        <v>86</v>
      </c>
      <c r="J4" s="755" t="s">
        <v>85</v>
      </c>
      <c r="K4" s="755" t="s">
        <v>89</v>
      </c>
      <c r="L4" s="755" t="s">
        <v>87</v>
      </c>
      <c r="M4" s="756" t="s">
        <v>88</v>
      </c>
    </row>
    <row r="5" spans="1:14" x14ac:dyDescent="0.2">
      <c r="A5" s="188"/>
      <c r="B5" s="759"/>
      <c r="C5" s="759"/>
      <c r="D5" s="761"/>
      <c r="E5" s="755"/>
      <c r="F5" s="755"/>
      <c r="G5" s="755"/>
      <c r="H5" s="755"/>
      <c r="I5" s="755"/>
      <c r="J5" s="755"/>
      <c r="K5" s="755"/>
      <c r="L5" s="755"/>
      <c r="M5" s="756"/>
    </row>
    <row r="6" spans="1:14" x14ac:dyDescent="0.2">
      <c r="A6" s="189" t="s">
        <v>9</v>
      </c>
      <c r="B6" s="190"/>
      <c r="C6" s="191"/>
      <c r="D6" s="192"/>
      <c r="E6" s="191"/>
      <c r="F6" s="191"/>
      <c r="G6" s="191"/>
      <c r="H6" s="191"/>
      <c r="I6" s="191"/>
      <c r="J6" s="191"/>
      <c r="K6" s="191"/>
      <c r="L6" s="191"/>
      <c r="M6" s="193"/>
    </row>
    <row r="7" spans="1:14" x14ac:dyDescent="0.2">
      <c r="A7" s="194" t="s">
        <v>10</v>
      </c>
      <c r="B7" s="195">
        <v>12907</v>
      </c>
      <c r="C7" s="195">
        <v>2933</v>
      </c>
      <c r="D7" s="196">
        <f>+B7+C7</f>
        <v>15840</v>
      </c>
      <c r="E7" s="195">
        <v>309</v>
      </c>
      <c r="F7" s="195">
        <v>1685</v>
      </c>
      <c r="G7" s="195">
        <v>2891</v>
      </c>
      <c r="H7" s="195">
        <v>2124</v>
      </c>
      <c r="I7" s="195">
        <v>1138</v>
      </c>
      <c r="J7" s="195">
        <v>524</v>
      </c>
      <c r="K7" s="195">
        <v>1122</v>
      </c>
      <c r="L7" s="195">
        <v>1144</v>
      </c>
      <c r="M7" s="197">
        <f>+SUM(E7:L7)</f>
        <v>10937</v>
      </c>
    </row>
    <row r="8" spans="1:14" x14ac:dyDescent="0.2">
      <c r="A8" s="198" t="s">
        <v>11</v>
      </c>
      <c r="B8" s="195">
        <v>30550</v>
      </c>
      <c r="C8" s="195">
        <v>11633.22</v>
      </c>
      <c r="D8" s="196">
        <f>+B8+C8</f>
        <v>42183.22</v>
      </c>
      <c r="E8" s="195">
        <v>227.42</v>
      </c>
      <c r="F8" s="195">
        <v>3568.8</v>
      </c>
      <c r="G8" s="195">
        <v>5218.47</v>
      </c>
      <c r="H8" s="195">
        <v>2677.35</v>
      </c>
      <c r="I8" s="195">
        <v>2659.33</v>
      </c>
      <c r="J8" s="195">
        <v>1260.54</v>
      </c>
      <c r="K8" s="195">
        <v>1935.64</v>
      </c>
      <c r="L8" s="195">
        <v>847.5</v>
      </c>
      <c r="M8" s="197">
        <f>+L8+K8+J8+I8+H8+G8+F8+E8</f>
        <v>18395.05</v>
      </c>
    </row>
    <row r="9" spans="1:14" x14ac:dyDescent="0.2">
      <c r="A9" s="198" t="s">
        <v>12</v>
      </c>
      <c r="B9" s="195"/>
      <c r="C9" s="195"/>
      <c r="D9" s="196" t="str">
        <f>IF(SUM(B9:C9)=0,"",SUM(B9:C9))</f>
        <v/>
      </c>
      <c r="E9" s="195"/>
      <c r="F9" s="195"/>
      <c r="G9" s="195"/>
      <c r="H9" s="195"/>
      <c r="I9" s="195"/>
      <c r="J9" s="195"/>
      <c r="K9" s="195"/>
      <c r="L9" s="195"/>
      <c r="M9" s="197" t="str">
        <f>IF(SUM(F9:K9)=0,"",SUM(F9:K9))</f>
        <v/>
      </c>
    </row>
    <row r="10" spans="1:14" x14ac:dyDescent="0.2">
      <c r="A10" s="198" t="s">
        <v>13</v>
      </c>
      <c r="B10" s="199"/>
      <c r="C10" s="199"/>
      <c r="D10" s="196" t="str">
        <f>IF(SUM(B10:C10)=0,"",SUM(B10:C10))</f>
        <v/>
      </c>
      <c r="E10" s="190"/>
      <c r="F10" s="199"/>
      <c r="G10" s="199"/>
      <c r="H10" s="199"/>
      <c r="I10" s="199"/>
      <c r="J10" s="199"/>
      <c r="K10" s="199"/>
      <c r="L10" s="199"/>
      <c r="M10" s="197" t="str">
        <f>IF(SUM(F10:K10)=0,"",SUM(F10:K10))</f>
        <v/>
      </c>
    </row>
    <row r="11" spans="1:14" x14ac:dyDescent="0.2">
      <c r="A11" s="198" t="s">
        <v>14</v>
      </c>
      <c r="B11" s="195"/>
      <c r="C11" s="195"/>
      <c r="D11" s="196" t="str">
        <f>IF(SUM(B11:C11)=0,"",SUM(B11:C11))</f>
        <v/>
      </c>
      <c r="E11" s="195"/>
      <c r="F11" s="195"/>
      <c r="G11" s="195"/>
      <c r="H11" s="195"/>
      <c r="I11" s="195"/>
      <c r="J11" s="195"/>
      <c r="K11" s="195"/>
      <c r="L11" s="195"/>
      <c r="M11" s="197" t="str">
        <f>IF(SUM(F11:K11)=0,"",SUM(F11:K11))</f>
        <v/>
      </c>
    </row>
    <row r="12" spans="1:14" x14ac:dyDescent="0.2">
      <c r="A12" s="194" t="s">
        <v>15</v>
      </c>
      <c r="B12" s="196">
        <f>B8</f>
        <v>30550</v>
      </c>
      <c r="C12" s="196">
        <f>C8</f>
        <v>11633.22</v>
      </c>
      <c r="D12" s="196">
        <f>IF(SUM(B12:C12)=0,"",SUM(B12:C12))</f>
        <v>42183.22</v>
      </c>
      <c r="E12" s="196">
        <f>IF(SUM(E8:E11)=0,"",SUM(E8:E11))</f>
        <v>227.42</v>
      </c>
      <c r="F12" s="196">
        <f>IF(SUM(F8:F11)=0,"",SUM(F8:F11))</f>
        <v>3568.8</v>
      </c>
      <c r="G12" s="196">
        <f>IF(SUM(G8:G11)=0,"",SUM(G8:G11))</f>
        <v>5218.47</v>
      </c>
      <c r="H12" s="196">
        <v>2677</v>
      </c>
      <c r="I12" s="196">
        <v>2659</v>
      </c>
      <c r="J12" s="196">
        <v>1261</v>
      </c>
      <c r="K12" s="196">
        <v>1936</v>
      </c>
      <c r="L12" s="196">
        <v>848</v>
      </c>
      <c r="M12" s="197">
        <f>SUM(E12:L12)</f>
        <v>18395.690000000002</v>
      </c>
    </row>
    <row r="13" spans="1:14" ht="19.5" customHeight="1" x14ac:dyDescent="0.2">
      <c r="A13" s="200" t="s">
        <v>16</v>
      </c>
      <c r="B13" s="201">
        <f>+B12+B7</f>
        <v>43457</v>
      </c>
      <c r="C13" s="201">
        <f>+C12+C7</f>
        <v>14566.22</v>
      </c>
      <c r="D13" s="201">
        <f t="shared" ref="D13" si="0">IF(AND(D7="",D12=""),"",SUM(D7,D12))</f>
        <v>58023.22</v>
      </c>
      <c r="E13" s="201">
        <f>IF(AND(E7="",E12=""),"",SUM(E7,E12))</f>
        <v>536.41999999999996</v>
      </c>
      <c r="F13" s="201">
        <f>IF(AND(F7="",F12=""),"",SUM(F7,F12))</f>
        <v>5253.8</v>
      </c>
      <c r="G13" s="201">
        <f>+G7+G8</f>
        <v>8109.47</v>
      </c>
      <c r="H13" s="201">
        <f t="shared" ref="H13:M13" si="1">IF(AND(H7="",H12=""),"",SUM(H7,H12))</f>
        <v>4801</v>
      </c>
      <c r="I13" s="201">
        <f t="shared" si="1"/>
        <v>3797</v>
      </c>
      <c r="J13" s="201">
        <f t="shared" si="1"/>
        <v>1785</v>
      </c>
      <c r="K13" s="201">
        <f t="shared" si="1"/>
        <v>3058</v>
      </c>
      <c r="L13" s="201">
        <f t="shared" si="1"/>
        <v>1992</v>
      </c>
      <c r="M13" s="202">
        <f t="shared" si="1"/>
        <v>29332.690000000002</v>
      </c>
    </row>
    <row r="14" spans="1:14" x14ac:dyDescent="0.2">
      <c r="A14" s="203" t="s">
        <v>17</v>
      </c>
      <c r="B14" s="204"/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</row>
    <row r="15" spans="1:14" x14ac:dyDescent="0.2">
      <c r="A15" s="205" t="s">
        <v>18</v>
      </c>
      <c r="B15" s="206">
        <v>13577.8</v>
      </c>
      <c r="C15" s="206">
        <v>4799.8999999999996</v>
      </c>
      <c r="D15" s="207">
        <f>+B15+C15</f>
        <v>18377.699999999997</v>
      </c>
      <c r="E15" s="206">
        <v>375.32</v>
      </c>
      <c r="F15" s="206">
        <v>1576.92</v>
      </c>
      <c r="G15" s="206">
        <v>3945.5</v>
      </c>
      <c r="H15" s="206">
        <v>2533.75</v>
      </c>
      <c r="I15" s="206">
        <v>1454</v>
      </c>
      <c r="J15" s="206">
        <v>534.01</v>
      </c>
      <c r="K15" s="206">
        <v>1872.26</v>
      </c>
      <c r="L15" s="206">
        <v>936.12</v>
      </c>
      <c r="M15" s="208">
        <v>13319</v>
      </c>
    </row>
    <row r="16" spans="1:14" x14ac:dyDescent="0.2">
      <c r="A16" s="205" t="s">
        <v>19</v>
      </c>
      <c r="B16" s="206">
        <v>6019.2</v>
      </c>
      <c r="C16" s="204"/>
      <c r="D16" s="207">
        <f>IF(SUM(B16:C16)=0,"",SUM(B16:C16))</f>
        <v>6019.2</v>
      </c>
      <c r="E16" s="204"/>
      <c r="F16" s="204"/>
      <c r="G16" s="204"/>
      <c r="H16" s="204"/>
      <c r="I16" s="204"/>
      <c r="J16" s="204"/>
      <c r="K16" s="204"/>
      <c r="L16" s="204"/>
      <c r="M16" s="204"/>
    </row>
    <row r="17" spans="1:14" x14ac:dyDescent="0.2">
      <c r="A17" s="205" t="s">
        <v>82</v>
      </c>
      <c r="B17" s="206">
        <v>200</v>
      </c>
      <c r="C17" s="204"/>
      <c r="D17" s="207">
        <f>IF(SUM(B17:C17)=0,"",SUM(B17:C17))</f>
        <v>200</v>
      </c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4" x14ac:dyDescent="0.2">
      <c r="A18" s="205" t="s">
        <v>57</v>
      </c>
      <c r="B18" s="206">
        <v>1230</v>
      </c>
      <c r="C18" s="204"/>
      <c r="D18" s="207">
        <f>IF(SUM(B18:C18)=0,"",SUM(B18:C18))</f>
        <v>1230</v>
      </c>
      <c r="E18" s="206"/>
      <c r="F18" s="206"/>
      <c r="G18" s="206"/>
      <c r="H18" s="206"/>
      <c r="I18" s="206"/>
      <c r="J18" s="206"/>
      <c r="K18" s="206"/>
      <c r="L18" s="206"/>
      <c r="M18" s="208" t="str">
        <f>IF(SUM(F18:L18)=0,"",SUM(F18:L18))</f>
        <v/>
      </c>
    </row>
    <row r="19" spans="1:14" ht="26.25" customHeight="1" thickBot="1" x14ac:dyDescent="0.25">
      <c r="A19" s="209" t="s">
        <v>25</v>
      </c>
      <c r="B19" s="210">
        <f>SUM(B15:B18)</f>
        <v>21027</v>
      </c>
      <c r="C19" s="210">
        <f>SUM(C15:C18)</f>
        <v>4799.8999999999996</v>
      </c>
      <c r="D19" s="210">
        <f t="shared" ref="D19" si="2">SUM(D15:D18)</f>
        <v>25826.899999999998</v>
      </c>
      <c r="E19" s="210">
        <f t="shared" ref="E19:M19" si="3">SUM(E15:E18)</f>
        <v>375.32</v>
      </c>
      <c r="F19" s="210">
        <f t="shared" si="3"/>
        <v>1576.92</v>
      </c>
      <c r="G19" s="210">
        <f t="shared" si="3"/>
        <v>3945.5</v>
      </c>
      <c r="H19" s="210">
        <f t="shared" si="3"/>
        <v>2533.75</v>
      </c>
      <c r="I19" s="210">
        <f t="shared" si="3"/>
        <v>1454</v>
      </c>
      <c r="J19" s="210">
        <f t="shared" si="3"/>
        <v>534.01</v>
      </c>
      <c r="K19" s="210">
        <f t="shared" si="3"/>
        <v>1872.26</v>
      </c>
      <c r="L19" s="210">
        <f t="shared" si="3"/>
        <v>936.12</v>
      </c>
      <c r="M19" s="210">
        <f t="shared" si="3"/>
        <v>13319</v>
      </c>
    </row>
    <row r="20" spans="1:14" ht="13.5" customHeight="1" thickTop="1" x14ac:dyDescent="0.2">
      <c r="A20" s="211" t="s">
        <v>26</v>
      </c>
      <c r="B20" s="212">
        <f>B13-B19</f>
        <v>22430</v>
      </c>
      <c r="C20" s="212">
        <f>C13-C19</f>
        <v>9766.32</v>
      </c>
      <c r="D20" s="213">
        <f>IF(SUM(B20:C20)=0,"",SUM(B20:C20))</f>
        <v>32196.32</v>
      </c>
      <c r="E20" s="212">
        <f>E13-E19</f>
        <v>161.09999999999997</v>
      </c>
      <c r="F20" s="212">
        <f t="shared" ref="F20:L20" si="4">+F13-F19</f>
        <v>3676.88</v>
      </c>
      <c r="G20" s="212">
        <f t="shared" si="4"/>
        <v>4163.97</v>
      </c>
      <c r="H20" s="212">
        <f t="shared" si="4"/>
        <v>2267.25</v>
      </c>
      <c r="I20" s="212">
        <f t="shared" si="4"/>
        <v>2343</v>
      </c>
      <c r="J20" s="212">
        <f t="shared" si="4"/>
        <v>1250.99</v>
      </c>
      <c r="K20" s="212">
        <f t="shared" si="4"/>
        <v>1185.74</v>
      </c>
      <c r="L20" s="212">
        <f t="shared" si="4"/>
        <v>1055.8800000000001</v>
      </c>
      <c r="M20" s="213">
        <f>SUM(E20:L20)</f>
        <v>16104.810000000001</v>
      </c>
      <c r="N20" s="186"/>
    </row>
    <row r="21" spans="1:14" x14ac:dyDescent="0.2">
      <c r="A21" s="214" t="s">
        <v>27</v>
      </c>
      <c r="B21" s="215">
        <v>53429.63</v>
      </c>
      <c r="C21" s="215">
        <v>36138.379999999997</v>
      </c>
      <c r="D21" s="213">
        <f>IF(SUM(B21:C21)=0,"",SUM(B21:C21))</f>
        <v>89568.01</v>
      </c>
      <c r="E21" s="215">
        <v>1189.8</v>
      </c>
      <c r="F21" s="215">
        <v>5717.34</v>
      </c>
      <c r="G21" s="215">
        <v>12896.91</v>
      </c>
      <c r="H21" s="215">
        <v>11304.9</v>
      </c>
      <c r="I21" s="215">
        <v>8127.44</v>
      </c>
      <c r="J21" s="215">
        <v>3259.32</v>
      </c>
      <c r="K21" s="215">
        <v>3684.29</v>
      </c>
      <c r="L21" s="215">
        <v>6832.97</v>
      </c>
      <c r="M21" s="213">
        <f>SUM(E21:L21)</f>
        <v>53012.97</v>
      </c>
      <c r="N21" s="186"/>
    </row>
    <row r="22" spans="1:14" ht="12.75" customHeight="1" thickBot="1" x14ac:dyDescent="0.25">
      <c r="A22" s="216" t="s">
        <v>94</v>
      </c>
      <c r="B22" s="217">
        <f>+B20/B21</f>
        <v>0.41980451670730268</v>
      </c>
      <c r="C22" s="217">
        <f>+C20/C21</f>
        <v>0.27024786390535493</v>
      </c>
      <c r="D22" s="218">
        <f>IF(OR(D20="",D21=""),"",D20/D21)</f>
        <v>0.35946226783424129</v>
      </c>
      <c r="E22" s="217">
        <f t="shared" ref="E22:L22" si="5">+E20/E21</f>
        <v>0.13540090771558241</v>
      </c>
      <c r="F22" s="217">
        <f t="shared" si="5"/>
        <v>0.64311025756733031</v>
      </c>
      <c r="G22" s="217">
        <f t="shared" si="5"/>
        <v>0.32286570969325212</v>
      </c>
      <c r="H22" s="217">
        <f t="shared" si="5"/>
        <v>0.20055462675477007</v>
      </c>
      <c r="I22" s="217">
        <f t="shared" si="5"/>
        <v>0.28828265726969377</v>
      </c>
      <c r="J22" s="217">
        <f t="shared" si="5"/>
        <v>0.38381932427622939</v>
      </c>
      <c r="K22" s="217">
        <f t="shared" si="5"/>
        <v>0.32183677180677961</v>
      </c>
      <c r="L22" s="217">
        <f t="shared" si="5"/>
        <v>0.15452724071670154</v>
      </c>
      <c r="M22" s="218">
        <f>IF(OR(M20="",M21=""),"",M20/M21)</f>
        <v>0.30378999705166493</v>
      </c>
      <c r="N22" s="186"/>
    </row>
    <row r="23" spans="1:14" ht="13.5" customHeight="1" thickTop="1" x14ac:dyDescent="0.2">
      <c r="A23" s="219" t="s">
        <v>108</v>
      </c>
      <c r="B23" s="746" t="s">
        <v>102</v>
      </c>
      <c r="C23" s="747"/>
      <c r="D23" s="748"/>
      <c r="E23" s="749" t="s">
        <v>101</v>
      </c>
      <c r="F23" s="750"/>
      <c r="G23" s="750"/>
      <c r="H23" s="750"/>
      <c r="I23" s="750"/>
      <c r="J23" s="750"/>
      <c r="K23" s="750"/>
      <c r="L23" s="750"/>
      <c r="M23" s="751"/>
    </row>
    <row r="24" spans="1:14" ht="9.75" thickBot="1" x14ac:dyDescent="0.25">
      <c r="A24" s="220"/>
      <c r="B24" s="752">
        <f>IF(D22="","",D22)</f>
        <v>0.35946226783424129</v>
      </c>
      <c r="C24" s="752"/>
      <c r="D24" s="752"/>
      <c r="E24" s="753">
        <f>IF(M22="","",M22)</f>
        <v>0.30378999705166493</v>
      </c>
      <c r="F24" s="753"/>
      <c r="G24" s="753"/>
      <c r="H24" s="753"/>
      <c r="I24" s="753"/>
      <c r="J24" s="753"/>
      <c r="K24" s="753"/>
      <c r="L24" s="753"/>
      <c r="M24" s="753"/>
      <c r="N24" s="186"/>
    </row>
    <row r="25" spans="1:14" ht="14.25" customHeight="1" thickTop="1" x14ac:dyDescent="0.2">
      <c r="A25" s="221"/>
      <c r="B25" s="221"/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186"/>
    </row>
    <row r="26" spans="1:14" ht="23.25" customHeight="1" thickBot="1" x14ac:dyDescent="0.25">
      <c r="A26" s="222" t="s">
        <v>105</v>
      </c>
      <c r="B26" s="223"/>
      <c r="C26" s="223"/>
      <c r="D26" s="223"/>
      <c r="E26" s="224"/>
      <c r="F26" s="224"/>
      <c r="G26" s="224"/>
      <c r="H26" s="224"/>
      <c r="I26" s="224"/>
      <c r="J26" s="224"/>
      <c r="K26" s="224"/>
      <c r="L26" s="224"/>
      <c r="M26" s="224"/>
    </row>
    <row r="27" spans="1:14" ht="24.75" customHeight="1" thickBot="1" x14ac:dyDescent="0.25">
      <c r="A27" s="225" t="s">
        <v>99</v>
      </c>
      <c r="B27" s="226">
        <v>0.31</v>
      </c>
      <c r="C27" s="226">
        <v>0.31</v>
      </c>
      <c r="D27" s="226">
        <v>0.31</v>
      </c>
      <c r="E27" s="226">
        <v>0.47</v>
      </c>
      <c r="F27" s="226">
        <v>0.46</v>
      </c>
      <c r="G27" s="226">
        <v>0.3</v>
      </c>
      <c r="H27" s="226">
        <v>0.15</v>
      </c>
      <c r="I27" s="226">
        <v>0.24</v>
      </c>
      <c r="J27" s="226">
        <v>0.2</v>
      </c>
      <c r="K27" s="226">
        <v>0.3</v>
      </c>
      <c r="L27" s="226">
        <v>0.15</v>
      </c>
      <c r="M27" s="227">
        <v>0.25</v>
      </c>
    </row>
    <row r="28" spans="1:14" ht="19.5" customHeight="1" x14ac:dyDescent="0.2">
      <c r="A28" s="228" t="s">
        <v>106</v>
      </c>
      <c r="B28" s="229">
        <f>+B22-B27</f>
        <v>0.10980451670730268</v>
      </c>
      <c r="C28" s="229">
        <f t="shared" ref="C28:M28" si="6">+C22-C27</f>
        <v>-3.9752136094645063E-2</v>
      </c>
      <c r="D28" s="229">
        <f t="shared" si="6"/>
        <v>4.9462267834241291E-2</v>
      </c>
      <c r="E28" s="229">
        <f>+E22-E27</f>
        <v>-0.33459909228441753</v>
      </c>
      <c r="F28" s="229">
        <f>+F22-F27</f>
        <v>0.18311025756733029</v>
      </c>
      <c r="G28" s="229">
        <f t="shared" si="6"/>
        <v>2.2865709693252134E-2</v>
      </c>
      <c r="H28" s="229">
        <f t="shared" si="6"/>
        <v>5.0554626754770071E-2</v>
      </c>
      <c r="I28" s="229">
        <f t="shared" si="6"/>
        <v>4.8282657269693774E-2</v>
      </c>
      <c r="J28" s="229">
        <f t="shared" si="6"/>
        <v>0.18381932427622938</v>
      </c>
      <c r="K28" s="229">
        <f t="shared" si="6"/>
        <v>2.183677180677962E-2</v>
      </c>
      <c r="L28" s="229">
        <f t="shared" si="6"/>
        <v>4.5272407167015472E-3</v>
      </c>
      <c r="M28" s="229">
        <f t="shared" si="6"/>
        <v>5.3789997051664928E-2</v>
      </c>
      <c r="N28" s="230"/>
    </row>
    <row r="29" spans="1:14" ht="26.25" customHeight="1" x14ac:dyDescent="0.2">
      <c r="A29" s="231" t="s">
        <v>107</v>
      </c>
      <c r="B29" s="232">
        <f>+B26-B27</f>
        <v>-0.31</v>
      </c>
      <c r="C29" s="232">
        <f t="shared" ref="C29:M29" si="7">+C26-C27</f>
        <v>-0.31</v>
      </c>
      <c r="D29" s="232">
        <f t="shared" si="7"/>
        <v>-0.31</v>
      </c>
      <c r="E29" s="232">
        <f>+E26-E27</f>
        <v>-0.47</v>
      </c>
      <c r="F29" s="232">
        <f t="shared" si="7"/>
        <v>-0.46</v>
      </c>
      <c r="G29" s="232">
        <f t="shared" si="7"/>
        <v>-0.3</v>
      </c>
      <c r="H29" s="232">
        <f t="shared" si="7"/>
        <v>-0.15</v>
      </c>
      <c r="I29" s="232">
        <f t="shared" si="7"/>
        <v>-0.24</v>
      </c>
      <c r="J29" s="232">
        <f t="shared" si="7"/>
        <v>-0.2</v>
      </c>
      <c r="K29" s="232">
        <f t="shared" si="7"/>
        <v>-0.3</v>
      </c>
      <c r="L29" s="232">
        <f t="shared" si="7"/>
        <v>-0.15</v>
      </c>
      <c r="M29" s="232">
        <f t="shared" si="7"/>
        <v>-0.25</v>
      </c>
    </row>
    <row r="30" spans="1:14" x14ac:dyDescent="0.2">
      <c r="A30" s="233"/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</row>
    <row r="31" spans="1:14" x14ac:dyDescent="0.2">
      <c r="A31" s="221"/>
      <c r="B31" s="754" t="s">
        <v>97</v>
      </c>
      <c r="C31" s="754"/>
      <c r="D31" s="754"/>
      <c r="E31" s="754"/>
      <c r="F31" s="754"/>
      <c r="G31" s="754"/>
      <c r="H31" s="754"/>
      <c r="I31" s="754"/>
      <c r="J31" s="754"/>
      <c r="K31" s="754"/>
      <c r="L31" s="754"/>
      <c r="M31" s="754"/>
      <c r="N31" s="186"/>
    </row>
    <row r="32" spans="1:14" x14ac:dyDescent="0.2">
      <c r="A32" s="235"/>
      <c r="B32" s="744" t="s">
        <v>3</v>
      </c>
      <c r="C32" s="744" t="s">
        <v>90</v>
      </c>
      <c r="D32" s="745" t="s">
        <v>93</v>
      </c>
      <c r="E32" s="743" t="s">
        <v>91</v>
      </c>
      <c r="F32" s="743" t="s">
        <v>92</v>
      </c>
      <c r="G32" s="743" t="s">
        <v>83</v>
      </c>
      <c r="H32" s="743" t="s">
        <v>84</v>
      </c>
      <c r="I32" s="743" t="s">
        <v>86</v>
      </c>
      <c r="J32" s="743" t="s">
        <v>85</v>
      </c>
      <c r="K32" s="743" t="s">
        <v>89</v>
      </c>
      <c r="L32" s="743" t="s">
        <v>87</v>
      </c>
      <c r="M32" s="737" t="s">
        <v>88</v>
      </c>
    </row>
    <row r="33" spans="1:14" x14ac:dyDescent="0.2">
      <c r="A33" s="236"/>
      <c r="B33" s="744"/>
      <c r="C33" s="744"/>
      <c r="D33" s="745"/>
      <c r="E33" s="743"/>
      <c r="F33" s="743"/>
      <c r="G33" s="743"/>
      <c r="H33" s="743"/>
      <c r="I33" s="743"/>
      <c r="J33" s="743"/>
      <c r="K33" s="743"/>
      <c r="L33" s="743"/>
      <c r="M33" s="737"/>
    </row>
    <row r="34" spans="1:14" x14ac:dyDescent="0.2">
      <c r="A34" s="237" t="s">
        <v>110</v>
      </c>
      <c r="B34" s="238">
        <v>2209.1</v>
      </c>
      <c r="C34" s="238">
        <v>209</v>
      </c>
      <c r="D34" s="239">
        <f>+B34+C34</f>
        <v>2418.1</v>
      </c>
      <c r="E34" s="238"/>
      <c r="F34" s="238"/>
      <c r="G34" s="238">
        <v>19.600000000000001</v>
      </c>
      <c r="H34" s="238"/>
      <c r="I34" s="238"/>
      <c r="J34" s="238">
        <v>461.53</v>
      </c>
      <c r="K34" s="238"/>
      <c r="L34" s="238">
        <v>570</v>
      </c>
      <c r="M34" s="240">
        <f>+G34+J34+L34</f>
        <v>1051.1300000000001</v>
      </c>
      <c r="N34" s="185" t="s">
        <v>111</v>
      </c>
    </row>
    <row r="35" spans="1:14" x14ac:dyDescent="0.2">
      <c r="A35" s="214" t="s">
        <v>27</v>
      </c>
      <c r="B35" s="241">
        <v>8836.4</v>
      </c>
      <c r="C35" s="242">
        <v>836.36</v>
      </c>
      <c r="D35" s="243">
        <f>IF(SUM(B35:C35)=0,"",SUM(B35:C35))</f>
        <v>9672.76</v>
      </c>
      <c r="E35" s="242"/>
      <c r="F35" s="242"/>
      <c r="G35" s="242">
        <v>1028.3399999999999</v>
      </c>
      <c r="H35" s="242"/>
      <c r="I35" s="242"/>
      <c r="J35" s="242">
        <v>1400.45</v>
      </c>
      <c r="K35" s="242"/>
      <c r="L35" s="242">
        <v>960.44</v>
      </c>
      <c r="M35" s="243">
        <f>SUM(E35:L35)</f>
        <v>3389.23</v>
      </c>
      <c r="N35" s="185" t="s">
        <v>112</v>
      </c>
    </row>
    <row r="36" spans="1:14" ht="9.75" thickBot="1" x14ac:dyDescent="0.25">
      <c r="B36" s="244">
        <f>+B34/B35</f>
        <v>0.25</v>
      </c>
      <c r="C36" s="244">
        <f>+C34/C35</f>
        <v>0.2498923908364819</v>
      </c>
      <c r="D36" s="244">
        <f>IF(OR(D34="",D35=""),"",D34/D35)</f>
        <v>0.24999069552020312</v>
      </c>
      <c r="E36" s="244"/>
      <c r="F36" s="244"/>
      <c r="G36" s="244">
        <f>+G34/G35</f>
        <v>1.9059844020460161E-2</v>
      </c>
      <c r="H36" s="244"/>
      <c r="I36" s="244"/>
      <c r="J36" s="244">
        <f>+J34/J35</f>
        <v>0.32955835624263624</v>
      </c>
      <c r="K36" s="244"/>
      <c r="L36" s="244">
        <f>+L34/L35</f>
        <v>0.59347798925492479</v>
      </c>
      <c r="M36" s="245"/>
      <c r="N36" s="185" t="s">
        <v>113</v>
      </c>
    </row>
    <row r="37" spans="1:14" ht="9.75" thickTop="1" x14ac:dyDescent="0.2">
      <c r="A37" s="738" t="s">
        <v>94</v>
      </c>
      <c r="B37" s="740" t="s">
        <v>95</v>
      </c>
      <c r="C37" s="740"/>
      <c r="D37" s="740"/>
      <c r="E37" s="741" t="s">
        <v>98</v>
      </c>
      <c r="F37" s="741"/>
      <c r="G37" s="741"/>
      <c r="H37" s="741"/>
      <c r="I37" s="741"/>
      <c r="J37" s="741"/>
      <c r="K37" s="741"/>
      <c r="L37" s="741"/>
      <c r="M37" s="741"/>
    </row>
    <row r="38" spans="1:14" ht="9.75" thickBot="1" x14ac:dyDescent="0.25">
      <c r="A38" s="739"/>
      <c r="B38" s="742">
        <f>IF(D36="","",D36)</f>
        <v>0.24999069552020312</v>
      </c>
      <c r="C38" s="742"/>
      <c r="D38" s="742"/>
      <c r="E38" s="742">
        <f>+M34/M35</f>
        <v>0.31013829099825035</v>
      </c>
      <c r="F38" s="742"/>
      <c r="G38" s="742"/>
      <c r="H38" s="742"/>
      <c r="I38" s="742"/>
      <c r="J38" s="742"/>
      <c r="K38" s="742"/>
      <c r="L38" s="742"/>
      <c r="M38" s="742"/>
    </row>
    <row r="39" spans="1:14" ht="9.75" thickTop="1" x14ac:dyDescent="0.2">
      <c r="A39" s="252"/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</row>
    <row r="40" spans="1:14" x14ac:dyDescent="0.2">
      <c r="A40" s="187"/>
      <c r="B40" s="247"/>
      <c r="C40" s="247"/>
      <c r="D40" s="246"/>
      <c r="E40" s="247"/>
      <c r="F40" s="247"/>
      <c r="G40" s="247"/>
      <c r="H40" s="247"/>
      <c r="I40" s="247"/>
      <c r="J40" s="247"/>
      <c r="K40" s="247"/>
      <c r="L40" s="247"/>
      <c r="M40" s="247"/>
    </row>
    <row r="41" spans="1:14" x14ac:dyDescent="0.2">
      <c r="A41" s="252"/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</row>
    <row r="42" spans="1:14" x14ac:dyDescent="0.2">
      <c r="A42" s="187"/>
      <c r="B42" s="247"/>
      <c r="C42" s="247"/>
      <c r="D42" s="246"/>
      <c r="E42" s="247"/>
      <c r="F42" s="247"/>
      <c r="G42" s="247"/>
      <c r="H42" s="247"/>
      <c r="I42" s="247"/>
      <c r="J42" s="247"/>
      <c r="K42" s="247"/>
      <c r="L42" s="247"/>
      <c r="M42" s="247"/>
    </row>
    <row r="43" spans="1:14" x14ac:dyDescent="0.2">
      <c r="A43" s="187"/>
      <c r="B43" s="247"/>
      <c r="C43" s="247"/>
      <c r="D43" s="246"/>
      <c r="E43" s="247"/>
      <c r="F43" s="247"/>
      <c r="G43" s="247"/>
      <c r="H43" s="247"/>
      <c r="I43" s="247"/>
      <c r="J43" s="247"/>
      <c r="K43" s="247"/>
      <c r="L43" s="247"/>
      <c r="M43" s="247"/>
    </row>
    <row r="44" spans="1:14" x14ac:dyDescent="0.2">
      <c r="A44" s="187"/>
      <c r="B44" s="248"/>
      <c r="C44" s="248"/>
      <c r="D44" s="246"/>
      <c r="E44" s="248"/>
      <c r="F44" s="248"/>
      <c r="G44" s="248"/>
      <c r="H44" s="248"/>
      <c r="I44" s="248"/>
      <c r="J44" s="248"/>
      <c r="K44" s="248"/>
      <c r="L44" s="248"/>
      <c r="M44" s="248"/>
    </row>
    <row r="45" spans="1:14" x14ac:dyDescent="0.2">
      <c r="A45" s="187"/>
      <c r="B45" s="247"/>
      <c r="C45" s="247"/>
      <c r="D45" s="246"/>
      <c r="E45" s="247"/>
      <c r="F45" s="247"/>
      <c r="G45" s="247"/>
      <c r="H45" s="247"/>
      <c r="I45" s="247"/>
      <c r="J45" s="247"/>
      <c r="K45" s="247"/>
      <c r="L45" s="247"/>
      <c r="M45" s="247"/>
    </row>
    <row r="46" spans="1:14" x14ac:dyDescent="0.2">
      <c r="A46" s="187"/>
      <c r="B46" s="248"/>
      <c r="C46" s="248"/>
      <c r="D46" s="246"/>
      <c r="E46" s="248"/>
      <c r="F46" s="248"/>
      <c r="G46" s="248"/>
      <c r="H46" s="248"/>
      <c r="I46" s="248"/>
      <c r="J46" s="248"/>
      <c r="K46" s="248"/>
      <c r="L46" s="248"/>
      <c r="M46" s="248"/>
    </row>
    <row r="47" spans="1:14" x14ac:dyDescent="0.2">
      <c r="A47" s="187"/>
      <c r="B47" s="248"/>
      <c r="C47" s="248"/>
      <c r="D47" s="246"/>
      <c r="E47" s="248"/>
      <c r="F47" s="248"/>
      <c r="G47" s="248"/>
      <c r="H47" s="248"/>
      <c r="I47" s="248"/>
      <c r="J47" s="248"/>
      <c r="K47" s="248"/>
      <c r="L47" s="248"/>
      <c r="M47" s="248"/>
    </row>
    <row r="48" spans="1:14" x14ac:dyDescent="0.2">
      <c r="A48" s="187"/>
      <c r="B48" s="248"/>
      <c r="C48" s="248"/>
      <c r="D48" s="246"/>
      <c r="E48" s="248"/>
      <c r="F48" s="248"/>
      <c r="G48" s="248"/>
      <c r="H48" s="248"/>
      <c r="I48" s="248"/>
      <c r="J48" s="248"/>
      <c r="K48" s="248"/>
      <c r="L48" s="248"/>
      <c r="M48" s="248"/>
    </row>
    <row r="49" spans="1:13" x14ac:dyDescent="0.2">
      <c r="A49" s="252"/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</row>
    <row r="50" spans="1:13" x14ac:dyDescent="0.2">
      <c r="A50" s="252"/>
      <c r="B50" s="246"/>
      <c r="C50" s="246"/>
      <c r="D50" s="246"/>
      <c r="E50" s="246"/>
      <c r="F50" s="246"/>
      <c r="G50" s="246"/>
      <c r="H50" s="246"/>
      <c r="I50" s="246"/>
      <c r="J50" s="246"/>
      <c r="K50" s="246"/>
      <c r="L50" s="246"/>
      <c r="M50" s="246"/>
    </row>
    <row r="51" spans="1:13" x14ac:dyDescent="0.2">
      <c r="A51" s="187"/>
      <c r="B51" s="247"/>
      <c r="C51" s="247"/>
      <c r="D51" s="246"/>
      <c r="E51" s="247"/>
      <c r="F51" s="247"/>
      <c r="G51" s="247"/>
      <c r="H51" s="247"/>
      <c r="I51" s="247"/>
      <c r="J51" s="247"/>
      <c r="K51" s="247"/>
      <c r="L51" s="247"/>
      <c r="M51" s="247"/>
    </row>
    <row r="52" spans="1:13" x14ac:dyDescent="0.2">
      <c r="A52" s="187"/>
      <c r="B52" s="249"/>
      <c r="C52" s="248"/>
      <c r="D52" s="246"/>
      <c r="E52" s="248"/>
      <c r="F52" s="248"/>
      <c r="G52" s="248"/>
      <c r="H52" s="248"/>
      <c r="I52" s="248"/>
      <c r="J52" s="248"/>
      <c r="K52" s="248"/>
      <c r="L52" s="248"/>
      <c r="M52" s="248"/>
    </row>
    <row r="53" spans="1:13" x14ac:dyDescent="0.2">
      <c r="A53" s="252"/>
      <c r="B53" s="253"/>
      <c r="C53" s="253"/>
      <c r="D53" s="250"/>
      <c r="E53" s="253"/>
      <c r="F53" s="253"/>
      <c r="G53" s="253"/>
      <c r="H53" s="253"/>
      <c r="I53" s="253"/>
      <c r="J53" s="253"/>
      <c r="K53" s="253"/>
      <c r="L53" s="253"/>
      <c r="M53" s="253"/>
    </row>
    <row r="54" spans="1:13" x14ac:dyDescent="0.2">
      <c r="A54" s="251"/>
      <c r="B54" s="251"/>
      <c r="C54" s="251"/>
      <c r="D54" s="251"/>
      <c r="E54" s="251"/>
      <c r="F54" s="251"/>
      <c r="G54" s="251"/>
      <c r="H54" s="251"/>
      <c r="I54" s="251"/>
      <c r="J54" s="251"/>
      <c r="K54" s="251"/>
      <c r="L54" s="251"/>
      <c r="M54" s="251"/>
    </row>
    <row r="55" spans="1:13" x14ac:dyDescent="0.2">
      <c r="A55" s="187"/>
      <c r="B55" s="733"/>
      <c r="C55" s="733"/>
      <c r="D55" s="733"/>
      <c r="E55" s="734"/>
      <c r="F55" s="734"/>
      <c r="G55" s="734"/>
      <c r="H55" s="734"/>
      <c r="I55" s="734"/>
      <c r="J55" s="734"/>
      <c r="K55" s="734"/>
      <c r="L55" s="734"/>
      <c r="M55" s="734"/>
    </row>
    <row r="56" spans="1:13" x14ac:dyDescent="0.2">
      <c r="A56" s="187"/>
      <c r="B56" s="735"/>
      <c r="C56" s="735"/>
      <c r="D56" s="735"/>
      <c r="E56" s="735"/>
      <c r="F56" s="735"/>
      <c r="G56" s="735"/>
      <c r="H56" s="735"/>
      <c r="I56" s="735"/>
      <c r="J56" s="735"/>
      <c r="K56" s="735"/>
      <c r="L56" s="735"/>
      <c r="M56" s="735"/>
    </row>
    <row r="57" spans="1:13" x14ac:dyDescent="0.2">
      <c r="A57" s="251"/>
      <c r="B57" s="251"/>
      <c r="C57" s="251"/>
      <c r="D57" s="251"/>
      <c r="E57" s="251"/>
      <c r="F57" s="251"/>
      <c r="G57" s="251"/>
      <c r="H57" s="251"/>
      <c r="I57" s="251"/>
      <c r="J57" s="251"/>
      <c r="K57" s="251"/>
      <c r="L57" s="251"/>
      <c r="M57" s="251"/>
    </row>
    <row r="58" spans="1:13" x14ac:dyDescent="0.2">
      <c r="A58" s="251"/>
      <c r="B58" s="251"/>
      <c r="C58" s="251"/>
      <c r="D58" s="251"/>
      <c r="E58" s="734"/>
      <c r="F58" s="734"/>
      <c r="G58" s="734"/>
      <c r="H58" s="734"/>
      <c r="I58" s="734"/>
      <c r="J58" s="734"/>
      <c r="K58" s="734"/>
      <c r="L58" s="734"/>
      <c r="M58" s="734"/>
    </row>
    <row r="59" spans="1:13" x14ac:dyDescent="0.2">
      <c r="D59" s="251"/>
      <c r="E59" s="736"/>
      <c r="F59" s="736"/>
      <c r="G59" s="736"/>
      <c r="H59" s="736"/>
      <c r="I59" s="736"/>
      <c r="J59" s="736"/>
      <c r="K59" s="736"/>
      <c r="L59" s="736"/>
      <c r="M59" s="736"/>
    </row>
    <row r="60" spans="1:13" x14ac:dyDescent="0.2">
      <c r="D60" s="251"/>
      <c r="E60" s="251"/>
      <c r="F60" s="251"/>
      <c r="G60" s="251"/>
      <c r="H60" s="251"/>
      <c r="I60" s="251"/>
      <c r="J60" s="251"/>
      <c r="K60" s="251"/>
      <c r="L60" s="251"/>
      <c r="M60" s="251"/>
    </row>
  </sheetData>
  <mergeCells count="44">
    <mergeCell ref="K4:K5"/>
    <mergeCell ref="L4:L5"/>
    <mergeCell ref="M4:M5"/>
    <mergeCell ref="B1:M1"/>
    <mergeCell ref="B2:M2"/>
    <mergeCell ref="B3:D3"/>
    <mergeCell ref="E3:M3"/>
    <mergeCell ref="B4:B5"/>
    <mergeCell ref="C4:C5"/>
    <mergeCell ref="D4:D5"/>
    <mergeCell ref="E4:E5"/>
    <mergeCell ref="F4:F5"/>
    <mergeCell ref="G4:G5"/>
    <mergeCell ref="E32:E33"/>
    <mergeCell ref="F32:F33"/>
    <mergeCell ref="H4:H5"/>
    <mergeCell ref="I4:I5"/>
    <mergeCell ref="J4:J5"/>
    <mergeCell ref="B23:D23"/>
    <mergeCell ref="E23:M23"/>
    <mergeCell ref="B24:D24"/>
    <mergeCell ref="E24:M24"/>
    <mergeCell ref="B31:M31"/>
    <mergeCell ref="E59:M59"/>
    <mergeCell ref="M32:M33"/>
    <mergeCell ref="A37:A38"/>
    <mergeCell ref="B37:D37"/>
    <mergeCell ref="E37:M37"/>
    <mergeCell ref="B38:D38"/>
    <mergeCell ref="E38:M38"/>
    <mergeCell ref="G32:G33"/>
    <mergeCell ref="H32:H33"/>
    <mergeCell ref="I32:I33"/>
    <mergeCell ref="J32:J33"/>
    <mergeCell ref="K32:K33"/>
    <mergeCell ref="L32:L33"/>
    <mergeCell ref="B32:B33"/>
    <mergeCell ref="C32:C33"/>
    <mergeCell ref="D32:D33"/>
    <mergeCell ref="B55:D55"/>
    <mergeCell ref="E55:M55"/>
    <mergeCell ref="B56:D56"/>
    <mergeCell ref="E56:M56"/>
    <mergeCell ref="E58:M58"/>
  </mergeCells>
  <conditionalFormatting sqref="B30:M30">
    <cfRule type="cellIs" dxfId="40" priority="2" operator="greaterThan">
      <formula>0.13</formula>
    </cfRule>
    <cfRule type="cellIs" dxfId="39" priority="3" operator="greaterThan">
      <formula>0.13</formula>
    </cfRule>
    <cfRule type="cellIs" dxfId="38" priority="4" operator="greaterThan">
      <formula>0.03</formula>
    </cfRule>
    <cfRule type="cellIs" dxfId="37" priority="5" operator="greaterThan">
      <formula>0</formula>
    </cfRule>
  </conditionalFormatting>
  <conditionalFormatting sqref="B28:M29">
    <cfRule type="cellIs" dxfId="36" priority="1" operator="greaterThan">
      <formula>0.01</formula>
    </cfRule>
  </conditionalFormatting>
  <pageMargins left="0.7" right="0.7" top="0.75" bottom="0.75" header="0.3" footer="0.3"/>
  <pageSetup paperSize="9" scale="78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Q60"/>
  <sheetViews>
    <sheetView workbookViewId="0">
      <selection activeCell="B22" sqref="B22"/>
    </sheetView>
  </sheetViews>
  <sheetFormatPr baseColWidth="10" defaultRowHeight="9" x14ac:dyDescent="0.2"/>
  <cols>
    <col min="1" max="1" width="30.42578125" style="185" bestFit="1" customWidth="1"/>
    <col min="2" max="3" width="9" style="185" bestFit="1" customWidth="1"/>
    <col min="4" max="4" width="18.7109375" style="185" bestFit="1" customWidth="1"/>
    <col min="5" max="5" width="9.85546875" style="185" bestFit="1" customWidth="1"/>
    <col min="6" max="6" width="9.85546875" style="185" customWidth="1"/>
    <col min="7" max="7" width="7" style="185" bestFit="1" customWidth="1"/>
    <col min="8" max="9" width="8" style="185" bestFit="1" customWidth="1"/>
    <col min="10" max="10" width="7" style="185" bestFit="1" customWidth="1"/>
    <col min="11" max="12" width="8" style="185" bestFit="1" customWidth="1"/>
    <col min="13" max="13" width="12.140625" style="185" bestFit="1" customWidth="1"/>
    <col min="14" max="16384" width="11.42578125" style="185"/>
  </cols>
  <sheetData>
    <row r="1" spans="1:14" x14ac:dyDescent="0.2">
      <c r="B1" s="757" t="s">
        <v>114</v>
      </c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  <c r="N1" s="186"/>
    </row>
    <row r="2" spans="1:14" x14ac:dyDescent="0.2">
      <c r="B2" s="758" t="s">
        <v>96</v>
      </c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</row>
    <row r="3" spans="1:14" x14ac:dyDescent="0.2">
      <c r="A3" s="187"/>
      <c r="B3" s="759" t="s">
        <v>103</v>
      </c>
      <c r="C3" s="759"/>
      <c r="D3" s="759"/>
      <c r="E3" s="760" t="s">
        <v>104</v>
      </c>
      <c r="F3" s="760"/>
      <c r="G3" s="760"/>
      <c r="H3" s="760"/>
      <c r="I3" s="760"/>
      <c r="J3" s="760"/>
      <c r="K3" s="760"/>
      <c r="L3" s="760"/>
      <c r="M3" s="760"/>
      <c r="N3" s="186"/>
    </row>
    <row r="4" spans="1:14" ht="11.25" customHeight="1" x14ac:dyDescent="0.2">
      <c r="A4" s="187"/>
      <c r="B4" s="759" t="s">
        <v>3</v>
      </c>
      <c r="C4" s="759" t="s">
        <v>90</v>
      </c>
      <c r="D4" s="761" t="s">
        <v>93</v>
      </c>
      <c r="E4" s="755" t="s">
        <v>91</v>
      </c>
      <c r="F4" s="755" t="s">
        <v>100</v>
      </c>
      <c r="G4" s="755" t="s">
        <v>83</v>
      </c>
      <c r="H4" s="755" t="s">
        <v>84</v>
      </c>
      <c r="I4" s="755" t="s">
        <v>86</v>
      </c>
      <c r="J4" s="755" t="s">
        <v>85</v>
      </c>
      <c r="K4" s="755" t="s">
        <v>89</v>
      </c>
      <c r="L4" s="755" t="s">
        <v>87</v>
      </c>
      <c r="M4" s="756" t="s">
        <v>88</v>
      </c>
    </row>
    <row r="5" spans="1:14" x14ac:dyDescent="0.2">
      <c r="A5" s="188"/>
      <c r="B5" s="759"/>
      <c r="C5" s="759"/>
      <c r="D5" s="761"/>
      <c r="E5" s="755"/>
      <c r="F5" s="755"/>
      <c r="G5" s="755"/>
      <c r="H5" s="755"/>
      <c r="I5" s="755"/>
      <c r="J5" s="755"/>
      <c r="K5" s="755"/>
      <c r="L5" s="755"/>
      <c r="M5" s="756"/>
    </row>
    <row r="6" spans="1:14" x14ac:dyDescent="0.2">
      <c r="A6" s="189" t="s">
        <v>9</v>
      </c>
      <c r="B6" s="190"/>
      <c r="C6" s="191"/>
      <c r="D6" s="192"/>
      <c r="E6" s="191"/>
      <c r="F6" s="191"/>
      <c r="G6" s="191"/>
      <c r="H6" s="191"/>
      <c r="I6" s="191"/>
      <c r="J6" s="191"/>
      <c r="K6" s="191"/>
      <c r="L6" s="191"/>
      <c r="M6" s="193"/>
    </row>
    <row r="7" spans="1:14" x14ac:dyDescent="0.2">
      <c r="A7" s="194" t="s">
        <v>10</v>
      </c>
      <c r="B7" s="195">
        <v>13578</v>
      </c>
      <c r="C7" s="195">
        <v>4800</v>
      </c>
      <c r="D7" s="196">
        <f>+B7+C7</f>
        <v>18378</v>
      </c>
      <c r="E7" s="195">
        <v>375</v>
      </c>
      <c r="F7" s="195">
        <v>1577</v>
      </c>
      <c r="G7" s="195">
        <v>3946</v>
      </c>
      <c r="H7" s="195">
        <v>2534</v>
      </c>
      <c r="I7" s="195">
        <v>1454</v>
      </c>
      <c r="J7" s="195">
        <v>534</v>
      </c>
      <c r="K7" s="195">
        <v>1872</v>
      </c>
      <c r="L7" s="195">
        <v>936</v>
      </c>
      <c r="M7" s="197">
        <f>+SUM(E7:L7)</f>
        <v>13228</v>
      </c>
    </row>
    <row r="8" spans="1:14" x14ac:dyDescent="0.2">
      <c r="A8" s="198" t="s">
        <v>11</v>
      </c>
      <c r="B8" s="195">
        <v>35468</v>
      </c>
      <c r="C8" s="195">
        <v>14408</v>
      </c>
      <c r="D8" s="196">
        <f>+B8+C8</f>
        <v>49876</v>
      </c>
      <c r="E8" s="195">
        <v>313.64999999999998</v>
      </c>
      <c r="F8" s="195">
        <v>4083</v>
      </c>
      <c r="G8" s="195">
        <v>5161</v>
      </c>
      <c r="H8" s="195">
        <v>2690</v>
      </c>
      <c r="I8" s="195">
        <v>2637</v>
      </c>
      <c r="J8" s="195">
        <v>1349</v>
      </c>
      <c r="K8" s="195">
        <v>1200</v>
      </c>
      <c r="L8" s="195">
        <v>2729</v>
      </c>
      <c r="M8" s="197">
        <f>+L8+K8+J8+I8+H8+G8+F8+E8</f>
        <v>20162.650000000001</v>
      </c>
    </row>
    <row r="9" spans="1:14" x14ac:dyDescent="0.2">
      <c r="A9" s="198" t="s">
        <v>12</v>
      </c>
      <c r="B9" s="195"/>
      <c r="C9" s="195"/>
      <c r="D9" s="196" t="str">
        <f>IF(SUM(B9:C9)=0,"",SUM(B9:C9))</f>
        <v/>
      </c>
      <c r="E9" s="195"/>
      <c r="F9" s="195"/>
      <c r="G9" s="195"/>
      <c r="H9" s="195"/>
      <c r="I9" s="195"/>
      <c r="J9" s="195"/>
      <c r="K9" s="195"/>
      <c r="L9" s="195"/>
      <c r="M9" s="197" t="str">
        <f>IF(SUM(F9:K9)=0,"",SUM(F9:K9))</f>
        <v/>
      </c>
    </row>
    <row r="10" spans="1:14" x14ac:dyDescent="0.2">
      <c r="A10" s="198" t="s">
        <v>13</v>
      </c>
      <c r="B10" s="199"/>
      <c r="C10" s="199"/>
      <c r="D10" s="196" t="str">
        <f>IF(SUM(B10:C10)=0,"",SUM(B10:C10))</f>
        <v/>
      </c>
      <c r="E10" s="190"/>
      <c r="F10" s="199"/>
      <c r="G10" s="199"/>
      <c r="H10" s="199"/>
      <c r="I10" s="199"/>
      <c r="J10" s="199"/>
      <c r="K10" s="199"/>
      <c r="L10" s="199"/>
      <c r="M10" s="197" t="str">
        <f>IF(SUM(F10:K10)=0,"",SUM(F10:K10))</f>
        <v/>
      </c>
    </row>
    <row r="11" spans="1:14" x14ac:dyDescent="0.2">
      <c r="A11" s="198" t="s">
        <v>14</v>
      </c>
      <c r="B11" s="195"/>
      <c r="C11" s="195"/>
      <c r="D11" s="196" t="str">
        <f>IF(SUM(B11:C11)=0,"",SUM(B11:C11))</f>
        <v/>
      </c>
      <c r="E11" s="195"/>
      <c r="F11" s="195"/>
      <c r="G11" s="195"/>
      <c r="H11" s="195"/>
      <c r="I11" s="195"/>
      <c r="J11" s="195"/>
      <c r="K11" s="195"/>
      <c r="L11" s="195"/>
      <c r="M11" s="197" t="str">
        <f>IF(SUM(F11:K11)=0,"",SUM(F11:K11))</f>
        <v/>
      </c>
    </row>
    <row r="12" spans="1:14" x14ac:dyDescent="0.2">
      <c r="A12" s="194" t="s">
        <v>15</v>
      </c>
      <c r="B12" s="196">
        <f>B8</f>
        <v>35468</v>
      </c>
      <c r="C12" s="196">
        <f>C8</f>
        <v>14408</v>
      </c>
      <c r="D12" s="196">
        <f>IF(SUM(B12:C12)=0,"",SUM(B12:C12))</f>
        <v>49876</v>
      </c>
      <c r="E12" s="196">
        <f>IF(SUM(E8:E11)=0,"",SUM(E8:E11))</f>
        <v>313.64999999999998</v>
      </c>
      <c r="F12" s="196">
        <f>IF(SUM(F8:F11)=0,"",SUM(F8:F11))</f>
        <v>4083</v>
      </c>
      <c r="G12" s="196">
        <f>IF(SUM(G8:G11)=0,"",SUM(G8:G11))</f>
        <v>5161</v>
      </c>
      <c r="H12" s="196">
        <v>2677</v>
      </c>
      <c r="I12" s="196">
        <v>2659</v>
      </c>
      <c r="J12" s="196">
        <v>1261</v>
      </c>
      <c r="K12" s="196">
        <v>1936</v>
      </c>
      <c r="L12" s="196">
        <v>848</v>
      </c>
      <c r="M12" s="197">
        <f>SUM(E12:L12)</f>
        <v>18938.650000000001</v>
      </c>
    </row>
    <row r="13" spans="1:14" ht="19.5" customHeight="1" x14ac:dyDescent="0.2">
      <c r="A13" s="200" t="s">
        <v>16</v>
      </c>
      <c r="B13" s="201">
        <f>+B12+B7</f>
        <v>49046</v>
      </c>
      <c r="C13" s="201">
        <f>+C12+C7</f>
        <v>19208</v>
      </c>
      <c r="D13" s="201">
        <f t="shared" ref="D13" si="0">IF(AND(D7="",D12=""),"",SUM(D7,D12))</f>
        <v>68254</v>
      </c>
      <c r="E13" s="201">
        <f>IF(AND(E7="",E12=""),"",SUM(E7,E12))</f>
        <v>688.65</v>
      </c>
      <c r="F13" s="201">
        <f>IF(AND(F7="",F12=""),"",SUM(F7,F12))</f>
        <v>5660</v>
      </c>
      <c r="G13" s="201">
        <f>+G7+G8</f>
        <v>9107</v>
      </c>
      <c r="H13" s="201">
        <f t="shared" ref="H13:M13" si="1">IF(AND(H7="",H12=""),"",SUM(H7,H12))</f>
        <v>5211</v>
      </c>
      <c r="I13" s="201">
        <f t="shared" si="1"/>
        <v>4113</v>
      </c>
      <c r="J13" s="201">
        <f t="shared" si="1"/>
        <v>1795</v>
      </c>
      <c r="K13" s="201">
        <f t="shared" si="1"/>
        <v>3808</v>
      </c>
      <c r="L13" s="201">
        <f t="shared" si="1"/>
        <v>1784</v>
      </c>
      <c r="M13" s="202">
        <f t="shared" si="1"/>
        <v>32166.65</v>
      </c>
    </row>
    <row r="14" spans="1:14" x14ac:dyDescent="0.2">
      <c r="A14" s="203" t="s">
        <v>17</v>
      </c>
      <c r="B14" s="204"/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</row>
    <row r="15" spans="1:14" x14ac:dyDescent="0.2">
      <c r="A15" s="205" t="s">
        <v>18</v>
      </c>
      <c r="B15" s="206">
        <v>11005</v>
      </c>
      <c r="C15" s="206">
        <v>3735.2</v>
      </c>
      <c r="D15" s="207">
        <f>+B15+C15</f>
        <v>14740.2</v>
      </c>
      <c r="E15" s="206">
        <v>225.85</v>
      </c>
      <c r="F15" s="206">
        <v>1422.91</v>
      </c>
      <c r="G15" s="206">
        <v>3863.82</v>
      </c>
      <c r="H15" s="206">
        <v>2422.61</v>
      </c>
      <c r="I15" s="206">
        <v>1179</v>
      </c>
      <c r="J15" s="206">
        <v>623.15</v>
      </c>
      <c r="K15" s="206">
        <v>1782.85</v>
      </c>
      <c r="L15" s="206">
        <v>683.01</v>
      </c>
      <c r="M15" s="208">
        <f>+SUM(E15:L15)</f>
        <v>12203.2</v>
      </c>
    </row>
    <row r="16" spans="1:14" x14ac:dyDescent="0.2">
      <c r="A16" s="205" t="s">
        <v>19</v>
      </c>
      <c r="B16" s="206">
        <v>5040</v>
      </c>
      <c r="C16" s="204"/>
      <c r="D16" s="207">
        <f>IF(SUM(B16:C16)=0,"",SUM(B16:C16))</f>
        <v>5040</v>
      </c>
      <c r="E16" s="204"/>
      <c r="F16" s="204"/>
      <c r="G16" s="204"/>
      <c r="H16" s="204"/>
      <c r="I16" s="204"/>
      <c r="J16" s="204"/>
      <c r="K16" s="204"/>
      <c r="L16" s="204"/>
      <c r="M16" s="204"/>
    </row>
    <row r="17" spans="1:16" x14ac:dyDescent="0.2">
      <c r="A17" s="205" t="s">
        <v>82</v>
      </c>
      <c r="B17" s="206">
        <v>25.41</v>
      </c>
      <c r="C17" s="204"/>
      <c r="D17" s="207">
        <f>IF(SUM(B17:C17)=0,"",SUM(B17:C17))</f>
        <v>25.41</v>
      </c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6" x14ac:dyDescent="0.2">
      <c r="A18" s="205" t="s">
        <v>57</v>
      </c>
      <c r="B18" s="206">
        <v>2115</v>
      </c>
      <c r="C18" s="204"/>
      <c r="D18" s="207">
        <f>IF(SUM(B18:C18)=0,"",SUM(B18:C18))</f>
        <v>2115</v>
      </c>
      <c r="E18" s="206"/>
      <c r="F18" s="206">
        <v>12.48</v>
      </c>
      <c r="G18" s="206">
        <f>1.38+17.02</f>
        <v>18.399999999999999</v>
      </c>
      <c r="H18" s="206">
        <f>18.9+15.75</f>
        <v>34.65</v>
      </c>
      <c r="I18" s="206">
        <f>44.03+3.88</f>
        <v>47.910000000000004</v>
      </c>
      <c r="J18" s="206">
        <f>3.88+5.95</f>
        <v>9.83</v>
      </c>
      <c r="K18" s="206">
        <v>3.75</v>
      </c>
      <c r="L18" s="206">
        <f>18.95+4.5</f>
        <v>23.45</v>
      </c>
      <c r="M18" s="208">
        <f>IF(SUM(F18:L18)=0,"",SUM(F18:L18))</f>
        <v>150.47</v>
      </c>
    </row>
    <row r="19" spans="1:16" ht="26.25" customHeight="1" thickBot="1" x14ac:dyDescent="0.25">
      <c r="A19" s="209" t="s">
        <v>25</v>
      </c>
      <c r="B19" s="210">
        <f>SUM(B15:B18)</f>
        <v>18185.41</v>
      </c>
      <c r="C19" s="210">
        <f>SUM(C15:C18)</f>
        <v>3735.2</v>
      </c>
      <c r="D19" s="210">
        <f t="shared" ref="D19:M19" si="2">SUM(D15:D18)</f>
        <v>21920.61</v>
      </c>
      <c r="E19" s="210">
        <f t="shared" ref="E19:L19" si="3">SUM(E15:E18)</f>
        <v>225.85</v>
      </c>
      <c r="F19" s="210">
        <f t="shared" si="3"/>
        <v>1435.39</v>
      </c>
      <c r="G19" s="210">
        <f t="shared" si="3"/>
        <v>3882.2200000000003</v>
      </c>
      <c r="H19" s="210">
        <f t="shared" si="3"/>
        <v>2457.2600000000002</v>
      </c>
      <c r="I19" s="210">
        <f t="shared" si="3"/>
        <v>1226.9100000000001</v>
      </c>
      <c r="J19" s="210">
        <f t="shared" si="3"/>
        <v>632.98</v>
      </c>
      <c r="K19" s="210">
        <f t="shared" si="3"/>
        <v>1786.6</v>
      </c>
      <c r="L19" s="210">
        <f t="shared" si="3"/>
        <v>706.46</v>
      </c>
      <c r="M19" s="210">
        <f t="shared" si="2"/>
        <v>12353.67</v>
      </c>
    </row>
    <row r="20" spans="1:16" ht="13.5" customHeight="1" thickTop="1" x14ac:dyDescent="0.2">
      <c r="A20" s="211" t="s">
        <v>26</v>
      </c>
      <c r="B20" s="212">
        <f>B13-B19</f>
        <v>30860.59</v>
      </c>
      <c r="C20" s="212">
        <f>C13-C19</f>
        <v>15472.8</v>
      </c>
      <c r="D20" s="213">
        <f>IF(SUM(B20:C20)=0,"",SUM(B20:C20))</f>
        <v>46333.39</v>
      </c>
      <c r="E20" s="212">
        <f>E13-E19</f>
        <v>462.79999999999995</v>
      </c>
      <c r="F20" s="212">
        <f t="shared" ref="F20:K20" si="4">+F13-F19</f>
        <v>4224.6099999999997</v>
      </c>
      <c r="G20" s="212">
        <f t="shared" si="4"/>
        <v>5224.78</v>
      </c>
      <c r="H20" s="212">
        <f t="shared" si="4"/>
        <v>2753.74</v>
      </c>
      <c r="I20" s="212">
        <f t="shared" si="4"/>
        <v>2886.09</v>
      </c>
      <c r="J20" s="212">
        <f>+J13-J19</f>
        <v>1162.02</v>
      </c>
      <c r="K20" s="212">
        <f t="shared" si="4"/>
        <v>2021.4</v>
      </c>
      <c r="L20" s="212">
        <f>+L13-L19</f>
        <v>1077.54</v>
      </c>
      <c r="M20" s="213">
        <f>SUM(E20:L20)</f>
        <v>19812.98</v>
      </c>
      <c r="N20" s="186"/>
    </row>
    <row r="21" spans="1:16" x14ac:dyDescent="0.2">
      <c r="A21" s="214" t="s">
        <v>27</v>
      </c>
      <c r="B21" s="215">
        <v>79700.2</v>
      </c>
      <c r="C21" s="215">
        <v>44531.24</v>
      </c>
      <c r="D21" s="213">
        <f>IF(SUM(B21:C21)=0,"",SUM(B21:C21))</f>
        <v>124231.44</v>
      </c>
      <c r="E21" s="215">
        <v>1221.25</v>
      </c>
      <c r="F21" s="215">
        <v>9307.76</v>
      </c>
      <c r="G21" s="215">
        <v>17016.36</v>
      </c>
      <c r="H21" s="215">
        <v>18858.79</v>
      </c>
      <c r="I21" s="215">
        <v>12616.28</v>
      </c>
      <c r="J21" s="215">
        <v>5298.88</v>
      </c>
      <c r="K21" s="215">
        <v>7444.5</v>
      </c>
      <c r="L21" s="215">
        <v>9443.82</v>
      </c>
      <c r="M21" s="213">
        <f>SUM(E21:L21)</f>
        <v>81207.640000000014</v>
      </c>
      <c r="N21" s="186"/>
    </row>
    <row r="22" spans="1:16" ht="12.75" customHeight="1" thickBot="1" x14ac:dyDescent="0.25">
      <c r="A22" s="216" t="s">
        <v>94</v>
      </c>
      <c r="B22" s="217">
        <f>+B20/B21</f>
        <v>0.38720843862374249</v>
      </c>
      <c r="C22" s="217">
        <f>+C20/C21</f>
        <v>0.34745944644703358</v>
      </c>
      <c r="D22" s="218">
        <f>IF(OR(D20="",D21=""),"",D20/D21)</f>
        <v>0.37296025869135863</v>
      </c>
      <c r="E22" s="217">
        <f t="shared" ref="E22:L22" si="5">+E20/E21</f>
        <v>0.3789559877175025</v>
      </c>
      <c r="F22" s="217">
        <f t="shared" si="5"/>
        <v>0.45388041805976942</v>
      </c>
      <c r="G22" s="217">
        <f t="shared" si="5"/>
        <v>0.3070445148081023</v>
      </c>
      <c r="H22" s="217">
        <f t="shared" si="5"/>
        <v>0.14601891213593235</v>
      </c>
      <c r="I22" s="217">
        <f t="shared" si="5"/>
        <v>0.22875919050623481</v>
      </c>
      <c r="J22" s="217">
        <f t="shared" si="5"/>
        <v>0.21929539827284256</v>
      </c>
      <c r="K22" s="217">
        <f t="shared" si="5"/>
        <v>0.27152931694539595</v>
      </c>
      <c r="L22" s="217">
        <f t="shared" si="5"/>
        <v>0.11410001461273087</v>
      </c>
      <c r="M22" s="218">
        <f>IF(OR(M20="",M21=""),"",M20/M21)</f>
        <v>0.2439792610645993</v>
      </c>
      <c r="N22" s="186"/>
    </row>
    <row r="23" spans="1:16" ht="13.5" customHeight="1" thickTop="1" x14ac:dyDescent="0.2">
      <c r="A23" s="219" t="s">
        <v>108</v>
      </c>
      <c r="B23" s="746" t="s">
        <v>102</v>
      </c>
      <c r="C23" s="747"/>
      <c r="D23" s="748"/>
      <c r="E23" s="749" t="s">
        <v>101</v>
      </c>
      <c r="F23" s="750"/>
      <c r="G23" s="750"/>
      <c r="H23" s="750"/>
      <c r="I23" s="750"/>
      <c r="J23" s="750"/>
      <c r="K23" s="750"/>
      <c r="L23" s="750"/>
      <c r="M23" s="751"/>
    </row>
    <row r="24" spans="1:16" ht="9.75" thickBot="1" x14ac:dyDescent="0.25">
      <c r="A24" s="220"/>
      <c r="B24" s="752">
        <f>IF(D22="","",D22)</f>
        <v>0.37296025869135863</v>
      </c>
      <c r="C24" s="752"/>
      <c r="D24" s="752"/>
      <c r="E24" s="753">
        <f>IF(M22="","",M22)</f>
        <v>0.2439792610645993</v>
      </c>
      <c r="F24" s="753"/>
      <c r="G24" s="753"/>
      <c r="H24" s="753"/>
      <c r="I24" s="753"/>
      <c r="J24" s="753"/>
      <c r="K24" s="753"/>
      <c r="L24" s="753"/>
      <c r="M24" s="753"/>
      <c r="N24" s="186"/>
    </row>
    <row r="25" spans="1:16" ht="14.25" customHeight="1" thickTop="1" x14ac:dyDescent="0.2">
      <c r="A25" s="221"/>
      <c r="B25" s="221"/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186"/>
    </row>
    <row r="26" spans="1:16" ht="23.25" customHeight="1" thickBot="1" x14ac:dyDescent="0.25">
      <c r="A26" s="222" t="s">
        <v>105</v>
      </c>
      <c r="B26" s="223" t="e">
        <f>+(B20+#REF!+#REF!+#REF!)/(#REF!+#REF!+#REF!+#REF!)</f>
        <v>#REF!</v>
      </c>
      <c r="C26" s="223" t="e">
        <f>+(C20+#REF!+#REF!+#REF!)/(#REF!+#REF!+#REF!+#REF!)</f>
        <v>#REF!</v>
      </c>
      <c r="D26" s="223" t="e">
        <f>+(D20+#REF!+#REF!+#REF!)/(#REF!+#REF!+#REF!+#REF!)</f>
        <v>#REF!</v>
      </c>
      <c r="E26" s="224" t="e">
        <f>+(E20+#REF!+#REF!+#REF!)/(#REF!+#REF!+#REF!+#REF!)</f>
        <v>#REF!</v>
      </c>
      <c r="F26" s="224" t="e">
        <f>+(F20+#REF!+#REF!+#REF!)/(#REF!+#REF!+#REF!+#REF!)</f>
        <v>#REF!</v>
      </c>
      <c r="G26" s="224" t="e">
        <f>+(G20+#REF!+#REF!+#REF!)/(#REF!+#REF!+#REF!+#REF!)</f>
        <v>#REF!</v>
      </c>
      <c r="H26" s="224" t="e">
        <f>+(H20+#REF!+#REF!+#REF!)/(#REF!+#REF!+#REF!+#REF!)</f>
        <v>#REF!</v>
      </c>
      <c r="I26" s="224" t="e">
        <f>+(I20+#REF!+#REF!+#REF!)/(#REF!+#REF!+#REF!+#REF!)</f>
        <v>#REF!</v>
      </c>
      <c r="J26" s="224" t="e">
        <f>+(J20+#REF!+#REF!+#REF!)/(#REF!+#REF!+#REF!+#REF!)</f>
        <v>#REF!</v>
      </c>
      <c r="K26" s="224" t="e">
        <f>+(K20+#REF!+#REF!+#REF!)/(#REF!+#REF!+#REF!+#REF!)</f>
        <v>#REF!</v>
      </c>
      <c r="L26" s="224" t="e">
        <f>+(L20+#REF!+#REF!+#REF!)/(#REF!+#REF!+#REF!+#REF!)</f>
        <v>#REF!</v>
      </c>
      <c r="M26" s="224" t="e">
        <f>+(M20+#REF!+#REF!+#REF!)/(#REF!+#REF!+#REF!+#REF!)</f>
        <v>#REF!</v>
      </c>
    </row>
    <row r="27" spans="1:16" ht="24.75" customHeight="1" thickBot="1" x14ac:dyDescent="0.25">
      <c r="A27" s="225" t="s">
        <v>99</v>
      </c>
      <c r="B27" s="226">
        <v>0.31</v>
      </c>
      <c r="C27" s="226">
        <v>0.31</v>
      </c>
      <c r="D27" s="226">
        <v>0.31</v>
      </c>
      <c r="E27" s="226">
        <v>0.47</v>
      </c>
      <c r="F27" s="226">
        <v>0.46</v>
      </c>
      <c r="G27" s="226">
        <v>0.3</v>
      </c>
      <c r="H27" s="226">
        <v>0.15</v>
      </c>
      <c r="I27" s="226">
        <v>0.24</v>
      </c>
      <c r="J27" s="226">
        <v>0.2</v>
      </c>
      <c r="K27" s="226">
        <v>0.3</v>
      </c>
      <c r="L27" s="226">
        <v>0.15</v>
      </c>
      <c r="M27" s="227">
        <v>0.25</v>
      </c>
    </row>
    <row r="28" spans="1:16" ht="19.5" customHeight="1" x14ac:dyDescent="0.2">
      <c r="A28" s="228" t="s">
        <v>106</v>
      </c>
      <c r="B28" s="229">
        <f>+B22-B27</f>
        <v>7.7208438623742492E-2</v>
      </c>
      <c r="C28" s="229">
        <f t="shared" ref="C28:M28" si="6">+C22-C27</f>
        <v>3.7459446447033584E-2</v>
      </c>
      <c r="D28" s="229">
        <f t="shared" si="6"/>
        <v>6.2960258691358628E-2</v>
      </c>
      <c r="E28" s="229">
        <f>+E22-E27</f>
        <v>-9.1044012282497477E-2</v>
      </c>
      <c r="F28" s="229">
        <f>+F22-F27</f>
        <v>-6.1195819402306006E-3</v>
      </c>
      <c r="G28" s="229">
        <f t="shared" si="6"/>
        <v>7.044514808102309E-3</v>
      </c>
      <c r="H28" s="229">
        <f t="shared" si="6"/>
        <v>-3.981087864067645E-3</v>
      </c>
      <c r="I28" s="229">
        <f t="shared" si="6"/>
        <v>-1.1240809493765186E-2</v>
      </c>
      <c r="J28" s="229">
        <f t="shared" si="6"/>
        <v>1.9295398272842545E-2</v>
      </c>
      <c r="K28" s="229">
        <f t="shared" si="6"/>
        <v>-2.847068305460404E-2</v>
      </c>
      <c r="L28" s="229">
        <f t="shared" si="6"/>
        <v>-3.5899985387269129E-2</v>
      </c>
      <c r="M28" s="229">
        <f t="shared" si="6"/>
        <v>-6.020738935400699E-3</v>
      </c>
      <c r="N28" s="230"/>
    </row>
    <row r="29" spans="1:16" ht="26.25" customHeight="1" x14ac:dyDescent="0.2">
      <c r="A29" s="231" t="s">
        <v>107</v>
      </c>
      <c r="B29" s="232" t="e">
        <f>+B26-B27</f>
        <v>#REF!</v>
      </c>
      <c r="C29" s="232" t="e">
        <f t="shared" ref="C29:M29" si="7">+C26-C27</f>
        <v>#REF!</v>
      </c>
      <c r="D29" s="232" t="e">
        <f t="shared" si="7"/>
        <v>#REF!</v>
      </c>
      <c r="E29" s="232" t="e">
        <f>+E26-E27</f>
        <v>#REF!</v>
      </c>
      <c r="F29" s="232" t="e">
        <f t="shared" si="7"/>
        <v>#REF!</v>
      </c>
      <c r="G29" s="232" t="e">
        <f t="shared" si="7"/>
        <v>#REF!</v>
      </c>
      <c r="H29" s="232" t="e">
        <f t="shared" si="7"/>
        <v>#REF!</v>
      </c>
      <c r="I29" s="232" t="e">
        <f t="shared" si="7"/>
        <v>#REF!</v>
      </c>
      <c r="J29" s="232" t="e">
        <f t="shared" si="7"/>
        <v>#REF!</v>
      </c>
      <c r="K29" s="232" t="e">
        <f t="shared" si="7"/>
        <v>#REF!</v>
      </c>
      <c r="L29" s="232" t="e">
        <f t="shared" si="7"/>
        <v>#REF!</v>
      </c>
      <c r="M29" s="232" t="e">
        <f t="shared" si="7"/>
        <v>#REF!</v>
      </c>
    </row>
    <row r="30" spans="1:16" x14ac:dyDescent="0.2">
      <c r="A30" s="233"/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</row>
    <row r="31" spans="1:16" x14ac:dyDescent="0.2">
      <c r="A31" s="221"/>
      <c r="B31" s="754" t="s">
        <v>97</v>
      </c>
      <c r="C31" s="754"/>
      <c r="D31" s="754"/>
      <c r="E31" s="754"/>
      <c r="F31" s="754"/>
      <c r="G31" s="754"/>
      <c r="H31" s="754"/>
      <c r="I31" s="754"/>
      <c r="J31" s="754"/>
      <c r="K31" s="754"/>
      <c r="L31" s="754"/>
      <c r="M31" s="754"/>
      <c r="N31" s="186"/>
    </row>
    <row r="32" spans="1:16" x14ac:dyDescent="0.2">
      <c r="A32" s="235"/>
      <c r="B32" s="744" t="s">
        <v>3</v>
      </c>
      <c r="C32" s="744" t="s">
        <v>90</v>
      </c>
      <c r="D32" s="745" t="s">
        <v>93</v>
      </c>
      <c r="E32" s="743" t="s">
        <v>91</v>
      </c>
      <c r="F32" s="743" t="s">
        <v>92</v>
      </c>
      <c r="G32" s="743" t="s">
        <v>83</v>
      </c>
      <c r="H32" s="743" t="s">
        <v>84</v>
      </c>
      <c r="I32" s="743" t="s">
        <v>86</v>
      </c>
      <c r="J32" s="743" t="s">
        <v>85</v>
      </c>
      <c r="K32" s="743" t="s">
        <v>89</v>
      </c>
      <c r="L32" s="743" t="s">
        <v>87</v>
      </c>
      <c r="M32" s="737" t="s">
        <v>88</v>
      </c>
      <c r="O32" s="762" t="s">
        <v>117</v>
      </c>
      <c r="P32" s="762"/>
    </row>
    <row r="33" spans="1:17" x14ac:dyDescent="0.2">
      <c r="A33" s="236"/>
      <c r="B33" s="744"/>
      <c r="C33" s="744"/>
      <c r="D33" s="745"/>
      <c r="E33" s="743"/>
      <c r="F33" s="743"/>
      <c r="G33" s="743"/>
      <c r="H33" s="743"/>
      <c r="I33" s="743"/>
      <c r="J33" s="743"/>
      <c r="K33" s="743"/>
      <c r="L33" s="743"/>
      <c r="M33" s="737"/>
      <c r="O33" s="185" t="s">
        <v>115</v>
      </c>
      <c r="P33" s="185" t="s">
        <v>116</v>
      </c>
    </row>
    <row r="34" spans="1:17" x14ac:dyDescent="0.2">
      <c r="A34" s="237" t="s">
        <v>110</v>
      </c>
      <c r="B34" s="238">
        <v>290.89999999999998</v>
      </c>
      <c r="C34" s="238">
        <v>86.35</v>
      </c>
      <c r="D34" s="239">
        <f>+B34+C34</f>
        <v>377.25</v>
      </c>
      <c r="E34" s="238"/>
      <c r="F34" s="238"/>
      <c r="G34" s="238">
        <v>-221.2</v>
      </c>
      <c r="H34" s="238"/>
      <c r="I34" s="238"/>
      <c r="J34" s="238">
        <v>-58.58</v>
      </c>
      <c r="K34" s="238"/>
      <c r="L34" s="238">
        <v>24</v>
      </c>
      <c r="M34" s="240">
        <f>+G34+J34+L34</f>
        <v>-255.77999999999997</v>
      </c>
      <c r="N34" s="185" t="s">
        <v>87</v>
      </c>
      <c r="O34" s="185">
        <v>402</v>
      </c>
      <c r="P34" s="185">
        <v>426</v>
      </c>
      <c r="Q34" s="185">
        <f>+P34-O34</f>
        <v>24</v>
      </c>
    </row>
    <row r="35" spans="1:17" x14ac:dyDescent="0.2">
      <c r="A35" s="214" t="s">
        <v>27</v>
      </c>
      <c r="B35" s="241">
        <v>1163</v>
      </c>
      <c r="C35" s="242">
        <v>345</v>
      </c>
      <c r="D35" s="243">
        <f>IF(SUM(B35:C35)=0,"",SUM(B35:C35))</f>
        <v>1508</v>
      </c>
      <c r="E35" s="242"/>
      <c r="F35" s="242"/>
      <c r="G35" s="242">
        <v>103.34</v>
      </c>
      <c r="H35" s="242"/>
      <c r="I35" s="242"/>
      <c r="J35" s="242">
        <v>138.63</v>
      </c>
      <c r="K35" s="242"/>
      <c r="L35" s="242">
        <v>87.72</v>
      </c>
      <c r="M35" s="243">
        <f>SUM(E35:L35)</f>
        <v>329.69</v>
      </c>
      <c r="N35" s="259" t="s">
        <v>83</v>
      </c>
      <c r="O35" s="259">
        <v>240.8</v>
      </c>
      <c r="P35" s="259">
        <v>19.600000000000001</v>
      </c>
      <c r="Q35" s="259">
        <f>+P35-O35</f>
        <v>-221.20000000000002</v>
      </c>
    </row>
    <row r="36" spans="1:17" ht="9.75" thickBot="1" x14ac:dyDescent="0.25">
      <c r="B36" s="244">
        <f>+B34/B35</f>
        <v>0.25012897678417884</v>
      </c>
      <c r="C36" s="244">
        <f>+C34/C35</f>
        <v>0.25028985507246376</v>
      </c>
      <c r="D36" s="244">
        <f>IF(OR(D34="",D35=""),"",D34/D35)</f>
        <v>0.25016578249336868</v>
      </c>
      <c r="E36" s="244"/>
      <c r="F36" s="244"/>
      <c r="G36" s="244">
        <f>+G34/G35</f>
        <v>-2.1405070640603832</v>
      </c>
      <c r="H36" s="244"/>
      <c r="I36" s="244"/>
      <c r="J36" s="244">
        <f>+J34/J35</f>
        <v>-0.42256365865974177</v>
      </c>
      <c r="K36" s="244"/>
      <c r="L36" s="244">
        <f>+L34/L35</f>
        <v>0.27359781121751026</v>
      </c>
      <c r="M36" s="245"/>
      <c r="N36" s="259" t="s">
        <v>85</v>
      </c>
      <c r="O36" s="259">
        <v>238.11</v>
      </c>
      <c r="P36" s="259">
        <v>179.53</v>
      </c>
      <c r="Q36" s="259">
        <f>+P36-O36</f>
        <v>-58.580000000000013</v>
      </c>
    </row>
    <row r="37" spans="1:17" ht="9.75" thickTop="1" x14ac:dyDescent="0.2">
      <c r="A37" s="738" t="s">
        <v>94</v>
      </c>
      <c r="B37" s="740" t="s">
        <v>95</v>
      </c>
      <c r="C37" s="740"/>
      <c r="D37" s="740"/>
      <c r="E37" s="741" t="s">
        <v>98</v>
      </c>
      <c r="F37" s="741"/>
      <c r="G37" s="741"/>
      <c r="H37" s="741"/>
      <c r="I37" s="741"/>
      <c r="J37" s="741"/>
      <c r="K37" s="741"/>
      <c r="L37" s="741"/>
      <c r="M37" s="741"/>
    </row>
    <row r="38" spans="1:17" ht="9.75" thickBot="1" x14ac:dyDescent="0.25">
      <c r="A38" s="739"/>
      <c r="B38" s="742">
        <f>IF(D36="","",D36)</f>
        <v>0.25016578249336868</v>
      </c>
      <c r="C38" s="742"/>
      <c r="D38" s="742"/>
      <c r="E38" s="742">
        <f>+M34/M35</f>
        <v>-0.77581970942400424</v>
      </c>
      <c r="F38" s="742"/>
      <c r="G38" s="742"/>
      <c r="H38" s="742"/>
      <c r="I38" s="742"/>
      <c r="J38" s="742"/>
      <c r="K38" s="742"/>
      <c r="L38" s="742"/>
      <c r="M38" s="742"/>
    </row>
    <row r="39" spans="1:17" ht="9.75" thickTop="1" x14ac:dyDescent="0.2">
      <c r="A39" s="254"/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</row>
    <row r="40" spans="1:17" x14ac:dyDescent="0.2">
      <c r="A40" s="187"/>
      <c r="B40" s="247"/>
      <c r="C40" s="247"/>
      <c r="D40" s="246"/>
      <c r="E40" s="247"/>
      <c r="F40" s="247"/>
      <c r="G40" s="247"/>
      <c r="H40" s="247"/>
      <c r="I40" s="247"/>
      <c r="J40" s="247"/>
      <c r="K40" s="247"/>
      <c r="L40" s="247"/>
      <c r="M40" s="247"/>
    </row>
    <row r="41" spans="1:17" x14ac:dyDescent="0.2">
      <c r="A41" s="254"/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</row>
    <row r="42" spans="1:17" x14ac:dyDescent="0.2">
      <c r="A42" s="187"/>
      <c r="B42" s="247"/>
      <c r="C42" s="247"/>
      <c r="D42" s="246"/>
      <c r="E42" s="247"/>
      <c r="F42" s="247"/>
      <c r="G42" s="247"/>
      <c r="H42" s="247"/>
      <c r="I42" s="247"/>
      <c r="J42" s="247"/>
      <c r="K42" s="247"/>
      <c r="L42" s="247"/>
      <c r="M42" s="247"/>
    </row>
    <row r="43" spans="1:17" x14ac:dyDescent="0.2">
      <c r="A43" s="187"/>
      <c r="B43" s="247"/>
      <c r="C43" s="247"/>
      <c r="D43" s="246"/>
      <c r="E43" s="247"/>
      <c r="F43" s="247"/>
      <c r="G43" s="247"/>
      <c r="H43" s="247"/>
      <c r="I43" s="247"/>
      <c r="J43" s="247"/>
      <c r="K43" s="247"/>
      <c r="L43" s="247"/>
      <c r="M43" s="247"/>
    </row>
    <row r="44" spans="1:17" x14ac:dyDescent="0.2">
      <c r="A44" s="187"/>
      <c r="B44" s="248"/>
      <c r="C44" s="248"/>
      <c r="D44" s="246"/>
      <c r="E44" s="248"/>
      <c r="F44" s="248"/>
      <c r="G44" s="248"/>
      <c r="H44" s="248"/>
      <c r="I44" s="248"/>
      <c r="J44" s="248"/>
      <c r="K44" s="248"/>
      <c r="L44" s="248"/>
      <c r="M44" s="248"/>
    </row>
    <row r="45" spans="1:17" x14ac:dyDescent="0.2">
      <c r="A45" s="187"/>
      <c r="B45" s="247"/>
      <c r="C45" s="247"/>
      <c r="D45" s="246"/>
      <c r="E45" s="247"/>
      <c r="F45" s="247"/>
      <c r="G45" s="247"/>
      <c r="H45" s="247"/>
      <c r="I45" s="247"/>
      <c r="J45" s="247"/>
      <c r="K45" s="247"/>
      <c r="L45" s="247"/>
      <c r="M45" s="247"/>
    </row>
    <row r="46" spans="1:17" x14ac:dyDescent="0.2">
      <c r="A46" s="187"/>
      <c r="B46" s="248"/>
      <c r="C46" s="248"/>
      <c r="D46" s="246"/>
      <c r="E46" s="248"/>
      <c r="F46" s="248"/>
      <c r="G46" s="248"/>
      <c r="H46" s="248"/>
      <c r="I46" s="248"/>
      <c r="J46" s="248"/>
      <c r="K46" s="248"/>
      <c r="L46" s="248"/>
      <c r="M46" s="248"/>
    </row>
    <row r="47" spans="1:17" x14ac:dyDescent="0.2">
      <c r="A47" s="187"/>
      <c r="B47" s="248"/>
      <c r="C47" s="248"/>
      <c r="D47" s="246"/>
      <c r="E47" s="248"/>
      <c r="F47" s="248"/>
      <c r="G47" s="248"/>
      <c r="H47" s="248"/>
      <c r="I47" s="248"/>
      <c r="J47" s="248"/>
      <c r="K47" s="248"/>
      <c r="L47" s="248"/>
      <c r="M47" s="248"/>
    </row>
    <row r="48" spans="1:17" x14ac:dyDescent="0.2">
      <c r="A48" s="187"/>
      <c r="B48" s="248"/>
      <c r="C48" s="248"/>
      <c r="D48" s="246"/>
      <c r="E48" s="248"/>
      <c r="F48" s="248"/>
      <c r="G48" s="248"/>
      <c r="H48" s="248"/>
      <c r="I48" s="248"/>
      <c r="J48" s="248"/>
      <c r="K48" s="248"/>
      <c r="L48" s="248"/>
      <c r="M48" s="248"/>
    </row>
    <row r="49" spans="1:13" x14ac:dyDescent="0.2">
      <c r="A49" s="254"/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</row>
    <row r="50" spans="1:13" x14ac:dyDescent="0.2">
      <c r="A50" s="254"/>
      <c r="B50" s="246"/>
      <c r="C50" s="246"/>
      <c r="D50" s="246"/>
      <c r="E50" s="246"/>
      <c r="F50" s="246"/>
      <c r="G50" s="246"/>
      <c r="H50" s="246"/>
      <c r="I50" s="246"/>
      <c r="J50" s="246"/>
      <c r="K50" s="246"/>
      <c r="L50" s="246"/>
      <c r="M50" s="246"/>
    </row>
    <row r="51" spans="1:13" x14ac:dyDescent="0.2">
      <c r="A51" s="187"/>
      <c r="B51" s="247"/>
      <c r="C51" s="247"/>
      <c r="D51" s="246"/>
      <c r="E51" s="247"/>
      <c r="F51" s="247"/>
      <c r="G51" s="247"/>
      <c r="H51" s="247"/>
      <c r="I51" s="247"/>
      <c r="J51" s="247"/>
      <c r="K51" s="247"/>
      <c r="L51" s="247"/>
      <c r="M51" s="247"/>
    </row>
    <row r="52" spans="1:13" x14ac:dyDescent="0.2">
      <c r="A52" s="187"/>
      <c r="B52" s="249"/>
      <c r="C52" s="248"/>
      <c r="D52" s="246"/>
      <c r="E52" s="248"/>
      <c r="F52" s="248"/>
      <c r="G52" s="248"/>
      <c r="H52" s="248"/>
      <c r="I52" s="248"/>
      <c r="J52" s="248"/>
      <c r="K52" s="248"/>
      <c r="L52" s="248"/>
      <c r="M52" s="248"/>
    </row>
    <row r="53" spans="1:13" x14ac:dyDescent="0.2">
      <c r="A53" s="254"/>
      <c r="B53" s="255"/>
      <c r="C53" s="255"/>
      <c r="D53" s="250"/>
      <c r="E53" s="255"/>
      <c r="F53" s="255"/>
      <c r="G53" s="255"/>
      <c r="H53" s="255"/>
      <c r="I53" s="255"/>
      <c r="J53" s="255"/>
      <c r="K53" s="255"/>
      <c r="L53" s="255"/>
      <c r="M53" s="255"/>
    </row>
    <row r="54" spans="1:13" x14ac:dyDescent="0.2">
      <c r="A54" s="251"/>
      <c r="B54" s="251"/>
      <c r="C54" s="251"/>
      <c r="D54" s="251"/>
      <c r="E54" s="251"/>
      <c r="F54" s="251"/>
      <c r="G54" s="251"/>
      <c r="H54" s="251"/>
      <c r="I54" s="251"/>
      <c r="J54" s="251"/>
      <c r="K54" s="251"/>
      <c r="L54" s="251"/>
      <c r="M54" s="251"/>
    </row>
    <row r="55" spans="1:13" x14ac:dyDescent="0.2">
      <c r="A55" s="187"/>
      <c r="B55" s="733"/>
      <c r="C55" s="733"/>
      <c r="D55" s="733"/>
      <c r="E55" s="734"/>
      <c r="F55" s="734"/>
      <c r="G55" s="734"/>
      <c r="H55" s="734"/>
      <c r="I55" s="734"/>
      <c r="J55" s="734"/>
      <c r="K55" s="734"/>
      <c r="L55" s="734"/>
      <c r="M55" s="734"/>
    </row>
    <row r="56" spans="1:13" x14ac:dyDescent="0.2">
      <c r="A56" s="187"/>
      <c r="B56" s="735"/>
      <c r="C56" s="735"/>
      <c r="D56" s="735"/>
      <c r="E56" s="735"/>
      <c r="F56" s="735"/>
      <c r="G56" s="735"/>
      <c r="H56" s="735"/>
      <c r="I56" s="735"/>
      <c r="J56" s="735"/>
      <c r="K56" s="735"/>
      <c r="L56" s="735"/>
      <c r="M56" s="735"/>
    </row>
    <row r="57" spans="1:13" x14ac:dyDescent="0.2">
      <c r="A57" s="251"/>
      <c r="B57" s="251"/>
      <c r="C57" s="251"/>
      <c r="D57" s="251"/>
      <c r="E57" s="251"/>
      <c r="F57" s="251"/>
      <c r="G57" s="251"/>
      <c r="H57" s="251"/>
      <c r="I57" s="251"/>
      <c r="J57" s="251"/>
      <c r="K57" s="251"/>
      <c r="L57" s="251"/>
      <c r="M57" s="251"/>
    </row>
    <row r="58" spans="1:13" x14ac:dyDescent="0.2">
      <c r="A58" s="251"/>
      <c r="B58" s="251"/>
      <c r="C58" s="251"/>
      <c r="D58" s="251"/>
      <c r="E58" s="734"/>
      <c r="F58" s="734"/>
      <c r="G58" s="734"/>
      <c r="H58" s="734"/>
      <c r="I58" s="734"/>
      <c r="J58" s="734"/>
      <c r="K58" s="734"/>
      <c r="L58" s="734"/>
      <c r="M58" s="734"/>
    </row>
    <row r="59" spans="1:13" x14ac:dyDescent="0.2">
      <c r="D59" s="251"/>
      <c r="E59" s="736"/>
      <c r="F59" s="736"/>
      <c r="G59" s="736"/>
      <c r="H59" s="736"/>
      <c r="I59" s="736"/>
      <c r="J59" s="736"/>
      <c r="K59" s="736"/>
      <c r="L59" s="736"/>
      <c r="M59" s="736"/>
    </row>
    <row r="60" spans="1:13" x14ac:dyDescent="0.2">
      <c r="D60" s="251"/>
      <c r="E60" s="251"/>
      <c r="F60" s="251"/>
      <c r="G60" s="251"/>
      <c r="H60" s="251"/>
      <c r="I60" s="251"/>
      <c r="J60" s="251"/>
      <c r="K60" s="251"/>
      <c r="L60" s="251"/>
      <c r="M60" s="251"/>
    </row>
  </sheetData>
  <mergeCells count="45">
    <mergeCell ref="O32:P32"/>
    <mergeCell ref="B55:D55"/>
    <mergeCell ref="E55:M55"/>
    <mergeCell ref="B56:D56"/>
    <mergeCell ref="E56:M56"/>
    <mergeCell ref="D32:D33"/>
    <mergeCell ref="E32:E33"/>
    <mergeCell ref="F32:F33"/>
    <mergeCell ref="E58:M58"/>
    <mergeCell ref="E59:M59"/>
    <mergeCell ref="M32:M33"/>
    <mergeCell ref="A37:A38"/>
    <mergeCell ref="B37:D37"/>
    <mergeCell ref="E37:M37"/>
    <mergeCell ref="B38:D38"/>
    <mergeCell ref="E38:M38"/>
    <mergeCell ref="G32:G33"/>
    <mergeCell ref="H32:H33"/>
    <mergeCell ref="I32:I33"/>
    <mergeCell ref="J32:J33"/>
    <mergeCell ref="K32:K33"/>
    <mergeCell ref="L32:L33"/>
    <mergeCell ref="B32:B33"/>
    <mergeCell ref="C32:C33"/>
    <mergeCell ref="B23:D23"/>
    <mergeCell ref="E23:M23"/>
    <mergeCell ref="B24:D24"/>
    <mergeCell ref="E24:M24"/>
    <mergeCell ref="B31:M31"/>
    <mergeCell ref="M4:M5"/>
    <mergeCell ref="B1:M1"/>
    <mergeCell ref="B2:M2"/>
    <mergeCell ref="B3:D3"/>
    <mergeCell ref="E3:M3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conditionalFormatting sqref="B30:M30">
    <cfRule type="cellIs" dxfId="35" priority="2" operator="greaterThan">
      <formula>0.13</formula>
    </cfRule>
    <cfRule type="cellIs" dxfId="34" priority="3" operator="greaterThan">
      <formula>0.13</formula>
    </cfRule>
    <cfRule type="cellIs" dxfId="33" priority="4" operator="greaterThan">
      <formula>0.03</formula>
    </cfRule>
    <cfRule type="cellIs" dxfId="32" priority="5" operator="greaterThan">
      <formula>0</formula>
    </cfRule>
  </conditionalFormatting>
  <conditionalFormatting sqref="B28:M29">
    <cfRule type="cellIs" dxfId="31" priority="1" operator="greaterThan">
      <formula>0.01</formula>
    </cfRule>
  </conditionalFormatting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Q60"/>
  <sheetViews>
    <sheetView workbookViewId="0">
      <selection activeCell="B14" sqref="B14"/>
    </sheetView>
  </sheetViews>
  <sheetFormatPr baseColWidth="10" defaultRowHeight="9" x14ac:dyDescent="0.2"/>
  <cols>
    <col min="1" max="1" width="30.42578125" style="258" bestFit="1" customWidth="1"/>
    <col min="2" max="3" width="9" style="258" bestFit="1" customWidth="1"/>
    <col min="4" max="4" width="18.7109375" style="258" bestFit="1" customWidth="1"/>
    <col min="5" max="5" width="9.85546875" style="258" bestFit="1" customWidth="1"/>
    <col min="6" max="6" width="9.85546875" style="258" customWidth="1"/>
    <col min="7" max="7" width="7" style="258" bestFit="1" customWidth="1"/>
    <col min="8" max="9" width="8" style="258" bestFit="1" customWidth="1"/>
    <col min="10" max="10" width="7" style="258" bestFit="1" customWidth="1"/>
    <col min="11" max="12" width="8" style="258" bestFit="1" customWidth="1"/>
    <col min="13" max="13" width="12.140625" style="258" bestFit="1" customWidth="1"/>
    <col min="14" max="16384" width="11.42578125" style="258"/>
  </cols>
  <sheetData>
    <row r="1" spans="1:14" x14ac:dyDescent="0.2">
      <c r="B1" s="757" t="s">
        <v>118</v>
      </c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  <c r="N1" s="186"/>
    </row>
    <row r="2" spans="1:14" x14ac:dyDescent="0.2">
      <c r="B2" s="758" t="s">
        <v>96</v>
      </c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</row>
    <row r="3" spans="1:14" x14ac:dyDescent="0.2">
      <c r="A3" s="187"/>
      <c r="B3" s="759" t="s">
        <v>103</v>
      </c>
      <c r="C3" s="759"/>
      <c r="D3" s="759"/>
      <c r="E3" s="760" t="s">
        <v>104</v>
      </c>
      <c r="F3" s="760"/>
      <c r="G3" s="760"/>
      <c r="H3" s="760"/>
      <c r="I3" s="760"/>
      <c r="J3" s="760"/>
      <c r="K3" s="760"/>
      <c r="L3" s="760"/>
      <c r="M3" s="760"/>
      <c r="N3" s="186"/>
    </row>
    <row r="4" spans="1:14" x14ac:dyDescent="0.2">
      <c r="A4" s="187"/>
      <c r="B4" s="759" t="s">
        <v>3</v>
      </c>
      <c r="C4" s="759" t="s">
        <v>90</v>
      </c>
      <c r="D4" s="761" t="s">
        <v>93</v>
      </c>
      <c r="E4" s="755" t="s">
        <v>91</v>
      </c>
      <c r="F4" s="755" t="s">
        <v>100</v>
      </c>
      <c r="G4" s="755" t="s">
        <v>83</v>
      </c>
      <c r="H4" s="755" t="s">
        <v>84</v>
      </c>
      <c r="I4" s="755" t="s">
        <v>86</v>
      </c>
      <c r="J4" s="755" t="s">
        <v>85</v>
      </c>
      <c r="K4" s="755" t="s">
        <v>89</v>
      </c>
      <c r="L4" s="755" t="s">
        <v>87</v>
      </c>
      <c r="M4" s="756" t="s">
        <v>88</v>
      </c>
    </row>
    <row r="5" spans="1:14" x14ac:dyDescent="0.2">
      <c r="A5" s="188"/>
      <c r="B5" s="759"/>
      <c r="C5" s="759"/>
      <c r="D5" s="761"/>
      <c r="E5" s="755"/>
      <c r="F5" s="755"/>
      <c r="G5" s="755"/>
      <c r="H5" s="755"/>
      <c r="I5" s="755"/>
      <c r="J5" s="755"/>
      <c r="K5" s="755"/>
      <c r="L5" s="755"/>
      <c r="M5" s="756"/>
    </row>
    <row r="6" spans="1:14" x14ac:dyDescent="0.2">
      <c r="A6" s="189" t="s">
        <v>9</v>
      </c>
      <c r="B6" s="190"/>
      <c r="C6" s="191"/>
      <c r="D6" s="192"/>
      <c r="E6" s="191"/>
      <c r="F6" s="191"/>
      <c r="G6" s="191"/>
      <c r="H6" s="191"/>
      <c r="I6" s="191"/>
      <c r="J6" s="191"/>
      <c r="K6" s="191"/>
      <c r="L6" s="191"/>
      <c r="M6" s="193"/>
    </row>
    <row r="7" spans="1:14" x14ac:dyDescent="0.2">
      <c r="A7" s="194" t="s">
        <v>10</v>
      </c>
      <c r="B7" s="195">
        <v>11005</v>
      </c>
      <c r="C7" s="195">
        <v>3735</v>
      </c>
      <c r="D7" s="196">
        <f>+B7+C7</f>
        <v>14740</v>
      </c>
      <c r="E7" s="195">
        <v>226</v>
      </c>
      <c r="F7" s="195">
        <v>1423</v>
      </c>
      <c r="G7" s="195">
        <v>3864</v>
      </c>
      <c r="H7" s="195">
        <v>2423</v>
      </c>
      <c r="I7" s="195">
        <v>1179</v>
      </c>
      <c r="J7" s="195">
        <v>623</v>
      </c>
      <c r="K7" s="195">
        <v>1783</v>
      </c>
      <c r="L7" s="195">
        <v>683</v>
      </c>
      <c r="M7" s="197">
        <f>+SUM(E7:L7)</f>
        <v>12204</v>
      </c>
    </row>
    <row r="8" spans="1:14" x14ac:dyDescent="0.2">
      <c r="A8" s="198" t="s">
        <v>11</v>
      </c>
      <c r="B8" s="195">
        <v>18716.7</v>
      </c>
      <c r="C8" s="195">
        <v>8968.32</v>
      </c>
      <c r="D8" s="196">
        <f>+B8+C8</f>
        <v>27685.02</v>
      </c>
      <c r="E8" s="195">
        <v>315.31</v>
      </c>
      <c r="F8" s="195">
        <v>4267.3509999999997</v>
      </c>
      <c r="G8" s="195">
        <v>3687.05</v>
      </c>
      <c r="H8" s="195">
        <v>2173.59</v>
      </c>
      <c r="I8" s="195">
        <v>2774.52</v>
      </c>
      <c r="J8" s="195">
        <v>1166.45</v>
      </c>
      <c r="K8" s="195">
        <v>2239.4</v>
      </c>
      <c r="L8" s="195">
        <v>2457.9899999999998</v>
      </c>
      <c r="M8" s="197">
        <f>+L8+K8+J8+I8+H8+G8+F8+E8</f>
        <v>19081.661</v>
      </c>
    </row>
    <row r="9" spans="1:14" x14ac:dyDescent="0.2">
      <c r="A9" s="198" t="s">
        <v>12</v>
      </c>
      <c r="B9" s="195"/>
      <c r="C9" s="195"/>
      <c r="D9" s="196" t="str">
        <f>IF(SUM(B9:C9)=0,"",SUM(B9:C9))</f>
        <v/>
      </c>
      <c r="E9" s="195"/>
      <c r="F9" s="195"/>
      <c r="G9" s="195"/>
      <c r="H9" s="195"/>
      <c r="I9" s="195"/>
      <c r="J9" s="195"/>
      <c r="K9" s="195"/>
      <c r="L9" s="195"/>
      <c r="M9" s="197" t="str">
        <f>IF(SUM(F9:K9)=0,"",SUM(F9:K9))</f>
        <v/>
      </c>
    </row>
    <row r="10" spans="1:14" x14ac:dyDescent="0.2">
      <c r="A10" s="198" t="s">
        <v>13</v>
      </c>
      <c r="B10" s="199"/>
      <c r="C10" s="199"/>
      <c r="D10" s="196" t="str">
        <f>IF(SUM(B10:C10)=0,"",SUM(B10:C10))</f>
        <v/>
      </c>
      <c r="E10" s="190"/>
      <c r="F10" s="199"/>
      <c r="G10" s="199"/>
      <c r="H10" s="199"/>
      <c r="I10" s="199"/>
      <c r="J10" s="199"/>
      <c r="K10" s="199"/>
      <c r="L10" s="199"/>
      <c r="M10" s="197" t="str">
        <f>IF(SUM(F10:K10)=0,"",SUM(F10:K10))</f>
        <v/>
      </c>
    </row>
    <row r="11" spans="1:14" x14ac:dyDescent="0.2">
      <c r="A11" s="198" t="s">
        <v>14</v>
      </c>
      <c r="B11" s="195"/>
      <c r="C11" s="195"/>
      <c r="D11" s="196" t="str">
        <f>IF(SUM(B11:C11)=0,"",SUM(B11:C11))</f>
        <v/>
      </c>
      <c r="E11" s="195"/>
      <c r="F11" s="195"/>
      <c r="G11" s="195"/>
      <c r="H11" s="195"/>
      <c r="I11" s="195"/>
      <c r="J11" s="195"/>
      <c r="K11" s="195"/>
      <c r="L11" s="195"/>
      <c r="M11" s="197" t="str">
        <f>IF(SUM(F11:K11)=0,"",SUM(F11:K11))</f>
        <v/>
      </c>
    </row>
    <row r="12" spans="1:14" x14ac:dyDescent="0.2">
      <c r="A12" s="194" t="s">
        <v>15</v>
      </c>
      <c r="B12" s="196">
        <f>B8</f>
        <v>18716.7</v>
      </c>
      <c r="C12" s="196">
        <f>C8</f>
        <v>8968.32</v>
      </c>
      <c r="D12" s="196">
        <f>IF(SUM(B12:C12)=0,"",SUM(B12:C12))</f>
        <v>27685.02</v>
      </c>
      <c r="E12" s="196">
        <f>IF(SUM(E8:E11)=0,"",SUM(E8:E11))</f>
        <v>315.31</v>
      </c>
      <c r="F12" s="196">
        <f>IF(SUM(F8:F11)=0,"",SUM(F8:F11))</f>
        <v>4267.3509999999997</v>
      </c>
      <c r="G12" s="196">
        <f>IF(SUM(G8:G11)=0,"",SUM(G8:G11))</f>
        <v>3687.05</v>
      </c>
      <c r="H12" s="196">
        <v>2174</v>
      </c>
      <c r="I12" s="196">
        <v>2775</v>
      </c>
      <c r="J12" s="196">
        <v>1166</v>
      </c>
      <c r="K12" s="196">
        <v>2239</v>
      </c>
      <c r="L12" s="196">
        <v>2458</v>
      </c>
      <c r="M12" s="197">
        <f>SUM(E12:L12)</f>
        <v>19081.710999999999</v>
      </c>
    </row>
    <row r="13" spans="1:14" x14ac:dyDescent="0.2">
      <c r="A13" s="200" t="s">
        <v>16</v>
      </c>
      <c r="B13" s="201">
        <f>+B12+B7</f>
        <v>29721.7</v>
      </c>
      <c r="C13" s="201">
        <f>+C12+C7</f>
        <v>12703.32</v>
      </c>
      <c r="D13" s="201">
        <f>IF(AND(D7="",D12=""),"",SUM(D7,D12))</f>
        <v>42425.020000000004</v>
      </c>
      <c r="E13" s="201">
        <f>IF(AND(E7="",E12=""),"",SUM(E7,E12))</f>
        <v>541.30999999999995</v>
      </c>
      <c r="F13" s="201">
        <f>IF(AND(F7="",F12=""),"",SUM(F7,F12))</f>
        <v>5690.3509999999997</v>
      </c>
      <c r="G13" s="201">
        <f>+G7+G8</f>
        <v>7551.05</v>
      </c>
      <c r="H13" s="201">
        <f t="shared" ref="H13:M13" si="0">IF(AND(H7="",H12=""),"",SUM(H7,H12))</f>
        <v>4597</v>
      </c>
      <c r="I13" s="201">
        <f t="shared" si="0"/>
        <v>3954</v>
      </c>
      <c r="J13" s="201">
        <f t="shared" si="0"/>
        <v>1789</v>
      </c>
      <c r="K13" s="201">
        <f t="shared" si="0"/>
        <v>4022</v>
      </c>
      <c r="L13" s="201">
        <f t="shared" si="0"/>
        <v>3141</v>
      </c>
      <c r="M13" s="202">
        <f t="shared" si="0"/>
        <v>31285.710999999999</v>
      </c>
    </row>
    <row r="14" spans="1:14" x14ac:dyDescent="0.2">
      <c r="A14" s="203" t="s">
        <v>17</v>
      </c>
      <c r="B14" s="204"/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</row>
    <row r="15" spans="1:14" x14ac:dyDescent="0.2">
      <c r="A15" s="205" t="s">
        <v>18</v>
      </c>
      <c r="B15" s="206">
        <v>12344</v>
      </c>
      <c r="C15" s="206">
        <v>3896.8</v>
      </c>
      <c r="D15" s="207">
        <f>+B15+C15</f>
        <v>16240.8</v>
      </c>
      <c r="E15" s="206">
        <v>308.70999999999998</v>
      </c>
      <c r="F15" s="206">
        <v>1541.56</v>
      </c>
      <c r="G15" s="206">
        <v>3351.2</v>
      </c>
      <c r="H15" s="206">
        <v>2453.81</v>
      </c>
      <c r="I15" s="206">
        <v>1761.83</v>
      </c>
      <c r="J15" s="206">
        <v>669.57</v>
      </c>
      <c r="K15" s="206">
        <v>2394.62</v>
      </c>
      <c r="L15" s="206">
        <v>910.74</v>
      </c>
      <c r="M15" s="208">
        <f>+SUM(E15:L15)</f>
        <v>13392.039999999999</v>
      </c>
    </row>
    <row r="16" spans="1:14" x14ac:dyDescent="0.2">
      <c r="A16" s="205" t="s">
        <v>19</v>
      </c>
      <c r="B16" s="206">
        <v>4547.84</v>
      </c>
      <c r="C16" s="204"/>
      <c r="D16" s="207">
        <f>IF(SUM(B16:C16)=0,"",SUM(B16:C16))</f>
        <v>4547.84</v>
      </c>
      <c r="E16" s="204"/>
      <c r="F16" s="204"/>
      <c r="G16" s="204"/>
      <c r="H16" s="204"/>
      <c r="I16" s="204"/>
      <c r="J16" s="204"/>
      <c r="K16" s="204"/>
      <c r="L16" s="204"/>
      <c r="M16" s="204"/>
    </row>
    <row r="17" spans="1:16" x14ac:dyDescent="0.2">
      <c r="A17" s="205" t="s">
        <v>82</v>
      </c>
      <c r="B17" s="206">
        <v>309.76</v>
      </c>
      <c r="C17" s="204"/>
      <c r="D17" s="207">
        <f>IF(SUM(B17:C17)=0,"",SUM(B17:C17))</f>
        <v>309.76</v>
      </c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6" x14ac:dyDescent="0.2">
      <c r="A18" s="205" t="s">
        <v>57</v>
      </c>
      <c r="B18" s="206">
        <v>223.75</v>
      </c>
      <c r="C18" s="206">
        <v>69.25</v>
      </c>
      <c r="D18" s="207">
        <f>IF(SUM(B18:C18)=0,"",SUM(B18:C18))</f>
        <v>293</v>
      </c>
      <c r="E18" s="206"/>
      <c r="F18" s="206">
        <v>10.78</v>
      </c>
      <c r="G18" s="206">
        <v>21.17</v>
      </c>
      <c r="H18" s="206">
        <v>25.76</v>
      </c>
      <c r="I18" s="206">
        <v>18.29</v>
      </c>
      <c r="J18" s="206">
        <v>7.28</v>
      </c>
      <c r="K18" s="206">
        <v>3.75</v>
      </c>
      <c r="L18" s="206">
        <v>9.9</v>
      </c>
      <c r="M18" s="208">
        <f>IF(SUM(F18:L18)=0,"",SUM(F18:L18))</f>
        <v>96.93</v>
      </c>
    </row>
    <row r="19" spans="1:16" ht="9.75" thickBot="1" x14ac:dyDescent="0.25">
      <c r="A19" s="209" t="s">
        <v>25</v>
      </c>
      <c r="B19" s="210">
        <f>SUM(B15:B18)</f>
        <v>17425.349999999999</v>
      </c>
      <c r="C19" s="210">
        <f>SUM(C15:C18)</f>
        <v>3966.05</v>
      </c>
      <c r="D19" s="210">
        <f t="shared" ref="D19:E19" si="1">SUM(D15:D18)</f>
        <v>21391.399999999998</v>
      </c>
      <c r="E19" s="210">
        <f t="shared" si="1"/>
        <v>308.70999999999998</v>
      </c>
      <c r="F19" s="210">
        <f t="shared" ref="F19:M19" si="2">SUM(F15:F18)</f>
        <v>1552.34</v>
      </c>
      <c r="G19" s="210">
        <f t="shared" si="2"/>
        <v>3372.37</v>
      </c>
      <c r="H19" s="210">
        <f t="shared" si="2"/>
        <v>2479.5700000000002</v>
      </c>
      <c r="I19" s="210">
        <f t="shared" si="2"/>
        <v>1780.12</v>
      </c>
      <c r="J19" s="210">
        <f t="shared" si="2"/>
        <v>676.85</v>
      </c>
      <c r="K19" s="210">
        <f t="shared" si="2"/>
        <v>2398.37</v>
      </c>
      <c r="L19" s="210">
        <f t="shared" si="2"/>
        <v>920.64</v>
      </c>
      <c r="M19" s="210">
        <f t="shared" si="2"/>
        <v>13488.97</v>
      </c>
    </row>
    <row r="20" spans="1:16" ht="9.75" thickTop="1" x14ac:dyDescent="0.2">
      <c r="A20" s="211" t="s">
        <v>26</v>
      </c>
      <c r="B20" s="212">
        <f>B13-B19</f>
        <v>12296.350000000002</v>
      </c>
      <c r="C20" s="212">
        <f>C13-C19</f>
        <v>8737.27</v>
      </c>
      <c r="D20" s="213">
        <f>IF(SUM(B20:C20)=0,"",SUM(B20:C20))</f>
        <v>21033.620000000003</v>
      </c>
      <c r="E20" s="212">
        <f>E13-E19</f>
        <v>232.59999999999997</v>
      </c>
      <c r="F20" s="212">
        <f t="shared" ref="F20:L20" si="3">+F13-F19</f>
        <v>4138.0109999999995</v>
      </c>
      <c r="G20" s="212">
        <f t="shared" si="3"/>
        <v>4178.68</v>
      </c>
      <c r="H20" s="212">
        <f t="shared" si="3"/>
        <v>2117.4299999999998</v>
      </c>
      <c r="I20" s="212">
        <f t="shared" si="3"/>
        <v>2173.88</v>
      </c>
      <c r="J20" s="212">
        <f t="shared" si="3"/>
        <v>1112.1500000000001</v>
      </c>
      <c r="K20" s="212">
        <f t="shared" si="3"/>
        <v>1623.63</v>
      </c>
      <c r="L20" s="212">
        <f t="shared" si="3"/>
        <v>2220.36</v>
      </c>
      <c r="M20" s="213">
        <f>SUM(E20:L20)</f>
        <v>17796.741000000002</v>
      </c>
      <c r="N20" s="186"/>
    </row>
    <row r="21" spans="1:16" x14ac:dyDescent="0.2">
      <c r="A21" s="214" t="s">
        <v>27</v>
      </c>
      <c r="B21" s="215">
        <v>34471.599999999999</v>
      </c>
      <c r="C21" s="215">
        <v>23916.91</v>
      </c>
      <c r="D21" s="213">
        <f>IF(SUM(B21:C21)=0,"",SUM(B21:C21))</f>
        <v>58388.509999999995</v>
      </c>
      <c r="E21" s="215">
        <v>745.45</v>
      </c>
      <c r="F21" s="215">
        <v>6602.11</v>
      </c>
      <c r="G21" s="215">
        <v>9418.8799999999992</v>
      </c>
      <c r="H21" s="215">
        <v>9830.27</v>
      </c>
      <c r="I21" s="215">
        <v>5701.59</v>
      </c>
      <c r="J21" s="215">
        <v>2944.55</v>
      </c>
      <c r="K21" s="215">
        <v>3671.91</v>
      </c>
      <c r="L21" s="215">
        <v>7547.13</v>
      </c>
      <c r="M21" s="213">
        <f>SUM(E21:L21)</f>
        <v>46461.889999999992</v>
      </c>
      <c r="N21" s="186"/>
    </row>
    <row r="22" spans="1:16" ht="9.75" thickBot="1" x14ac:dyDescent="0.25">
      <c r="A22" s="216" t="s">
        <v>94</v>
      </c>
      <c r="B22" s="217">
        <f>+B20/B21</f>
        <v>0.35670958122048302</v>
      </c>
      <c r="C22" s="217">
        <f>+C20/C21</f>
        <v>0.36531767690725936</v>
      </c>
      <c r="D22" s="218">
        <f>IF(OR(D20="",D21=""),"",D20/D21)</f>
        <v>0.36023560114823971</v>
      </c>
      <c r="E22" s="217">
        <f t="shared" ref="E22:L22" si="4">+E20/E21</f>
        <v>0.31202629284324895</v>
      </c>
      <c r="F22" s="217">
        <f t="shared" si="4"/>
        <v>0.62677098685117327</v>
      </c>
      <c r="G22" s="217">
        <f t="shared" si="4"/>
        <v>0.44364935109057557</v>
      </c>
      <c r="H22" s="217">
        <f t="shared" si="4"/>
        <v>0.2153989666611395</v>
      </c>
      <c r="I22" s="217">
        <f t="shared" si="4"/>
        <v>0.38127610017556507</v>
      </c>
      <c r="J22" s="217">
        <f t="shared" si="4"/>
        <v>0.3776977806455995</v>
      </c>
      <c r="K22" s="217">
        <f t="shared" si="4"/>
        <v>0.4421758703236191</v>
      </c>
      <c r="L22" s="217">
        <f t="shared" si="4"/>
        <v>0.29419925190105378</v>
      </c>
      <c r="M22" s="218">
        <f>IF(OR(M20="",M21=""),"",M20/M21)</f>
        <v>0.38303954057831063</v>
      </c>
      <c r="N22" s="186"/>
    </row>
    <row r="23" spans="1:16" ht="9.75" thickTop="1" x14ac:dyDescent="0.2">
      <c r="A23" s="219" t="s">
        <v>108</v>
      </c>
      <c r="B23" s="746" t="s">
        <v>102</v>
      </c>
      <c r="C23" s="747"/>
      <c r="D23" s="748"/>
      <c r="E23" s="749" t="s">
        <v>101</v>
      </c>
      <c r="F23" s="750"/>
      <c r="G23" s="750"/>
      <c r="H23" s="750"/>
      <c r="I23" s="750"/>
      <c r="J23" s="750"/>
      <c r="K23" s="750"/>
      <c r="L23" s="750"/>
      <c r="M23" s="751"/>
    </row>
    <row r="24" spans="1:16" ht="9.75" thickBot="1" x14ac:dyDescent="0.25">
      <c r="A24" s="220"/>
      <c r="B24" s="752">
        <f>IF(D22="","",D22)</f>
        <v>0.36023560114823971</v>
      </c>
      <c r="C24" s="752"/>
      <c r="D24" s="752"/>
      <c r="E24" s="753">
        <f>IF(M22="","",M22)</f>
        <v>0.38303954057831063</v>
      </c>
      <c r="F24" s="753"/>
      <c r="G24" s="753"/>
      <c r="H24" s="753"/>
      <c r="I24" s="753"/>
      <c r="J24" s="753"/>
      <c r="K24" s="753"/>
      <c r="L24" s="753"/>
      <c r="M24" s="753"/>
      <c r="N24" s="186"/>
    </row>
    <row r="25" spans="1:16" ht="9.75" thickTop="1" x14ac:dyDescent="0.2">
      <c r="A25" s="221"/>
      <c r="B25" s="221"/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186"/>
    </row>
    <row r="26" spans="1:16" ht="9.75" thickBot="1" x14ac:dyDescent="0.25">
      <c r="A26" s="222" t="s">
        <v>105</v>
      </c>
      <c r="B26" s="223" t="e">
        <f>+(B20+#REF!+#REF!+#REF!)/(#REF!+#REF!+#REF!+#REF!)</f>
        <v>#REF!</v>
      </c>
      <c r="C26" s="223" t="e">
        <f>+(C20+#REF!+#REF!+#REF!)/(#REF!+#REF!+#REF!+#REF!)</f>
        <v>#REF!</v>
      </c>
      <c r="D26" s="223" t="e">
        <f>+(D20+#REF!+#REF!+#REF!)/(#REF!+#REF!+#REF!+#REF!)</f>
        <v>#REF!</v>
      </c>
      <c r="E26" s="224" t="e">
        <f>+(E20+#REF!+#REF!+#REF!)/(#REF!+#REF!+#REF!+#REF!)</f>
        <v>#REF!</v>
      </c>
      <c r="F26" s="224" t="e">
        <f>+(F20+#REF!+#REF!+#REF!)/(#REF!+#REF!+#REF!+#REF!)</f>
        <v>#REF!</v>
      </c>
      <c r="G26" s="224" t="e">
        <f>+(G20+#REF!+#REF!+#REF!)/(#REF!+#REF!+#REF!+#REF!)</f>
        <v>#REF!</v>
      </c>
      <c r="H26" s="224" t="e">
        <f>+(H20+#REF!+#REF!+#REF!)/(#REF!+#REF!+#REF!+#REF!)</f>
        <v>#REF!</v>
      </c>
      <c r="I26" s="224" t="e">
        <f>+(I20+#REF!+#REF!+#REF!)/(#REF!+#REF!+#REF!+#REF!)</f>
        <v>#REF!</v>
      </c>
      <c r="J26" s="224" t="e">
        <f>+(J20+#REF!+#REF!+#REF!)/(#REF!+#REF!+#REF!+#REF!)</f>
        <v>#REF!</v>
      </c>
      <c r="K26" s="224" t="e">
        <f>+(K20+#REF!+#REF!+#REF!)/(#REF!+#REF!+#REF!+#REF!)</f>
        <v>#REF!</v>
      </c>
      <c r="L26" s="224" t="e">
        <f>+(L20+#REF!+#REF!+#REF!)/(#REF!+#REF!+#REF!+#REF!)</f>
        <v>#REF!</v>
      </c>
      <c r="M26" s="224" t="e">
        <f>+(M20+#REF!+#REF!+#REF!)/(#REF!+#REF!+#REF!+#REF!)</f>
        <v>#REF!</v>
      </c>
    </row>
    <row r="27" spans="1:16" ht="9.75" thickBot="1" x14ac:dyDescent="0.25">
      <c r="A27" s="225" t="s">
        <v>99</v>
      </c>
      <c r="B27" s="226">
        <v>0.31</v>
      </c>
      <c r="C27" s="226">
        <v>0.31</v>
      </c>
      <c r="D27" s="226">
        <v>0.31</v>
      </c>
      <c r="E27" s="226">
        <v>0.47</v>
      </c>
      <c r="F27" s="226">
        <v>0.46</v>
      </c>
      <c r="G27" s="226">
        <v>0.3</v>
      </c>
      <c r="H27" s="226">
        <v>0.15</v>
      </c>
      <c r="I27" s="226">
        <v>0.24</v>
      </c>
      <c r="J27" s="226">
        <v>0.2</v>
      </c>
      <c r="K27" s="226">
        <v>0.3</v>
      </c>
      <c r="L27" s="226">
        <v>0.15</v>
      </c>
      <c r="M27" s="227">
        <v>0.25</v>
      </c>
    </row>
    <row r="28" spans="1:16" x14ac:dyDescent="0.2">
      <c r="A28" s="228" t="s">
        <v>106</v>
      </c>
      <c r="B28" s="229">
        <f>+B22-B27</f>
        <v>4.6709581220483021E-2</v>
      </c>
      <c r="C28" s="229">
        <f t="shared" ref="C28:M28" si="5">+C22-C27</f>
        <v>5.5317676907259361E-2</v>
      </c>
      <c r="D28" s="229">
        <f t="shared" si="5"/>
        <v>5.0235601148239717E-2</v>
      </c>
      <c r="E28" s="229">
        <f>+E22-E27</f>
        <v>-0.15797370715675102</v>
      </c>
      <c r="F28" s="229">
        <f>+F22-F27</f>
        <v>0.16677098685117325</v>
      </c>
      <c r="G28" s="229">
        <f t="shared" si="5"/>
        <v>0.14364935109057558</v>
      </c>
      <c r="H28" s="229">
        <f t="shared" si="5"/>
        <v>6.5398966661139507E-2</v>
      </c>
      <c r="I28" s="229">
        <f t="shared" si="5"/>
        <v>0.14127610017556508</v>
      </c>
      <c r="J28" s="229">
        <f t="shared" si="5"/>
        <v>0.17769778064559949</v>
      </c>
      <c r="K28" s="229">
        <f t="shared" si="5"/>
        <v>0.14217587032361911</v>
      </c>
      <c r="L28" s="229">
        <f t="shared" si="5"/>
        <v>0.14419925190105379</v>
      </c>
      <c r="M28" s="229">
        <f t="shared" si="5"/>
        <v>0.13303954057831063</v>
      </c>
      <c r="N28" s="230"/>
    </row>
    <row r="29" spans="1:16" x14ac:dyDescent="0.2">
      <c r="A29" s="231" t="s">
        <v>107</v>
      </c>
      <c r="B29" s="232" t="e">
        <f>+B26-B27</f>
        <v>#REF!</v>
      </c>
      <c r="C29" s="232" t="e">
        <f t="shared" ref="C29:M29" si="6">+C26-C27</f>
        <v>#REF!</v>
      </c>
      <c r="D29" s="232" t="e">
        <f t="shared" si="6"/>
        <v>#REF!</v>
      </c>
      <c r="E29" s="232" t="e">
        <f>+E26-E27</f>
        <v>#REF!</v>
      </c>
      <c r="F29" s="232" t="e">
        <f t="shared" si="6"/>
        <v>#REF!</v>
      </c>
      <c r="G29" s="232" t="e">
        <f t="shared" si="6"/>
        <v>#REF!</v>
      </c>
      <c r="H29" s="232" t="e">
        <f t="shared" si="6"/>
        <v>#REF!</v>
      </c>
      <c r="I29" s="232" t="e">
        <f t="shared" si="6"/>
        <v>#REF!</v>
      </c>
      <c r="J29" s="232" t="e">
        <f t="shared" si="6"/>
        <v>#REF!</v>
      </c>
      <c r="K29" s="232" t="e">
        <f t="shared" si="6"/>
        <v>#REF!</v>
      </c>
      <c r="L29" s="232" t="e">
        <f t="shared" si="6"/>
        <v>#REF!</v>
      </c>
      <c r="M29" s="232" t="e">
        <f t="shared" si="6"/>
        <v>#REF!</v>
      </c>
    </row>
    <row r="30" spans="1:16" x14ac:dyDescent="0.2">
      <c r="A30" s="233"/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</row>
    <row r="31" spans="1:16" x14ac:dyDescent="0.2">
      <c r="A31" s="221"/>
      <c r="B31" s="754" t="s">
        <v>97</v>
      </c>
      <c r="C31" s="754"/>
      <c r="D31" s="754"/>
      <c r="E31" s="754"/>
      <c r="F31" s="754"/>
      <c r="G31" s="754"/>
      <c r="H31" s="754"/>
      <c r="I31" s="754"/>
      <c r="J31" s="754"/>
      <c r="K31" s="754"/>
      <c r="L31" s="754"/>
      <c r="M31" s="754"/>
      <c r="N31" s="186"/>
    </row>
    <row r="32" spans="1:16" x14ac:dyDescent="0.2">
      <c r="A32" s="235"/>
      <c r="B32" s="744" t="s">
        <v>3</v>
      </c>
      <c r="C32" s="744" t="s">
        <v>90</v>
      </c>
      <c r="D32" s="745" t="s">
        <v>93</v>
      </c>
      <c r="E32" s="743" t="s">
        <v>91</v>
      </c>
      <c r="F32" s="743" t="s">
        <v>92</v>
      </c>
      <c r="G32" s="743" t="s">
        <v>83</v>
      </c>
      <c r="H32" s="743" t="s">
        <v>84</v>
      </c>
      <c r="I32" s="743" t="s">
        <v>86</v>
      </c>
      <c r="J32" s="743" t="s">
        <v>85</v>
      </c>
      <c r="K32" s="743" t="s">
        <v>89</v>
      </c>
      <c r="L32" s="743" t="s">
        <v>87</v>
      </c>
      <c r="M32" s="737" t="s">
        <v>88</v>
      </c>
      <c r="O32" s="762" t="s">
        <v>117</v>
      </c>
      <c r="P32" s="762"/>
    </row>
    <row r="33" spans="1:17" x14ac:dyDescent="0.2">
      <c r="A33" s="236"/>
      <c r="B33" s="744"/>
      <c r="C33" s="744"/>
      <c r="D33" s="745"/>
      <c r="E33" s="743"/>
      <c r="F33" s="743"/>
      <c r="G33" s="743"/>
      <c r="H33" s="743"/>
      <c r="I33" s="743"/>
      <c r="J33" s="743"/>
      <c r="K33" s="743"/>
      <c r="L33" s="743"/>
      <c r="M33" s="737"/>
      <c r="O33" s="258" t="s">
        <v>115</v>
      </c>
      <c r="P33" s="258" t="s">
        <v>119</v>
      </c>
    </row>
    <row r="34" spans="1:17" x14ac:dyDescent="0.2">
      <c r="A34" s="237" t="s">
        <v>110</v>
      </c>
      <c r="B34" s="238">
        <v>7174.8</v>
      </c>
      <c r="C34" s="238">
        <v>913.63</v>
      </c>
      <c r="D34" s="239">
        <f>+B34+C34</f>
        <v>8088.43</v>
      </c>
      <c r="E34" s="238"/>
      <c r="F34" s="238"/>
      <c r="G34" s="261">
        <v>462</v>
      </c>
      <c r="H34" s="238"/>
      <c r="I34" s="238"/>
      <c r="J34" s="261">
        <f>-149.7+461.35</f>
        <v>311.65000000000003</v>
      </c>
      <c r="K34" s="238"/>
      <c r="L34" s="261">
        <v>159</v>
      </c>
      <c r="M34" s="240">
        <f>+G34+J34+L34</f>
        <v>932.65000000000009</v>
      </c>
      <c r="N34" s="258" t="s">
        <v>87</v>
      </c>
      <c r="O34" s="258">
        <v>402</v>
      </c>
      <c r="P34" s="258">
        <v>561</v>
      </c>
      <c r="Q34" s="258">
        <f>+P34-O34</f>
        <v>159</v>
      </c>
    </row>
    <row r="35" spans="1:17" x14ac:dyDescent="0.2">
      <c r="A35" s="214" t="s">
        <v>27</v>
      </c>
      <c r="B35" s="241">
        <v>28699.200000000001</v>
      </c>
      <c r="C35" s="242">
        <v>3654.55</v>
      </c>
      <c r="D35" s="243">
        <f>IF(SUM(B35:C35)=0,"",SUM(B35:C35))</f>
        <v>32353.75</v>
      </c>
      <c r="E35" s="242"/>
      <c r="F35" s="242"/>
      <c r="G35" s="261">
        <v>3915.83</v>
      </c>
      <c r="H35" s="242"/>
      <c r="I35" s="242"/>
      <c r="J35" s="261">
        <v>3894.51</v>
      </c>
      <c r="K35" s="242"/>
      <c r="L35" s="261">
        <v>2448.69</v>
      </c>
      <c r="M35" s="243">
        <f>SUM(E35:L35)</f>
        <v>10259.030000000001</v>
      </c>
      <c r="N35" s="259" t="s">
        <v>83</v>
      </c>
      <c r="O35" s="259">
        <v>240.8</v>
      </c>
      <c r="P35" s="259">
        <v>702.8</v>
      </c>
      <c r="Q35" s="259">
        <f>+P35-O35</f>
        <v>461.99999999999994</v>
      </c>
    </row>
    <row r="36" spans="1:17" ht="9.75" thickBot="1" x14ac:dyDescent="0.25">
      <c r="B36" s="244">
        <f>+B34/B35</f>
        <v>0.25</v>
      </c>
      <c r="C36" s="244">
        <f>+C34/C35</f>
        <v>0.24999794776374654</v>
      </c>
      <c r="D36" s="244">
        <f>IF(OR(D34="",D35=""),"",D34/D35)</f>
        <v>0.24999976818761349</v>
      </c>
      <c r="E36" s="244"/>
      <c r="F36" s="244"/>
      <c r="G36" s="262">
        <f>+G34/G35</f>
        <v>0.11798264991074689</v>
      </c>
      <c r="H36" s="244"/>
      <c r="I36" s="244"/>
      <c r="J36" s="262">
        <f>+J34/J35</f>
        <v>8.0022904036708087E-2</v>
      </c>
      <c r="K36" s="244"/>
      <c r="L36" s="262">
        <f>+L34/L35</f>
        <v>6.4932678289207693E-2</v>
      </c>
      <c r="M36" s="245"/>
      <c r="N36" s="259" t="s">
        <v>85</v>
      </c>
      <c r="O36" s="259">
        <v>238.11</v>
      </c>
      <c r="P36" s="259">
        <v>88.38</v>
      </c>
      <c r="Q36" s="259">
        <f>+P36-O36</f>
        <v>-149.73000000000002</v>
      </c>
    </row>
    <row r="37" spans="1:17" ht="9.75" thickTop="1" x14ac:dyDescent="0.2">
      <c r="A37" s="738" t="s">
        <v>94</v>
      </c>
      <c r="B37" s="740" t="s">
        <v>95</v>
      </c>
      <c r="C37" s="740"/>
      <c r="D37" s="740"/>
      <c r="E37" s="741" t="s">
        <v>98</v>
      </c>
      <c r="F37" s="741"/>
      <c r="G37" s="741"/>
      <c r="H37" s="741"/>
      <c r="I37" s="741"/>
      <c r="J37" s="741"/>
      <c r="K37" s="741"/>
      <c r="L37" s="741"/>
      <c r="M37" s="741"/>
    </row>
    <row r="38" spans="1:17" ht="9.75" thickBot="1" x14ac:dyDescent="0.25">
      <c r="A38" s="739"/>
      <c r="B38" s="742">
        <f>IF(D36="","",D36)</f>
        <v>0.24999976818761349</v>
      </c>
      <c r="C38" s="742"/>
      <c r="D38" s="742"/>
      <c r="E38" s="742">
        <f>+M34/M35</f>
        <v>9.0910154273844607E-2</v>
      </c>
      <c r="F38" s="742"/>
      <c r="G38" s="742"/>
      <c r="H38" s="742"/>
      <c r="I38" s="742"/>
      <c r="J38" s="742"/>
      <c r="K38" s="742"/>
      <c r="L38" s="742"/>
      <c r="M38" s="742"/>
    </row>
    <row r="39" spans="1:17" ht="9.75" thickTop="1" x14ac:dyDescent="0.2">
      <c r="A39" s="256"/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</row>
    <row r="40" spans="1:17" x14ac:dyDescent="0.2">
      <c r="A40" s="187"/>
      <c r="B40" s="247"/>
      <c r="C40" s="247"/>
      <c r="D40" s="246"/>
      <c r="E40" s="247"/>
      <c r="F40" s="247"/>
      <c r="G40" s="247"/>
      <c r="H40" s="247"/>
      <c r="I40" s="247"/>
      <c r="J40" s="247"/>
      <c r="K40" s="247"/>
      <c r="L40" s="247"/>
      <c r="M40" s="247"/>
    </row>
    <row r="41" spans="1:17" x14ac:dyDescent="0.2">
      <c r="A41" s="256"/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</row>
    <row r="42" spans="1:17" x14ac:dyDescent="0.2">
      <c r="A42" s="187"/>
      <c r="B42" s="247"/>
      <c r="C42" s="247"/>
      <c r="D42" s="246"/>
      <c r="E42" s="247"/>
      <c r="F42" s="247"/>
      <c r="G42" s="247"/>
      <c r="H42" s="247"/>
      <c r="I42" s="247"/>
      <c r="J42" s="247"/>
      <c r="K42" s="247"/>
      <c r="L42" s="247"/>
      <c r="M42" s="247"/>
    </row>
    <row r="43" spans="1:17" x14ac:dyDescent="0.2">
      <c r="A43" s="187"/>
      <c r="B43" s="247"/>
      <c r="C43" s="247"/>
      <c r="D43" s="246"/>
      <c r="E43" s="247"/>
      <c r="F43" s="247"/>
      <c r="G43" s="247"/>
      <c r="H43" s="247"/>
      <c r="I43" s="247"/>
      <c r="J43" s="247"/>
      <c r="K43" s="247"/>
      <c r="L43" s="247"/>
      <c r="M43" s="247"/>
    </row>
    <row r="44" spans="1:17" x14ac:dyDescent="0.2">
      <c r="A44" s="187"/>
      <c r="B44" s="248"/>
      <c r="C44" s="248"/>
      <c r="D44" s="246"/>
      <c r="E44" s="248"/>
      <c r="F44" s="248"/>
      <c r="G44" s="248"/>
      <c r="H44" s="248"/>
      <c r="I44" s="248"/>
      <c r="J44" s="248"/>
      <c r="K44" s="248"/>
      <c r="L44" s="248"/>
      <c r="M44" s="248"/>
    </row>
    <row r="45" spans="1:17" x14ac:dyDescent="0.2">
      <c r="A45" s="187"/>
      <c r="B45" s="247"/>
      <c r="C45" s="247"/>
      <c r="D45" s="246"/>
      <c r="E45" s="247"/>
      <c r="F45" s="247"/>
      <c r="G45" s="247"/>
      <c r="H45" s="247"/>
      <c r="I45" s="247"/>
      <c r="J45" s="247"/>
      <c r="K45" s="247"/>
      <c r="L45" s="247"/>
      <c r="M45" s="247"/>
    </row>
    <row r="46" spans="1:17" x14ac:dyDescent="0.2">
      <c r="A46" s="187"/>
      <c r="B46" s="248"/>
      <c r="C46" s="248"/>
      <c r="D46" s="246"/>
      <c r="E46" s="248"/>
      <c r="F46" s="248"/>
      <c r="G46" s="248"/>
      <c r="H46" s="248"/>
      <c r="I46" s="248"/>
      <c r="J46" s="248"/>
      <c r="K46" s="248"/>
      <c r="L46" s="248"/>
      <c r="M46" s="248"/>
    </row>
    <row r="47" spans="1:17" x14ac:dyDescent="0.2">
      <c r="A47" s="187"/>
      <c r="B47" s="248"/>
      <c r="C47" s="248"/>
      <c r="D47" s="246"/>
      <c r="E47" s="248"/>
      <c r="F47" s="248"/>
      <c r="G47" s="248"/>
      <c r="H47" s="248"/>
      <c r="I47" s="248"/>
      <c r="J47" s="248"/>
      <c r="K47" s="248"/>
      <c r="L47" s="248"/>
      <c r="M47" s="248"/>
    </row>
    <row r="48" spans="1:17" x14ac:dyDescent="0.2">
      <c r="A48" s="187"/>
      <c r="B48" s="248"/>
      <c r="C48" s="248"/>
      <c r="D48" s="246"/>
      <c r="E48" s="248"/>
      <c r="F48" s="248"/>
      <c r="G48" s="248"/>
      <c r="H48" s="248"/>
      <c r="I48" s="248"/>
      <c r="J48" s="248"/>
      <c r="K48" s="248"/>
      <c r="L48" s="248"/>
      <c r="M48" s="248"/>
    </row>
    <row r="49" spans="1:13" x14ac:dyDescent="0.2">
      <c r="A49" s="256"/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</row>
    <row r="50" spans="1:13" x14ac:dyDescent="0.2">
      <c r="A50" s="256"/>
      <c r="B50" s="246"/>
      <c r="C50" s="246"/>
      <c r="D50" s="246"/>
      <c r="E50" s="246"/>
      <c r="F50" s="246"/>
      <c r="G50" s="246"/>
      <c r="H50" s="246"/>
      <c r="I50" s="246"/>
      <c r="J50" s="246"/>
      <c r="K50" s="246"/>
      <c r="L50" s="246"/>
      <c r="M50" s="246"/>
    </row>
    <row r="51" spans="1:13" x14ac:dyDescent="0.2">
      <c r="A51" s="187"/>
      <c r="B51" s="247"/>
      <c r="C51" s="247"/>
      <c r="D51" s="246"/>
      <c r="E51" s="247"/>
      <c r="F51" s="247"/>
      <c r="G51" s="247"/>
      <c r="H51" s="247"/>
      <c r="I51" s="247"/>
      <c r="J51" s="247"/>
      <c r="K51" s="247"/>
      <c r="L51" s="247"/>
      <c r="M51" s="247"/>
    </row>
    <row r="52" spans="1:13" x14ac:dyDescent="0.2">
      <c r="A52" s="187"/>
      <c r="B52" s="249"/>
      <c r="C52" s="248"/>
      <c r="D52" s="246"/>
      <c r="E52" s="248"/>
      <c r="F52" s="248"/>
      <c r="G52" s="248"/>
      <c r="H52" s="248"/>
      <c r="I52" s="248"/>
      <c r="J52" s="248"/>
      <c r="K52" s="248"/>
      <c r="L52" s="248"/>
      <c r="M52" s="248"/>
    </row>
    <row r="53" spans="1:13" x14ac:dyDescent="0.2">
      <c r="A53" s="256"/>
      <c r="B53" s="257"/>
      <c r="C53" s="257"/>
      <c r="D53" s="250"/>
      <c r="E53" s="257"/>
      <c r="F53" s="257"/>
      <c r="G53" s="257"/>
      <c r="H53" s="257"/>
      <c r="I53" s="257"/>
      <c r="J53" s="257"/>
      <c r="K53" s="257"/>
      <c r="L53" s="257"/>
      <c r="M53" s="257"/>
    </row>
    <row r="54" spans="1:13" x14ac:dyDescent="0.2">
      <c r="A54" s="251"/>
      <c r="B54" s="251"/>
      <c r="C54" s="251"/>
      <c r="D54" s="251"/>
      <c r="E54" s="251"/>
      <c r="F54" s="251"/>
      <c r="G54" s="251"/>
      <c r="H54" s="251"/>
      <c r="I54" s="251"/>
      <c r="J54" s="251"/>
      <c r="K54" s="251"/>
      <c r="L54" s="251"/>
      <c r="M54" s="251"/>
    </row>
    <row r="55" spans="1:13" x14ac:dyDescent="0.2">
      <c r="A55" s="187"/>
      <c r="B55" s="733"/>
      <c r="C55" s="733"/>
      <c r="D55" s="733"/>
      <c r="E55" s="734"/>
      <c r="F55" s="734"/>
      <c r="G55" s="734"/>
      <c r="H55" s="734"/>
      <c r="I55" s="734"/>
      <c r="J55" s="734"/>
      <c r="K55" s="734"/>
      <c r="L55" s="734"/>
      <c r="M55" s="734"/>
    </row>
    <row r="56" spans="1:13" x14ac:dyDescent="0.2">
      <c r="A56" s="187"/>
      <c r="B56" s="735"/>
      <c r="C56" s="735"/>
      <c r="D56" s="735"/>
      <c r="E56" s="735"/>
      <c r="F56" s="735"/>
      <c r="G56" s="735"/>
      <c r="H56" s="735"/>
      <c r="I56" s="735"/>
      <c r="J56" s="735"/>
      <c r="K56" s="735"/>
      <c r="L56" s="735"/>
      <c r="M56" s="735"/>
    </row>
    <row r="57" spans="1:13" x14ac:dyDescent="0.2">
      <c r="A57" s="251"/>
      <c r="B57" s="251"/>
      <c r="C57" s="251"/>
      <c r="D57" s="251"/>
      <c r="E57" s="251"/>
      <c r="F57" s="251"/>
      <c r="G57" s="251"/>
      <c r="H57" s="251"/>
      <c r="I57" s="251"/>
      <c r="J57" s="251"/>
      <c r="K57" s="251"/>
      <c r="L57" s="251"/>
      <c r="M57" s="251"/>
    </row>
    <row r="58" spans="1:13" x14ac:dyDescent="0.2">
      <c r="A58" s="251"/>
      <c r="B58" s="251"/>
      <c r="C58" s="251"/>
      <c r="D58" s="251"/>
      <c r="E58" s="734"/>
      <c r="F58" s="734"/>
      <c r="G58" s="734"/>
      <c r="H58" s="734"/>
      <c r="I58" s="734"/>
      <c r="J58" s="734"/>
      <c r="K58" s="734"/>
      <c r="L58" s="734"/>
      <c r="M58" s="734"/>
    </row>
    <row r="59" spans="1:13" x14ac:dyDescent="0.2">
      <c r="D59" s="251"/>
      <c r="E59" s="736"/>
      <c r="F59" s="736"/>
      <c r="G59" s="736"/>
      <c r="H59" s="736"/>
      <c r="I59" s="736"/>
      <c r="J59" s="736"/>
      <c r="K59" s="736"/>
      <c r="L59" s="736"/>
      <c r="M59" s="736"/>
    </row>
    <row r="60" spans="1:13" x14ac:dyDescent="0.2">
      <c r="D60" s="251"/>
      <c r="E60" s="251"/>
      <c r="F60" s="251"/>
      <c r="G60" s="251"/>
      <c r="H60" s="251"/>
      <c r="I60" s="251"/>
      <c r="J60" s="251"/>
      <c r="K60" s="251"/>
      <c r="L60" s="251"/>
      <c r="M60" s="251"/>
    </row>
  </sheetData>
  <mergeCells count="45">
    <mergeCell ref="B1:M1"/>
    <mergeCell ref="B2:M2"/>
    <mergeCell ref="B3:D3"/>
    <mergeCell ref="E3:M3"/>
    <mergeCell ref="B4:B5"/>
    <mergeCell ref="C4:C5"/>
    <mergeCell ref="D4:D5"/>
    <mergeCell ref="E4:E5"/>
    <mergeCell ref="F4:F5"/>
    <mergeCell ref="G4:G5"/>
    <mergeCell ref="D32:D33"/>
    <mergeCell ref="E32:E33"/>
    <mergeCell ref="F32:F33"/>
    <mergeCell ref="H4:H5"/>
    <mergeCell ref="I4:I5"/>
    <mergeCell ref="B23:D23"/>
    <mergeCell ref="E23:M23"/>
    <mergeCell ref="B24:D24"/>
    <mergeCell ref="E24:M24"/>
    <mergeCell ref="B31:M31"/>
    <mergeCell ref="J4:J5"/>
    <mergeCell ref="K4:K5"/>
    <mergeCell ref="L4:L5"/>
    <mergeCell ref="M4:M5"/>
    <mergeCell ref="E59:M59"/>
    <mergeCell ref="M32:M33"/>
    <mergeCell ref="O32:P32"/>
    <mergeCell ref="A37:A38"/>
    <mergeCell ref="B37:D37"/>
    <mergeCell ref="E37:M37"/>
    <mergeCell ref="B38:D38"/>
    <mergeCell ref="E38:M38"/>
    <mergeCell ref="G32:G33"/>
    <mergeCell ref="H32:H33"/>
    <mergeCell ref="I32:I33"/>
    <mergeCell ref="J32:J33"/>
    <mergeCell ref="K32:K33"/>
    <mergeCell ref="L32:L33"/>
    <mergeCell ref="B32:B33"/>
    <mergeCell ref="C32:C33"/>
    <mergeCell ref="B55:D55"/>
    <mergeCell ref="E55:M55"/>
    <mergeCell ref="B56:D56"/>
    <mergeCell ref="E56:M56"/>
    <mergeCell ref="E58:M58"/>
  </mergeCells>
  <conditionalFormatting sqref="B30:M30">
    <cfRule type="cellIs" dxfId="30" priority="2" operator="greaterThan">
      <formula>0.13</formula>
    </cfRule>
    <cfRule type="cellIs" dxfId="29" priority="3" operator="greaterThan">
      <formula>0.13</formula>
    </cfRule>
    <cfRule type="cellIs" dxfId="28" priority="4" operator="greaterThan">
      <formula>0.03</formula>
    </cfRule>
    <cfRule type="cellIs" dxfId="27" priority="5" operator="greaterThan">
      <formula>0</formula>
    </cfRule>
  </conditionalFormatting>
  <conditionalFormatting sqref="B28:M29">
    <cfRule type="cellIs" dxfId="26" priority="1" operator="greaterThan">
      <formula>0.01</formula>
    </cfRule>
  </conditionalFormatting>
  <pageMargins left="0.7" right="0.7" top="0.75" bottom="0.75" header="0.3" footer="0.3"/>
  <pageSetup paperSize="9" scale="70" orientation="landscape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Q39"/>
  <sheetViews>
    <sheetView workbookViewId="0">
      <selection activeCell="B16" sqref="B16"/>
    </sheetView>
  </sheetViews>
  <sheetFormatPr baseColWidth="10" defaultRowHeight="12.75" x14ac:dyDescent="0.2"/>
  <cols>
    <col min="1" max="1" width="26.140625" customWidth="1"/>
  </cols>
  <sheetData>
    <row r="1" spans="1:15" x14ac:dyDescent="0.2">
      <c r="A1" s="260"/>
      <c r="B1" s="757" t="s">
        <v>120</v>
      </c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</row>
    <row r="2" spans="1:15" x14ac:dyDescent="0.2">
      <c r="A2" s="260"/>
      <c r="B2" s="758" t="s">
        <v>96</v>
      </c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</row>
    <row r="3" spans="1:15" x14ac:dyDescent="0.2">
      <c r="A3" s="187"/>
      <c r="B3" s="759" t="s">
        <v>103</v>
      </c>
      <c r="C3" s="759"/>
      <c r="D3" s="759"/>
      <c r="E3" s="760" t="s">
        <v>104</v>
      </c>
      <c r="F3" s="760"/>
      <c r="G3" s="760"/>
      <c r="H3" s="760"/>
      <c r="I3" s="760"/>
      <c r="J3" s="760"/>
      <c r="K3" s="760"/>
      <c r="L3" s="760"/>
      <c r="M3" s="760"/>
    </row>
    <row r="4" spans="1:15" x14ac:dyDescent="0.2">
      <c r="A4" s="187"/>
      <c r="B4" s="763" t="s">
        <v>3</v>
      </c>
      <c r="C4" s="759" t="s">
        <v>90</v>
      </c>
      <c r="D4" s="761" t="s">
        <v>93</v>
      </c>
      <c r="E4" s="755" t="s">
        <v>91</v>
      </c>
      <c r="F4" s="755" t="s">
        <v>100</v>
      </c>
      <c r="G4" s="755" t="s">
        <v>83</v>
      </c>
      <c r="H4" s="755" t="s">
        <v>84</v>
      </c>
      <c r="I4" s="755" t="s">
        <v>86</v>
      </c>
      <c r="J4" s="755" t="s">
        <v>85</v>
      </c>
      <c r="K4" s="755" t="s">
        <v>89</v>
      </c>
      <c r="L4" s="755" t="s">
        <v>87</v>
      </c>
      <c r="M4" s="756" t="s">
        <v>88</v>
      </c>
    </row>
    <row r="5" spans="1:15" x14ac:dyDescent="0.2">
      <c r="A5" s="188"/>
      <c r="B5" s="763"/>
      <c r="C5" s="759"/>
      <c r="D5" s="761"/>
      <c r="E5" s="755"/>
      <c r="F5" s="755"/>
      <c r="G5" s="755"/>
      <c r="H5" s="755"/>
      <c r="I5" s="755"/>
      <c r="J5" s="755"/>
      <c r="K5" s="755"/>
      <c r="L5" s="755"/>
      <c r="M5" s="756"/>
    </row>
    <row r="6" spans="1:15" x14ac:dyDescent="0.2">
      <c r="A6" s="189" t="s">
        <v>9</v>
      </c>
      <c r="B6" s="190"/>
      <c r="C6" s="191"/>
      <c r="D6" s="192"/>
      <c r="E6" s="191"/>
      <c r="F6" s="191"/>
      <c r="G6" s="191"/>
      <c r="H6" s="191"/>
      <c r="I6" s="191"/>
      <c r="J6" s="191"/>
      <c r="K6" s="191"/>
      <c r="L6" s="191"/>
      <c r="M6" s="193"/>
    </row>
    <row r="7" spans="1:15" x14ac:dyDescent="0.2">
      <c r="A7" s="194" t="s">
        <v>10</v>
      </c>
      <c r="B7" s="195">
        <v>12344</v>
      </c>
      <c r="C7" s="195">
        <v>3897</v>
      </c>
      <c r="D7" s="196">
        <f>+B7+C7</f>
        <v>16241</v>
      </c>
      <c r="E7" s="195">
        <v>309</v>
      </c>
      <c r="F7" s="195">
        <v>1542</v>
      </c>
      <c r="G7" s="195">
        <v>3351</v>
      </c>
      <c r="H7" s="195">
        <v>2454</v>
      </c>
      <c r="I7" s="195">
        <v>1762</v>
      </c>
      <c r="J7" s="195">
        <v>670</v>
      </c>
      <c r="K7" s="195">
        <v>2395</v>
      </c>
      <c r="L7" s="195">
        <v>911</v>
      </c>
      <c r="M7" s="197">
        <f>+SUM(E7:L7)</f>
        <v>13394</v>
      </c>
    </row>
    <row r="8" spans="1:15" x14ac:dyDescent="0.2">
      <c r="A8" s="198" t="s">
        <v>11</v>
      </c>
      <c r="B8" s="196">
        <v>25179</v>
      </c>
      <c r="C8" s="196">
        <v>7860</v>
      </c>
      <c r="D8" s="196">
        <f>+B8+C8</f>
        <v>33039</v>
      </c>
      <c r="E8" s="196">
        <v>398.07</v>
      </c>
      <c r="F8" s="196">
        <v>4343.8500000000004</v>
      </c>
      <c r="G8" s="196">
        <f>1111+1531.8</f>
        <v>2642.8</v>
      </c>
      <c r="H8" s="196">
        <v>1856.59</v>
      </c>
      <c r="I8" s="196">
        <v>1736.71</v>
      </c>
      <c r="J8" s="196">
        <v>747.54</v>
      </c>
      <c r="K8" s="196">
        <f>3017-1561.36</f>
        <v>1455.64</v>
      </c>
      <c r="L8" s="196">
        <v>1399.56</v>
      </c>
      <c r="M8" s="197">
        <f>+L8+K8+J8+I8+H8+G8+F8+E8</f>
        <v>14580.76</v>
      </c>
    </row>
    <row r="9" spans="1:15" x14ac:dyDescent="0.2">
      <c r="A9" s="198" t="s">
        <v>12</v>
      </c>
      <c r="B9" s="195"/>
      <c r="C9" s="195"/>
      <c r="D9" s="196" t="str">
        <f>IF(SUM(B9:C9)=0,"",SUM(B9:C9))</f>
        <v/>
      </c>
      <c r="E9" s="195"/>
      <c r="F9" s="195"/>
      <c r="G9" s="195"/>
      <c r="H9" s="195"/>
      <c r="I9" s="195"/>
      <c r="J9" s="195"/>
      <c r="K9" s="195"/>
      <c r="L9" s="195"/>
      <c r="M9" s="197" t="str">
        <f>IF(SUM(F9:K9)=0,"",SUM(F9:K9))</f>
        <v/>
      </c>
    </row>
    <row r="10" spans="1:15" x14ac:dyDescent="0.2">
      <c r="A10" s="198" t="s">
        <v>13</v>
      </c>
      <c r="B10" s="199"/>
      <c r="C10" s="199"/>
      <c r="D10" s="196" t="str">
        <f>IF(SUM(B10:C10)=0,"",SUM(B10:C10))</f>
        <v/>
      </c>
      <c r="E10" s="190"/>
      <c r="F10" s="199"/>
      <c r="G10" s="199"/>
      <c r="H10" s="199"/>
      <c r="I10" s="199"/>
      <c r="J10" s="199"/>
      <c r="K10" s="199"/>
      <c r="L10" s="199"/>
      <c r="M10" s="197" t="str">
        <f>IF(SUM(F10:K10)=0,"",SUM(F10:K10))</f>
        <v/>
      </c>
    </row>
    <row r="11" spans="1:15" x14ac:dyDescent="0.2">
      <c r="A11" s="198" t="s">
        <v>14</v>
      </c>
      <c r="B11" s="195"/>
      <c r="C11" s="195"/>
      <c r="D11" s="196" t="str">
        <f>IF(SUM(B11:C11)=0,"",SUM(B11:C11))</f>
        <v/>
      </c>
      <c r="E11" s="195"/>
      <c r="F11" s="195"/>
      <c r="G11" s="195"/>
      <c r="H11" s="195"/>
      <c r="I11" s="195"/>
      <c r="J11" s="195"/>
      <c r="K11" s="195"/>
      <c r="L11" s="195"/>
      <c r="M11" s="197" t="str">
        <f>IF(SUM(F11:K11)=0,"",SUM(F11:K11))</f>
        <v/>
      </c>
    </row>
    <row r="12" spans="1:15" x14ac:dyDescent="0.2">
      <c r="A12" s="194" t="s">
        <v>15</v>
      </c>
      <c r="B12" s="196">
        <v>28179</v>
      </c>
      <c r="C12" s="196">
        <v>7860</v>
      </c>
      <c r="D12" s="196">
        <f>IF(SUM(B12:C12)=0,"",SUM(B12:C12))</f>
        <v>36039</v>
      </c>
      <c r="E12" s="196">
        <f t="shared" ref="E12:J12" si="0">IF(SUM(E8:E11)=0,"",SUM(E8:E11))</f>
        <v>398.07</v>
      </c>
      <c r="F12" s="196">
        <f t="shared" si="0"/>
        <v>4343.8500000000004</v>
      </c>
      <c r="G12" s="196">
        <v>2643</v>
      </c>
      <c r="H12" s="196">
        <f t="shared" si="0"/>
        <v>1856.59</v>
      </c>
      <c r="I12" s="196">
        <f t="shared" si="0"/>
        <v>1736.71</v>
      </c>
      <c r="J12" s="196">
        <f t="shared" si="0"/>
        <v>747.54</v>
      </c>
      <c r="K12" s="196">
        <f>IF(SUM(K8:K11)=0,"",SUM(K8:K11))</f>
        <v>1455.64</v>
      </c>
      <c r="L12" s="196">
        <v>1400</v>
      </c>
      <c r="M12" s="197">
        <f>SUM(E12:L12)</f>
        <v>14581.400000000001</v>
      </c>
      <c r="O12" s="275" t="s">
        <v>122</v>
      </c>
    </row>
    <row r="13" spans="1:15" x14ac:dyDescent="0.2">
      <c r="A13" s="200" t="s">
        <v>16</v>
      </c>
      <c r="B13" s="201">
        <f>+B7+B12</f>
        <v>40523</v>
      </c>
      <c r="C13" s="201">
        <f>+C12+C7</f>
        <v>11757</v>
      </c>
      <c r="D13" s="201">
        <f>IF(AND(D7="",D12=""),"",SUM(D7,D12))</f>
        <v>52280</v>
      </c>
      <c r="E13" s="201">
        <f t="shared" ref="E13:J13" si="1">+E12+E7</f>
        <v>707.06999999999994</v>
      </c>
      <c r="F13" s="201">
        <f t="shared" si="1"/>
        <v>5885.85</v>
      </c>
      <c r="G13" s="201">
        <f>+G12+G7</f>
        <v>5994</v>
      </c>
      <c r="H13" s="201">
        <f t="shared" si="1"/>
        <v>4310.59</v>
      </c>
      <c r="I13" s="201">
        <f t="shared" si="1"/>
        <v>3498.71</v>
      </c>
      <c r="J13" s="201">
        <f t="shared" si="1"/>
        <v>1417.54</v>
      </c>
      <c r="K13" s="201">
        <f>+K12+K8</f>
        <v>2911.28</v>
      </c>
      <c r="L13" s="201">
        <f>+L12+L7</f>
        <v>2311</v>
      </c>
      <c r="M13" s="202">
        <v>29257</v>
      </c>
      <c r="O13">
        <v>629.55999999999995</v>
      </c>
    </row>
    <row r="14" spans="1:15" x14ac:dyDescent="0.2">
      <c r="A14" s="203" t="s">
        <v>17</v>
      </c>
      <c r="B14" s="204"/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  <c r="O14">
        <v>658.8</v>
      </c>
    </row>
    <row r="15" spans="1:15" x14ac:dyDescent="0.2">
      <c r="A15" s="205" t="s">
        <v>18</v>
      </c>
      <c r="B15" s="206">
        <v>9514</v>
      </c>
      <c r="C15" s="206">
        <v>2397.5</v>
      </c>
      <c r="D15" s="207">
        <f>+B15+C15</f>
        <v>11911.5</v>
      </c>
      <c r="E15" s="206">
        <v>347</v>
      </c>
      <c r="F15" s="206">
        <v>1842.62</v>
      </c>
      <c r="G15" s="206">
        <v>2871.87</v>
      </c>
      <c r="H15" s="206">
        <v>2789.6</v>
      </c>
      <c r="I15" s="206">
        <v>1594.86</v>
      </c>
      <c r="J15" s="206">
        <v>544.42999999999995</v>
      </c>
      <c r="K15" s="206">
        <v>1328.14</v>
      </c>
      <c r="L15" s="206">
        <v>2050.54</v>
      </c>
      <c r="M15" s="208">
        <f>+SUM(E15:L15)</f>
        <v>13369.060000000001</v>
      </c>
      <c r="O15">
        <v>273</v>
      </c>
    </row>
    <row r="16" spans="1:15" x14ac:dyDescent="0.2">
      <c r="A16" s="205" t="s">
        <v>19</v>
      </c>
      <c r="B16" s="206">
        <v>3864.96</v>
      </c>
      <c r="C16" s="204"/>
      <c r="D16" s="207">
        <f>IF(SUM(B16:C16)=0,"",SUM(B16:C16))</f>
        <v>3864.96</v>
      </c>
      <c r="E16" s="204"/>
      <c r="F16" s="204"/>
      <c r="G16" s="204"/>
      <c r="H16" s="204"/>
      <c r="I16" s="204"/>
      <c r="J16" s="204"/>
      <c r="K16" s="204"/>
      <c r="L16" s="204"/>
      <c r="M16" s="204"/>
    </row>
    <row r="17" spans="1:14" x14ac:dyDescent="0.2">
      <c r="A17" s="205" t="s">
        <v>82</v>
      </c>
      <c r="B17" s="206"/>
      <c r="C17" s="204"/>
      <c r="D17" s="207" t="str">
        <f>IF(SUM(B17:C17)=0,"",SUM(B17:C17))</f>
        <v/>
      </c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4" x14ac:dyDescent="0.2">
      <c r="A18" s="205" t="s">
        <v>57</v>
      </c>
      <c r="B18" s="206">
        <v>108</v>
      </c>
      <c r="C18" s="206">
        <v>69.25</v>
      </c>
      <c r="D18" s="207">
        <f>IF(SUM(B18:C18)=0,"",SUM(B18:C18))</f>
        <v>177.25</v>
      </c>
      <c r="E18" s="206">
        <v>9.18</v>
      </c>
      <c r="F18" s="206">
        <v>1.25</v>
      </c>
      <c r="G18" s="206">
        <v>13.63</v>
      </c>
      <c r="H18" s="206">
        <v>9.75</v>
      </c>
      <c r="I18" s="206">
        <v>9.07</v>
      </c>
      <c r="J18" s="206">
        <v>1.1499999999999999</v>
      </c>
      <c r="K18" s="206"/>
      <c r="L18" s="206">
        <v>2.25</v>
      </c>
      <c r="M18" s="208">
        <f>IF(SUM(F18:L18)=0,"",SUM(F18:L18))</f>
        <v>37.1</v>
      </c>
    </row>
    <row r="19" spans="1:14" ht="13.5" thickBot="1" x14ac:dyDescent="0.25">
      <c r="A19" s="209" t="s">
        <v>25</v>
      </c>
      <c r="B19" s="210">
        <f>+B15+B16+B18</f>
        <v>13486.96</v>
      </c>
      <c r="C19" s="210">
        <f t="shared" ref="C19:L19" si="2">SUM(C15:C18)</f>
        <v>2466.75</v>
      </c>
      <c r="D19" s="210">
        <f t="shared" si="2"/>
        <v>15953.71</v>
      </c>
      <c r="E19" s="210">
        <f t="shared" si="2"/>
        <v>356.18</v>
      </c>
      <c r="F19" s="210">
        <f t="shared" si="2"/>
        <v>1843.87</v>
      </c>
      <c r="G19" s="210">
        <f t="shared" si="2"/>
        <v>2885.5</v>
      </c>
      <c r="H19" s="210">
        <f t="shared" si="2"/>
        <v>2799.35</v>
      </c>
      <c r="I19" s="210">
        <f t="shared" si="2"/>
        <v>1603.9299999999998</v>
      </c>
      <c r="J19" s="210">
        <f t="shared" si="2"/>
        <v>545.57999999999993</v>
      </c>
      <c r="K19" s="210">
        <f t="shared" si="2"/>
        <v>1328.14</v>
      </c>
      <c r="L19" s="210">
        <f t="shared" si="2"/>
        <v>2052.79</v>
      </c>
      <c r="M19" s="210">
        <f t="shared" ref="M19" si="3">SUM(M15:M18)</f>
        <v>13406.160000000002</v>
      </c>
    </row>
    <row r="20" spans="1:14" ht="13.5" thickTop="1" x14ac:dyDescent="0.2">
      <c r="A20" s="211" t="s">
        <v>26</v>
      </c>
      <c r="B20" s="212">
        <f>+B13-B19</f>
        <v>27036.04</v>
      </c>
      <c r="C20" s="212">
        <f>C13-C19</f>
        <v>9290.25</v>
      </c>
      <c r="D20" s="213">
        <f>IF(SUM(B20:C20)=0,"",SUM(B20:C20))</f>
        <v>36326.29</v>
      </c>
      <c r="E20" s="212">
        <f>E13-E19</f>
        <v>350.88999999999993</v>
      </c>
      <c r="F20" s="212">
        <f t="shared" ref="F20:I20" si="4">+F13-F19</f>
        <v>4041.9800000000005</v>
      </c>
      <c r="G20" s="212">
        <f>+G13-G19</f>
        <v>3108.5</v>
      </c>
      <c r="H20" s="212">
        <f>+H13-H19</f>
        <v>1511.2400000000002</v>
      </c>
      <c r="I20" s="212">
        <f t="shared" si="4"/>
        <v>1894.7800000000002</v>
      </c>
      <c r="J20" s="212">
        <f>+J13-J19</f>
        <v>871.96</v>
      </c>
      <c r="K20" s="212">
        <f>+K13-K19</f>
        <v>1583.14</v>
      </c>
      <c r="L20" s="212">
        <f>+L13-L19</f>
        <v>258.21000000000004</v>
      </c>
      <c r="M20" s="213">
        <f>SUM(E20:L20)</f>
        <v>13620.7</v>
      </c>
    </row>
    <row r="21" spans="1:14" x14ac:dyDescent="0.2">
      <c r="A21" s="214" t="s">
        <v>27</v>
      </c>
      <c r="B21" s="264">
        <v>51276</v>
      </c>
      <c r="C21" s="265">
        <v>22140.34</v>
      </c>
      <c r="D21" s="213">
        <f>IF(SUM(B21:C21)=0,"",SUM(B21:C21))</f>
        <v>73416.34</v>
      </c>
      <c r="E21" s="266">
        <v>800</v>
      </c>
      <c r="F21" s="267">
        <v>7521</v>
      </c>
      <c r="G21" s="268">
        <v>7187</v>
      </c>
      <c r="H21" s="269">
        <v>8774</v>
      </c>
      <c r="I21" s="270">
        <v>5688</v>
      </c>
      <c r="J21" s="271">
        <v>2164</v>
      </c>
      <c r="K21" s="272">
        <v>3590</v>
      </c>
      <c r="L21" s="273">
        <v>8498</v>
      </c>
      <c r="M21" s="213">
        <f>SUM(E21:L21)</f>
        <v>44222</v>
      </c>
      <c r="N21" s="274"/>
    </row>
    <row r="22" spans="1:14" ht="13.5" thickBot="1" x14ac:dyDescent="0.25">
      <c r="A22" s="216" t="s">
        <v>94</v>
      </c>
      <c r="B22" s="217">
        <f>+B20/B21</f>
        <v>0.52726499726967779</v>
      </c>
      <c r="C22" s="217">
        <f>+C20/C21</f>
        <v>0.4196073773031489</v>
      </c>
      <c r="D22" s="218">
        <f>IF(OR(D20="",D21=""),"",D20/D21)</f>
        <v>0.49479843315534394</v>
      </c>
      <c r="E22" s="217">
        <f>+E20/E21</f>
        <v>0.43861249999999991</v>
      </c>
      <c r="F22" s="217">
        <f t="shared" ref="F22" si="5">+F20/F21</f>
        <v>0.53742587421885391</v>
      </c>
      <c r="G22" s="217">
        <f t="shared" ref="G22:L22" si="6">+G20/G21</f>
        <v>0.43251704466397661</v>
      </c>
      <c r="H22" s="217">
        <f t="shared" si="6"/>
        <v>0.17224071119215867</v>
      </c>
      <c r="I22" s="217">
        <f t="shared" si="6"/>
        <v>0.33311884669479608</v>
      </c>
      <c r="J22" s="217">
        <f t="shared" si="6"/>
        <v>0.40293900184842885</v>
      </c>
      <c r="K22" s="217">
        <f t="shared" si="6"/>
        <v>0.44098607242339838</v>
      </c>
      <c r="L22" s="217">
        <f t="shared" si="6"/>
        <v>3.0384796422687696E-2</v>
      </c>
      <c r="M22" s="218">
        <f>IF(OR(M20="",M21=""),"",M20/M21)</f>
        <v>0.30800732666998326</v>
      </c>
    </row>
    <row r="23" spans="1:14" ht="13.5" thickTop="1" x14ac:dyDescent="0.2">
      <c r="A23" s="219" t="s">
        <v>108</v>
      </c>
      <c r="B23" s="746" t="s">
        <v>102</v>
      </c>
      <c r="C23" s="747"/>
      <c r="D23" s="748"/>
      <c r="E23" s="749" t="s">
        <v>101</v>
      </c>
      <c r="F23" s="750"/>
      <c r="G23" s="750"/>
      <c r="H23" s="750"/>
      <c r="I23" s="750"/>
      <c r="J23" s="750"/>
      <c r="K23" s="750"/>
      <c r="L23" s="750"/>
      <c r="M23" s="751"/>
    </row>
    <row r="24" spans="1:14" ht="13.5" thickBot="1" x14ac:dyDescent="0.25">
      <c r="A24" s="220"/>
      <c r="B24" s="752">
        <f>IF(D22="","",D22)</f>
        <v>0.49479843315534394</v>
      </c>
      <c r="C24" s="752"/>
      <c r="D24" s="752"/>
      <c r="E24" s="753">
        <f>IF(M22="","",M22)</f>
        <v>0.30800732666998326</v>
      </c>
      <c r="F24" s="753"/>
      <c r="G24" s="753"/>
      <c r="H24" s="753"/>
      <c r="I24" s="753"/>
      <c r="J24" s="753"/>
      <c r="K24" s="753"/>
      <c r="L24" s="753"/>
      <c r="M24" s="753"/>
    </row>
    <row r="25" spans="1:14" ht="13.5" thickTop="1" x14ac:dyDescent="0.2">
      <c r="A25" s="221"/>
      <c r="B25" s="221"/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</row>
    <row r="26" spans="1:14" ht="13.5" thickBot="1" x14ac:dyDescent="0.25">
      <c r="A26" s="222" t="s">
        <v>105</v>
      </c>
      <c r="B26" s="223" t="e">
        <f>+(B20+#REF!+#REF!+#REF!)/(#REF!+#REF!+#REF!+#REF!)</f>
        <v>#REF!</v>
      </c>
      <c r="C26" s="223" t="e">
        <f>+(C20+#REF!+#REF!+#REF!)/(#REF!+#REF!+#REF!+#REF!)</f>
        <v>#REF!</v>
      </c>
      <c r="D26" s="223" t="e">
        <f>+(D20+#REF!+#REF!+#REF!)/(#REF!+#REF!+#REF!+#REF!)</f>
        <v>#REF!</v>
      </c>
      <c r="E26" s="224" t="e">
        <f>+(E20+#REF!+#REF!+#REF!)/(#REF!+#REF!+#REF!+#REF!)</f>
        <v>#REF!</v>
      </c>
      <c r="F26" s="224" t="e">
        <f>+(F20+#REF!+#REF!+#REF!)/(#REF!+#REF!+#REF!+#REF!)</f>
        <v>#REF!</v>
      </c>
      <c r="G26" s="224" t="e">
        <f>+(G20+#REF!+#REF!+#REF!)/(#REF!+#REF!+#REF!+#REF!)</f>
        <v>#REF!</v>
      </c>
      <c r="H26" s="224" t="e">
        <f>+(H20+#REF!+#REF!+#REF!)/(#REF!+#REF!+#REF!+#REF!)</f>
        <v>#REF!</v>
      </c>
      <c r="I26" s="224" t="e">
        <f>+(I20+#REF!+#REF!+#REF!)/(#REF!+#REF!+#REF!+#REF!)</f>
        <v>#REF!</v>
      </c>
      <c r="J26" s="224" t="e">
        <f>+(J20+#REF!+#REF!+#REF!)/(#REF!+#REF!+#REF!+#REF!)</f>
        <v>#REF!</v>
      </c>
      <c r="K26" s="224" t="e">
        <f>+(K20+#REF!+#REF!+#REF!)/(#REF!+#REF!+#REF!+#REF!)</f>
        <v>#REF!</v>
      </c>
      <c r="L26" s="224" t="e">
        <f>+(L20+#REF!+#REF!+#REF!)/(#REF!+#REF!+#REF!+#REF!)</f>
        <v>#REF!</v>
      </c>
      <c r="M26" s="224" t="e">
        <f>+(M20+#REF!+#REF!+#REF!)/(#REF!+#REF!+#REF!+#REF!)</f>
        <v>#REF!</v>
      </c>
    </row>
    <row r="27" spans="1:14" ht="13.5" thickBot="1" x14ac:dyDescent="0.25">
      <c r="A27" s="225" t="s">
        <v>99</v>
      </c>
      <c r="B27" s="226">
        <v>0.31</v>
      </c>
      <c r="C27" s="226">
        <v>0.31</v>
      </c>
      <c r="D27" s="226">
        <v>0.31</v>
      </c>
      <c r="E27" s="226">
        <v>0.47</v>
      </c>
      <c r="F27" s="226">
        <v>0.46</v>
      </c>
      <c r="G27" s="226">
        <v>0.3</v>
      </c>
      <c r="H27" s="226">
        <v>0.15</v>
      </c>
      <c r="I27" s="226">
        <v>0.24</v>
      </c>
      <c r="J27" s="226">
        <v>0.2</v>
      </c>
      <c r="K27" s="226">
        <v>0.3</v>
      </c>
      <c r="L27" s="226">
        <v>0.15</v>
      </c>
      <c r="M27" s="227">
        <v>0.25</v>
      </c>
    </row>
    <row r="28" spans="1:14" x14ac:dyDescent="0.2">
      <c r="A28" s="228" t="s">
        <v>106</v>
      </c>
      <c r="B28" s="229">
        <f>+B22-B27</f>
        <v>0.2172649972696778</v>
      </c>
      <c r="C28" s="229">
        <f>+C22-C27</f>
        <v>0.1096073773031489</v>
      </c>
      <c r="D28" s="229">
        <f t="shared" ref="D28:M28" si="7">+D22-D27</f>
        <v>0.18479843315534394</v>
      </c>
      <c r="E28" s="229">
        <f>+E22-E27</f>
        <v>-3.1387500000000068E-2</v>
      </c>
      <c r="F28" s="229">
        <f>+F22-F27</f>
        <v>7.7425874218853885E-2</v>
      </c>
      <c r="G28" s="229">
        <f t="shared" si="7"/>
        <v>0.13251704466397662</v>
      </c>
      <c r="H28" s="229">
        <f t="shared" si="7"/>
        <v>2.2240711192158674E-2</v>
      </c>
      <c r="I28" s="229">
        <f t="shared" si="7"/>
        <v>9.3118846694796087E-2</v>
      </c>
      <c r="J28" s="229">
        <f t="shared" si="7"/>
        <v>0.20293900184842883</v>
      </c>
      <c r="K28" s="229">
        <f t="shared" si="7"/>
        <v>0.14098607242339839</v>
      </c>
      <c r="L28" s="229">
        <f t="shared" si="7"/>
        <v>-0.1196152035773123</v>
      </c>
      <c r="M28" s="229">
        <f t="shared" si="7"/>
        <v>5.8007326669983261E-2</v>
      </c>
    </row>
    <row r="29" spans="1:14" x14ac:dyDescent="0.2">
      <c r="A29" s="231" t="s">
        <v>107</v>
      </c>
      <c r="B29" s="232" t="e">
        <f>+B26-B27</f>
        <v>#REF!</v>
      </c>
      <c r="C29" s="232" t="e">
        <f t="shared" ref="C29:M29" si="8">+C26-C27</f>
        <v>#REF!</v>
      </c>
      <c r="D29" s="232" t="e">
        <f t="shared" si="8"/>
        <v>#REF!</v>
      </c>
      <c r="E29" s="232" t="e">
        <f>+E26-E27</f>
        <v>#REF!</v>
      </c>
      <c r="F29" s="232" t="e">
        <f t="shared" si="8"/>
        <v>#REF!</v>
      </c>
      <c r="G29" s="232" t="e">
        <f t="shared" si="8"/>
        <v>#REF!</v>
      </c>
      <c r="H29" s="232" t="e">
        <f t="shared" si="8"/>
        <v>#REF!</v>
      </c>
      <c r="I29" s="232" t="e">
        <f t="shared" si="8"/>
        <v>#REF!</v>
      </c>
      <c r="J29" s="232" t="e">
        <f t="shared" si="8"/>
        <v>#REF!</v>
      </c>
      <c r="K29" s="232" t="e">
        <f t="shared" si="8"/>
        <v>#REF!</v>
      </c>
      <c r="L29" s="232" t="e">
        <f t="shared" si="8"/>
        <v>#REF!</v>
      </c>
      <c r="M29" s="232" t="e">
        <f t="shared" si="8"/>
        <v>#REF!</v>
      </c>
    </row>
    <row r="30" spans="1:14" x14ac:dyDescent="0.2">
      <c r="A30" s="233"/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</row>
    <row r="31" spans="1:14" x14ac:dyDescent="0.2">
      <c r="A31" s="221"/>
      <c r="B31" s="754" t="s">
        <v>97</v>
      </c>
      <c r="C31" s="754"/>
      <c r="D31" s="754"/>
      <c r="E31" s="754"/>
      <c r="F31" s="754"/>
      <c r="G31" s="754"/>
      <c r="H31" s="754"/>
      <c r="I31" s="754"/>
      <c r="J31" s="754"/>
      <c r="K31" s="754"/>
      <c r="L31" s="754"/>
      <c r="M31" s="754"/>
    </row>
    <row r="32" spans="1:14" x14ac:dyDescent="0.2">
      <c r="A32" s="235"/>
      <c r="B32" s="763" t="s">
        <v>3</v>
      </c>
      <c r="C32" s="744" t="s">
        <v>90</v>
      </c>
      <c r="D32" s="745" t="s">
        <v>93</v>
      </c>
      <c r="E32" s="743" t="s">
        <v>91</v>
      </c>
      <c r="F32" s="743" t="s">
        <v>92</v>
      </c>
      <c r="G32" s="743" t="s">
        <v>83</v>
      </c>
      <c r="H32" s="743" t="s">
        <v>84</v>
      </c>
      <c r="I32" s="743" t="s">
        <v>86</v>
      </c>
      <c r="J32" s="743" t="s">
        <v>85</v>
      </c>
      <c r="K32" s="743" t="s">
        <v>89</v>
      </c>
      <c r="L32" s="743" t="s">
        <v>87</v>
      </c>
      <c r="M32" s="737" t="s">
        <v>88</v>
      </c>
    </row>
    <row r="33" spans="1:17" x14ac:dyDescent="0.2">
      <c r="A33" s="236"/>
      <c r="B33" s="763"/>
      <c r="C33" s="744"/>
      <c r="D33" s="745"/>
      <c r="E33" s="743"/>
      <c r="F33" s="743"/>
      <c r="G33" s="743"/>
      <c r="H33" s="743"/>
      <c r="I33" s="743"/>
      <c r="J33" s="743"/>
      <c r="K33" s="743"/>
      <c r="L33" s="743"/>
      <c r="M33" s="737"/>
      <c r="O33" s="263" t="s">
        <v>119</v>
      </c>
      <c r="P33" s="263" t="s">
        <v>121</v>
      </c>
    </row>
    <row r="34" spans="1:17" x14ac:dyDescent="0.2">
      <c r="A34" s="237" t="s">
        <v>110</v>
      </c>
      <c r="B34" s="238"/>
      <c r="C34" s="238">
        <v>745.45</v>
      </c>
      <c r="D34" s="239">
        <f>+B34+C34</f>
        <v>745.45</v>
      </c>
      <c r="E34" s="238"/>
      <c r="F34" s="238"/>
      <c r="G34" s="261">
        <f>66+490.16</f>
        <v>556.16000000000008</v>
      </c>
      <c r="H34" s="238"/>
      <c r="I34" s="238"/>
      <c r="J34" s="261">
        <v>355</v>
      </c>
      <c r="K34" s="238"/>
      <c r="L34" s="261">
        <v>66</v>
      </c>
      <c r="M34" s="240">
        <f>+G34+J34+L34</f>
        <v>977.16000000000008</v>
      </c>
      <c r="N34" s="263" t="s">
        <v>87</v>
      </c>
      <c r="O34" s="263">
        <v>561</v>
      </c>
      <c r="P34" s="263">
        <v>627</v>
      </c>
      <c r="Q34">
        <f>+P34-O34</f>
        <v>66</v>
      </c>
    </row>
    <row r="35" spans="1:17" x14ac:dyDescent="0.2">
      <c r="A35" s="214" t="s">
        <v>27</v>
      </c>
      <c r="B35" s="241"/>
      <c r="C35" s="242">
        <v>2981.82</v>
      </c>
      <c r="D35" s="243">
        <f>IF(SUM(B35:C35)=0,"",SUM(B35:C35))</f>
        <v>2981.82</v>
      </c>
      <c r="E35" s="242"/>
      <c r="F35" s="242"/>
      <c r="G35" s="261">
        <v>3523</v>
      </c>
      <c r="H35" s="242"/>
      <c r="I35" s="242"/>
      <c r="J35" s="261">
        <v>3201</v>
      </c>
      <c r="K35" s="242"/>
      <c r="L35" s="261">
        <v>2117</v>
      </c>
      <c r="M35" s="243">
        <f>SUM(E35:L35)</f>
        <v>8841</v>
      </c>
      <c r="N35" s="259" t="s">
        <v>83</v>
      </c>
      <c r="O35" s="259">
        <v>702.8</v>
      </c>
      <c r="P35" s="263">
        <v>889</v>
      </c>
      <c r="Q35">
        <f>+P35-O35</f>
        <v>186.20000000000005</v>
      </c>
    </row>
    <row r="36" spans="1:17" ht="13.5" thickBot="1" x14ac:dyDescent="0.25">
      <c r="A36" s="260"/>
      <c r="B36" s="244"/>
      <c r="C36" s="244">
        <f>+C34/C35</f>
        <v>0.24999832317175416</v>
      </c>
      <c r="D36" s="244">
        <f>IF(OR(D34="",D35=""),"",D34/D35)</f>
        <v>0.24999832317175416</v>
      </c>
      <c r="E36" s="244"/>
      <c r="F36" s="244"/>
      <c r="G36" s="262">
        <f>+G34/G35</f>
        <v>0.15786545557763274</v>
      </c>
      <c r="H36" s="244"/>
      <c r="I36" s="244"/>
      <c r="J36" s="262">
        <f>+J34/J35</f>
        <v>0.11090284286160575</v>
      </c>
      <c r="K36" s="244"/>
      <c r="L36" s="262">
        <f>+L34/L35</f>
        <v>3.1176192725555031E-2</v>
      </c>
      <c r="M36" s="245"/>
      <c r="N36" s="259" t="s">
        <v>85</v>
      </c>
      <c r="O36" s="259">
        <v>88.38</v>
      </c>
      <c r="P36" s="263">
        <v>88.25</v>
      </c>
      <c r="Q36">
        <f>+P36-O36</f>
        <v>-0.12999999999999545</v>
      </c>
    </row>
    <row r="37" spans="1:17" ht="13.5" thickTop="1" x14ac:dyDescent="0.2">
      <c r="A37" s="738" t="s">
        <v>94</v>
      </c>
      <c r="B37" s="740" t="s">
        <v>95</v>
      </c>
      <c r="C37" s="740"/>
      <c r="D37" s="740"/>
      <c r="E37" s="741" t="s">
        <v>98</v>
      </c>
      <c r="F37" s="741"/>
      <c r="G37" s="741"/>
      <c r="H37" s="741"/>
      <c r="I37" s="741"/>
      <c r="J37" s="741"/>
      <c r="K37" s="741"/>
      <c r="L37" s="741"/>
      <c r="M37" s="741"/>
      <c r="O37" s="263"/>
    </row>
    <row r="38" spans="1:17" ht="13.5" thickBot="1" x14ac:dyDescent="0.25">
      <c r="A38" s="739"/>
      <c r="B38" s="742">
        <f>IF(D36="","",D36)</f>
        <v>0.24999832317175416</v>
      </c>
      <c r="C38" s="742"/>
      <c r="D38" s="742"/>
      <c r="E38" s="742">
        <f>+M34/M35</f>
        <v>0.11052595860196811</v>
      </c>
      <c r="F38" s="742"/>
      <c r="G38" s="742"/>
      <c r="H38" s="742"/>
      <c r="I38" s="742"/>
      <c r="J38" s="742"/>
      <c r="K38" s="742"/>
      <c r="L38" s="742"/>
      <c r="M38" s="742"/>
    </row>
    <row r="39" spans="1:17" ht="13.5" thickTop="1" x14ac:dyDescent="0.2"/>
  </sheetData>
  <mergeCells count="38">
    <mergeCell ref="M32:M33"/>
    <mergeCell ref="A37:A38"/>
    <mergeCell ref="B37:D37"/>
    <mergeCell ref="E37:M37"/>
    <mergeCell ref="B38:D38"/>
    <mergeCell ref="E38:M38"/>
    <mergeCell ref="G32:G33"/>
    <mergeCell ref="H32:H33"/>
    <mergeCell ref="I32:I33"/>
    <mergeCell ref="J32:J33"/>
    <mergeCell ref="K32:K33"/>
    <mergeCell ref="L32:L33"/>
    <mergeCell ref="B32:B33"/>
    <mergeCell ref="C32:C33"/>
    <mergeCell ref="D32:D33"/>
    <mergeCell ref="E32:E33"/>
    <mergeCell ref="B23:D23"/>
    <mergeCell ref="E23:M23"/>
    <mergeCell ref="B24:D24"/>
    <mergeCell ref="E24:M24"/>
    <mergeCell ref="B31:M31"/>
    <mergeCell ref="F32:F33"/>
    <mergeCell ref="H4:H5"/>
    <mergeCell ref="I4:I5"/>
    <mergeCell ref="J4:J5"/>
    <mergeCell ref="K4:K5"/>
    <mergeCell ref="L4:L5"/>
    <mergeCell ref="M4:M5"/>
    <mergeCell ref="B1:M1"/>
    <mergeCell ref="B2:M2"/>
    <mergeCell ref="B3:D3"/>
    <mergeCell ref="E3:M3"/>
    <mergeCell ref="B4:B5"/>
    <mergeCell ref="C4:C5"/>
    <mergeCell ref="D4:D5"/>
    <mergeCell ref="E4:E5"/>
    <mergeCell ref="F4:F5"/>
    <mergeCell ref="G4:G5"/>
  </mergeCells>
  <conditionalFormatting sqref="B30:M30">
    <cfRule type="cellIs" dxfId="25" priority="2" operator="greaterThan">
      <formula>0.13</formula>
    </cfRule>
    <cfRule type="cellIs" dxfId="24" priority="3" operator="greaterThan">
      <formula>0.13</formula>
    </cfRule>
    <cfRule type="cellIs" dxfId="23" priority="4" operator="greaterThan">
      <formula>0.03</formula>
    </cfRule>
    <cfRule type="cellIs" dxfId="22" priority="5" operator="greaterThan">
      <formula>0</formula>
    </cfRule>
  </conditionalFormatting>
  <conditionalFormatting sqref="B28:M29">
    <cfRule type="cellIs" dxfId="21" priority="1" operator="greaterThan">
      <formula>0.01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pageSetUpPr fitToPage="1"/>
  </sheetPr>
  <dimension ref="A1:Q39"/>
  <sheetViews>
    <sheetView topLeftCell="A16" workbookViewId="0">
      <selection activeCell="N36" sqref="N36"/>
    </sheetView>
  </sheetViews>
  <sheetFormatPr baseColWidth="10" defaultRowHeight="12.75" x14ac:dyDescent="0.2"/>
  <cols>
    <col min="1" max="1" width="26.140625" customWidth="1"/>
  </cols>
  <sheetData>
    <row r="1" spans="1:15" x14ac:dyDescent="0.2">
      <c r="A1" s="276"/>
      <c r="B1" s="757" t="s">
        <v>123</v>
      </c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</row>
    <row r="2" spans="1:15" x14ac:dyDescent="0.2">
      <c r="A2" s="276"/>
      <c r="B2" s="758" t="s">
        <v>96</v>
      </c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</row>
    <row r="3" spans="1:15" x14ac:dyDescent="0.2">
      <c r="A3" s="187"/>
      <c r="B3" s="759" t="s">
        <v>103</v>
      </c>
      <c r="C3" s="759"/>
      <c r="D3" s="759"/>
      <c r="E3" s="760" t="s">
        <v>104</v>
      </c>
      <c r="F3" s="760"/>
      <c r="G3" s="760"/>
      <c r="H3" s="760"/>
      <c r="I3" s="760"/>
      <c r="J3" s="760"/>
      <c r="K3" s="760"/>
      <c r="L3" s="760"/>
      <c r="M3" s="760"/>
    </row>
    <row r="4" spans="1:15" x14ac:dyDescent="0.2">
      <c r="A4" s="187"/>
      <c r="B4" s="763" t="s">
        <v>3</v>
      </c>
      <c r="C4" s="759" t="s">
        <v>90</v>
      </c>
      <c r="D4" s="761" t="s">
        <v>93</v>
      </c>
      <c r="E4" s="755" t="s">
        <v>91</v>
      </c>
      <c r="F4" s="755" t="s">
        <v>100</v>
      </c>
      <c r="G4" s="755" t="s">
        <v>83</v>
      </c>
      <c r="H4" s="755" t="s">
        <v>84</v>
      </c>
      <c r="I4" s="755" t="s">
        <v>86</v>
      </c>
      <c r="J4" s="755" t="s">
        <v>85</v>
      </c>
      <c r="K4" s="755" t="s">
        <v>89</v>
      </c>
      <c r="L4" s="755" t="s">
        <v>87</v>
      </c>
      <c r="M4" s="756" t="s">
        <v>88</v>
      </c>
    </row>
    <row r="5" spans="1:15" x14ac:dyDescent="0.2">
      <c r="A5" s="188"/>
      <c r="B5" s="763"/>
      <c r="C5" s="759"/>
      <c r="D5" s="761"/>
      <c r="E5" s="755"/>
      <c r="F5" s="755"/>
      <c r="G5" s="755"/>
      <c r="H5" s="755"/>
      <c r="I5" s="755"/>
      <c r="J5" s="755"/>
      <c r="K5" s="755"/>
      <c r="L5" s="755"/>
      <c r="M5" s="756"/>
    </row>
    <row r="6" spans="1:15" x14ac:dyDescent="0.2">
      <c r="A6" s="189" t="s">
        <v>9</v>
      </c>
      <c r="B6" s="190"/>
      <c r="C6" s="191"/>
      <c r="D6" s="192"/>
      <c r="E6" s="191"/>
      <c r="F6" s="191"/>
      <c r="G6" s="191"/>
      <c r="H6" s="191"/>
      <c r="I6" s="191"/>
      <c r="J6" s="191"/>
      <c r="K6" s="191"/>
      <c r="L6" s="191"/>
      <c r="M6" s="193"/>
    </row>
    <row r="7" spans="1:15" x14ac:dyDescent="0.2">
      <c r="A7" s="194" t="s">
        <v>10</v>
      </c>
      <c r="B7" s="195">
        <v>9514</v>
      </c>
      <c r="C7" s="195">
        <v>2398</v>
      </c>
      <c r="D7" s="196">
        <f>+B7+C7</f>
        <v>11912</v>
      </c>
      <c r="E7" s="195">
        <v>347</v>
      </c>
      <c r="F7" s="195">
        <v>1843</v>
      </c>
      <c r="G7" s="195">
        <v>2872</v>
      </c>
      <c r="H7" s="195">
        <v>2790</v>
      </c>
      <c r="I7" s="195">
        <v>1595</v>
      </c>
      <c r="J7" s="195">
        <v>544</v>
      </c>
      <c r="K7" s="195">
        <v>1328</v>
      </c>
      <c r="L7" s="195">
        <v>2051</v>
      </c>
      <c r="M7" s="197">
        <f>+SUM(E7:L7)</f>
        <v>13370</v>
      </c>
    </row>
    <row r="8" spans="1:15" x14ac:dyDescent="0.2">
      <c r="A8" s="198" t="s">
        <v>11</v>
      </c>
      <c r="B8" s="196">
        <v>21742</v>
      </c>
      <c r="C8" s="196">
        <v>4022.73</v>
      </c>
      <c r="D8" s="196">
        <f>+B8+C8</f>
        <v>25764.73</v>
      </c>
      <c r="E8" s="196">
        <v>668.88</v>
      </c>
      <c r="F8" s="196">
        <v>2539.33</v>
      </c>
      <c r="G8" s="196">
        <v>1733.32</v>
      </c>
      <c r="H8" s="196">
        <v>836.26</v>
      </c>
      <c r="I8" s="196">
        <v>1507.39</v>
      </c>
      <c r="J8" s="196">
        <v>360.6</v>
      </c>
      <c r="K8" s="196">
        <v>1654.38</v>
      </c>
      <c r="L8" s="196">
        <v>1744.79</v>
      </c>
      <c r="M8" s="197">
        <f>+L8+K8+J8+I8+H8+G8+F8+E8</f>
        <v>11044.949999999999</v>
      </c>
    </row>
    <row r="9" spans="1:15" x14ac:dyDescent="0.2">
      <c r="A9" s="198" t="s">
        <v>12</v>
      </c>
      <c r="B9" s="195"/>
      <c r="C9" s="195"/>
      <c r="D9" s="196" t="str">
        <f>IF(SUM(B9:C9)=0,"",SUM(B9:C9))</f>
        <v/>
      </c>
      <c r="E9" s="195"/>
      <c r="F9" s="195"/>
      <c r="G9" s="195"/>
      <c r="H9" s="195"/>
      <c r="I9" s="195"/>
      <c r="J9" s="195"/>
      <c r="K9" s="195"/>
      <c r="L9" s="195"/>
      <c r="M9" s="197" t="str">
        <f>IF(SUM(F9:K9)=0,"",SUM(F9:K9))</f>
        <v/>
      </c>
    </row>
    <row r="10" spans="1:15" x14ac:dyDescent="0.2">
      <c r="A10" s="198" t="s">
        <v>13</v>
      </c>
      <c r="B10" s="199"/>
      <c r="C10" s="199"/>
      <c r="D10" s="196" t="str">
        <f>IF(SUM(B10:C10)=0,"",SUM(B10:C10))</f>
        <v/>
      </c>
      <c r="E10" s="190"/>
      <c r="F10" s="199"/>
      <c r="G10" s="199"/>
      <c r="H10" s="199"/>
      <c r="I10" s="199"/>
      <c r="J10" s="199"/>
      <c r="K10" s="199"/>
      <c r="L10" s="199"/>
      <c r="M10" s="197" t="str">
        <f>IF(SUM(F10:K10)=0,"",SUM(F10:K10))</f>
        <v/>
      </c>
    </row>
    <row r="11" spans="1:15" x14ac:dyDescent="0.2">
      <c r="A11" s="198" t="s">
        <v>14</v>
      </c>
      <c r="B11" s="195"/>
      <c r="C11" s="195"/>
      <c r="D11" s="196" t="str">
        <f>IF(SUM(B11:C11)=0,"",SUM(B11:C11))</f>
        <v/>
      </c>
      <c r="E11" s="195"/>
      <c r="F11" s="195"/>
      <c r="G11" s="195"/>
      <c r="H11" s="195"/>
      <c r="I11" s="195"/>
      <c r="J11" s="195"/>
      <c r="K11" s="195"/>
      <c r="L11" s="195"/>
      <c r="M11" s="197" t="str">
        <f>IF(SUM(F11:K11)=0,"",SUM(F11:K11))</f>
        <v/>
      </c>
    </row>
    <row r="12" spans="1:15" x14ac:dyDescent="0.2">
      <c r="A12" s="194" t="s">
        <v>15</v>
      </c>
      <c r="B12" s="196">
        <v>21742</v>
      </c>
      <c r="C12" s="196">
        <v>4023</v>
      </c>
      <c r="D12" s="196">
        <f>IF(SUM(B12:C12)=0,"",SUM(B12:C12))</f>
        <v>25765</v>
      </c>
      <c r="E12" s="196">
        <v>669</v>
      </c>
      <c r="F12" s="196">
        <v>2539</v>
      </c>
      <c r="G12" s="196">
        <v>1733</v>
      </c>
      <c r="H12" s="196">
        <v>836</v>
      </c>
      <c r="I12" s="196">
        <v>1507</v>
      </c>
      <c r="J12" s="196">
        <v>361</v>
      </c>
      <c r="K12" s="196">
        <v>1654</v>
      </c>
      <c r="L12" s="196">
        <v>1745</v>
      </c>
      <c r="M12" s="197">
        <f>SUM(E12:L12)</f>
        <v>11044</v>
      </c>
      <c r="O12" s="275"/>
    </row>
    <row r="13" spans="1:15" x14ac:dyDescent="0.2">
      <c r="A13" s="200" t="s">
        <v>16</v>
      </c>
      <c r="B13" s="201">
        <f>+B7+B12</f>
        <v>31256</v>
      </c>
      <c r="C13" s="201">
        <f>+C12+C7</f>
        <v>6421</v>
      </c>
      <c r="D13" s="201">
        <f>IF(AND(D7="",D12=""),"",SUM(D7,D12))</f>
        <v>37677</v>
      </c>
      <c r="E13" s="201">
        <f>+E12+E7</f>
        <v>1016</v>
      </c>
      <c r="F13" s="201">
        <f>+F12+F7</f>
        <v>4382</v>
      </c>
      <c r="G13" s="201">
        <f>+G12+G7</f>
        <v>4605</v>
      </c>
      <c r="H13" s="201">
        <f t="shared" ref="H13:J13" si="0">+H12+H7</f>
        <v>3626</v>
      </c>
      <c r="I13" s="201">
        <f t="shared" si="0"/>
        <v>3102</v>
      </c>
      <c r="J13" s="201">
        <f t="shared" si="0"/>
        <v>905</v>
      </c>
      <c r="K13" s="201">
        <f>+K12+K8</f>
        <v>3308.38</v>
      </c>
      <c r="L13" s="201">
        <f>+L12+L7</f>
        <v>3796</v>
      </c>
      <c r="M13" s="197">
        <f>SUM(E13:L13)</f>
        <v>24740.38</v>
      </c>
    </row>
    <row r="14" spans="1:15" x14ac:dyDescent="0.2">
      <c r="A14" s="203" t="s">
        <v>17</v>
      </c>
      <c r="B14" s="204"/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</row>
    <row r="15" spans="1:15" x14ac:dyDescent="0.2">
      <c r="A15" s="205" t="s">
        <v>18</v>
      </c>
      <c r="B15" s="206">
        <v>10015.91</v>
      </c>
      <c r="C15" s="206">
        <v>3646.61</v>
      </c>
      <c r="D15" s="207">
        <f>+B15+C15</f>
        <v>13662.52</v>
      </c>
      <c r="E15" s="206">
        <v>611.76</v>
      </c>
      <c r="F15" s="206">
        <v>1579.41</v>
      </c>
      <c r="G15" s="206">
        <v>3279.46</v>
      </c>
      <c r="H15" s="206">
        <v>2534.7399999999998</v>
      </c>
      <c r="I15" s="206">
        <v>1597.96</v>
      </c>
      <c r="J15" s="206">
        <v>846.62</v>
      </c>
      <c r="K15" s="206">
        <v>864.61</v>
      </c>
      <c r="L15" s="206">
        <v>1180.92</v>
      </c>
      <c r="M15" s="208">
        <f>+SUM(E15:L15)</f>
        <v>12495.480000000001</v>
      </c>
    </row>
    <row r="16" spans="1:15" x14ac:dyDescent="0.2">
      <c r="A16" s="205" t="s">
        <v>19</v>
      </c>
      <c r="B16" s="206">
        <v>3597</v>
      </c>
      <c r="C16" s="204"/>
      <c r="D16" s="207">
        <f>IF(SUM(B16:C16)=0,"",SUM(B16:C16))</f>
        <v>3597</v>
      </c>
      <c r="E16" s="204"/>
      <c r="F16" s="204"/>
      <c r="G16" s="204"/>
      <c r="H16" s="204"/>
      <c r="I16" s="204"/>
      <c r="J16" s="204"/>
      <c r="K16" s="204"/>
      <c r="L16" s="204"/>
      <c r="M16" s="204"/>
    </row>
    <row r="17" spans="1:14" x14ac:dyDescent="0.2">
      <c r="A17" s="205" t="s">
        <v>82</v>
      </c>
      <c r="B17" s="206"/>
      <c r="C17" s="204"/>
      <c r="D17" s="207" t="str">
        <f>IF(SUM(B17:C17)=0,"",SUM(B17:C17))</f>
        <v/>
      </c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4" x14ac:dyDescent="0.2">
      <c r="A18" s="205" t="s">
        <v>57</v>
      </c>
      <c r="B18" s="206">
        <v>252</v>
      </c>
      <c r="C18" s="206">
        <v>69.25</v>
      </c>
      <c r="D18" s="207">
        <f>IF(SUM(B18:C18)=0,"",SUM(B18:C18))</f>
        <v>321.25</v>
      </c>
      <c r="E18" s="206"/>
      <c r="F18" s="206">
        <v>3.4</v>
      </c>
      <c r="G18" s="206">
        <v>15.65</v>
      </c>
      <c r="H18" s="206">
        <v>12.05</v>
      </c>
      <c r="I18" s="206">
        <v>7.22</v>
      </c>
      <c r="J18" s="206"/>
      <c r="K18" s="206">
        <v>50</v>
      </c>
      <c r="L18" s="206">
        <v>31.35</v>
      </c>
      <c r="M18" s="208">
        <f>IF(SUM(F18:L18)=0,"",SUM(F18:L18))</f>
        <v>119.66999999999999</v>
      </c>
    </row>
    <row r="19" spans="1:14" ht="13.5" thickBot="1" x14ac:dyDescent="0.25">
      <c r="A19" s="209" t="s">
        <v>25</v>
      </c>
      <c r="B19" s="210">
        <f t="shared" ref="B19:G19" si="1">SUM(B15:B18)</f>
        <v>13864.91</v>
      </c>
      <c r="C19" s="210">
        <f t="shared" si="1"/>
        <v>3715.86</v>
      </c>
      <c r="D19" s="210">
        <f t="shared" si="1"/>
        <v>17580.77</v>
      </c>
      <c r="E19" s="210">
        <f t="shared" si="1"/>
        <v>611.76</v>
      </c>
      <c r="F19" s="210">
        <f t="shared" si="1"/>
        <v>1582.8100000000002</v>
      </c>
      <c r="G19" s="210">
        <f t="shared" si="1"/>
        <v>3295.11</v>
      </c>
      <c r="H19" s="210">
        <f t="shared" ref="H19:L19" si="2">SUM(H15:H18)</f>
        <v>2546.79</v>
      </c>
      <c r="I19" s="210">
        <f t="shared" si="2"/>
        <v>1605.18</v>
      </c>
      <c r="J19" s="210">
        <f t="shared" si="2"/>
        <v>846.62</v>
      </c>
      <c r="K19" s="210">
        <f t="shared" si="2"/>
        <v>914.61</v>
      </c>
      <c r="L19" s="210">
        <f t="shared" si="2"/>
        <v>1212.27</v>
      </c>
      <c r="M19" s="210">
        <f>SUM(M15:M18)</f>
        <v>12615.150000000001</v>
      </c>
    </row>
    <row r="20" spans="1:14" ht="13.5" thickTop="1" x14ac:dyDescent="0.2">
      <c r="A20" s="211" t="s">
        <v>26</v>
      </c>
      <c r="B20" s="212">
        <f>+B13-B19</f>
        <v>17391.09</v>
      </c>
      <c r="C20" s="212">
        <f>C13-C19</f>
        <v>2705.14</v>
      </c>
      <c r="D20" s="213">
        <f>IF(SUM(B20:C20)=0,"",SUM(B20:C20))</f>
        <v>20096.23</v>
      </c>
      <c r="E20" s="213">
        <f>E13-E19</f>
        <v>404.24</v>
      </c>
      <c r="F20" s="212">
        <f t="shared" ref="F20:I20" si="3">+F13-F19</f>
        <v>2799.1899999999996</v>
      </c>
      <c r="G20" s="212">
        <f>+G13-G19</f>
        <v>1309.8899999999999</v>
      </c>
      <c r="H20" s="212">
        <f>+H13-H19</f>
        <v>1079.21</v>
      </c>
      <c r="I20" s="212">
        <f t="shared" si="3"/>
        <v>1496.82</v>
      </c>
      <c r="J20" s="212">
        <f>+J13-J19</f>
        <v>58.379999999999995</v>
      </c>
      <c r="K20" s="212">
        <f>+K13-K19</f>
        <v>2393.77</v>
      </c>
      <c r="L20" s="212">
        <f>+L13-L19</f>
        <v>2583.73</v>
      </c>
      <c r="M20" s="213">
        <f>SUM(E20:L20)</f>
        <v>12123.98</v>
      </c>
    </row>
    <row r="21" spans="1:14" x14ac:dyDescent="0.2">
      <c r="A21" s="214" t="s">
        <v>27</v>
      </c>
      <c r="B21" s="264">
        <v>31404.66</v>
      </c>
      <c r="C21" s="265">
        <v>12090.99</v>
      </c>
      <c r="D21" s="213">
        <f>IF(SUM(B21:C21)=0,"",SUM(B21:C21))</f>
        <v>43495.65</v>
      </c>
      <c r="E21" s="266">
        <v>741.7</v>
      </c>
      <c r="F21" s="267">
        <v>6079.65</v>
      </c>
      <c r="G21" s="268">
        <v>7231.6</v>
      </c>
      <c r="H21" s="269">
        <v>6962.92</v>
      </c>
      <c r="I21" s="270">
        <v>4425.12</v>
      </c>
      <c r="J21" s="271">
        <v>2047.16</v>
      </c>
      <c r="K21" s="272">
        <v>3114.11</v>
      </c>
      <c r="L21" s="273">
        <v>10084.02</v>
      </c>
      <c r="M21" s="213">
        <f>SUM(E21:L21)</f>
        <v>40686.28</v>
      </c>
      <c r="N21" s="274"/>
    </row>
    <row r="22" spans="1:14" ht="13.5" thickBot="1" x14ac:dyDescent="0.25">
      <c r="A22" s="216" t="s">
        <v>94</v>
      </c>
      <c r="B22" s="217">
        <f>+B20/B21</f>
        <v>0.55377418510501308</v>
      </c>
      <c r="C22" s="217">
        <f>+C20/C21</f>
        <v>0.22373188630542246</v>
      </c>
      <c r="D22" s="218">
        <f>IF(OR(D20="",D21=""),"",D20/D21)</f>
        <v>0.46202850170074478</v>
      </c>
      <c r="E22" s="217">
        <f t="shared" ref="E22:L22" si="4">+E20/E21</f>
        <v>0.54333288391532963</v>
      </c>
      <c r="F22" s="217">
        <f t="shared" si="4"/>
        <v>0.4604195965228261</v>
      </c>
      <c r="G22" s="217">
        <f t="shared" si="4"/>
        <v>0.18113418883787819</v>
      </c>
      <c r="H22" s="217">
        <f t="shared" si="4"/>
        <v>0.1549938818771435</v>
      </c>
      <c r="I22" s="217">
        <f t="shared" si="4"/>
        <v>0.33825523375637268</v>
      </c>
      <c r="J22" s="217">
        <f t="shared" si="4"/>
        <v>2.8517556028839951E-2</v>
      </c>
      <c r="K22" s="217">
        <f t="shared" si="4"/>
        <v>0.76868511388486593</v>
      </c>
      <c r="L22" s="217">
        <f t="shared" si="4"/>
        <v>0.25622023756398737</v>
      </c>
      <c r="M22" s="218">
        <f>IF(OR(M20="",M21=""),"",M20/M21)</f>
        <v>0.29798693810296739</v>
      </c>
    </row>
    <row r="23" spans="1:14" ht="13.5" thickTop="1" x14ac:dyDescent="0.2">
      <c r="A23" s="219" t="s">
        <v>108</v>
      </c>
      <c r="B23" s="746" t="s">
        <v>102</v>
      </c>
      <c r="C23" s="747"/>
      <c r="D23" s="748"/>
      <c r="E23" s="749" t="s">
        <v>101</v>
      </c>
      <c r="F23" s="750"/>
      <c r="G23" s="750"/>
      <c r="H23" s="750"/>
      <c r="I23" s="750"/>
      <c r="J23" s="750"/>
      <c r="K23" s="750"/>
      <c r="L23" s="750"/>
      <c r="M23" s="751"/>
    </row>
    <row r="24" spans="1:14" ht="13.5" thickBot="1" x14ac:dyDescent="0.25">
      <c r="A24" s="220"/>
      <c r="B24" s="752">
        <f>IF(D22="","",D22)</f>
        <v>0.46202850170074478</v>
      </c>
      <c r="C24" s="752"/>
      <c r="D24" s="752"/>
      <c r="E24" s="753">
        <f>IF(M22="","",M22)</f>
        <v>0.29798693810296739</v>
      </c>
      <c r="F24" s="753"/>
      <c r="G24" s="753"/>
      <c r="H24" s="753"/>
      <c r="I24" s="753"/>
      <c r="J24" s="753"/>
      <c r="K24" s="753"/>
      <c r="L24" s="753"/>
      <c r="M24" s="753"/>
    </row>
    <row r="25" spans="1:14" ht="13.5" thickTop="1" x14ac:dyDescent="0.2">
      <c r="A25" s="221"/>
      <c r="B25" s="221"/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</row>
    <row r="26" spans="1:14" ht="13.5" thickBot="1" x14ac:dyDescent="0.25">
      <c r="A26" s="222" t="s">
        <v>105</v>
      </c>
      <c r="B26" s="223" t="e">
        <f>+(B20+#REF!+#REF!+#REF!)/(#REF!+#REF!+#REF!+#REF!)</f>
        <v>#REF!</v>
      </c>
      <c r="C26" s="223" t="e">
        <f>+(C20+#REF!+#REF!+#REF!)/(#REF!+#REF!+#REF!+#REF!)</f>
        <v>#REF!</v>
      </c>
      <c r="D26" s="223" t="e">
        <f>+(D20+#REF!+#REF!+#REF!)/(#REF!+#REF!+#REF!+#REF!)</f>
        <v>#REF!</v>
      </c>
      <c r="E26" s="224" t="e">
        <f>+(E20+#REF!+#REF!+#REF!)/(#REF!+#REF!+#REF!+#REF!)</f>
        <v>#REF!</v>
      </c>
      <c r="F26" s="224" t="e">
        <f>+(F20+#REF!+#REF!+#REF!)/(#REF!+#REF!+#REF!+#REF!)</f>
        <v>#REF!</v>
      </c>
      <c r="G26" s="224" t="e">
        <f>+(G20+#REF!+#REF!+#REF!)/(#REF!+#REF!+#REF!+#REF!)</f>
        <v>#REF!</v>
      </c>
      <c r="H26" s="224" t="e">
        <f>+(H20+#REF!+#REF!+#REF!)/(#REF!+#REF!+#REF!+#REF!)</f>
        <v>#REF!</v>
      </c>
      <c r="I26" s="224" t="e">
        <f>+(I20+#REF!+#REF!+#REF!)/(#REF!+#REF!+#REF!+#REF!)</f>
        <v>#REF!</v>
      </c>
      <c r="J26" s="224" t="e">
        <f>+(J20+#REF!+#REF!+#REF!)/(#REF!+#REF!+#REF!+#REF!)</f>
        <v>#REF!</v>
      </c>
      <c r="K26" s="224" t="e">
        <f>+(K20+#REF!+#REF!+#REF!)/(#REF!+#REF!+#REF!+#REF!)</f>
        <v>#REF!</v>
      </c>
      <c r="L26" s="224" t="e">
        <f>+(L20+#REF!+#REF!+#REF!)/(#REF!+#REF!+#REF!+#REF!)</f>
        <v>#REF!</v>
      </c>
      <c r="M26" s="224" t="e">
        <f>+(M20+#REF!+#REF!+#REF!)/(#REF!+#REF!+#REF!+#REF!)</f>
        <v>#REF!</v>
      </c>
    </row>
    <row r="27" spans="1:14" ht="13.5" thickBot="1" x14ac:dyDescent="0.25">
      <c r="A27" s="225" t="s">
        <v>99</v>
      </c>
      <c r="B27" s="226">
        <v>0.31</v>
      </c>
      <c r="C27" s="226">
        <v>0.31</v>
      </c>
      <c r="D27" s="226">
        <v>0.31</v>
      </c>
      <c r="E27" s="226">
        <v>0.47</v>
      </c>
      <c r="F27" s="226">
        <v>0.46</v>
      </c>
      <c r="G27" s="226">
        <v>0.3</v>
      </c>
      <c r="H27" s="226">
        <v>0.15</v>
      </c>
      <c r="I27" s="226">
        <v>0.24</v>
      </c>
      <c r="J27" s="226">
        <v>0.2</v>
      </c>
      <c r="K27" s="226">
        <v>0.3</v>
      </c>
      <c r="L27" s="226">
        <v>0.15</v>
      </c>
      <c r="M27" s="227">
        <v>0.25</v>
      </c>
    </row>
    <row r="28" spans="1:14" x14ac:dyDescent="0.2">
      <c r="A28" s="228" t="s">
        <v>106</v>
      </c>
      <c r="B28" s="229">
        <f>+B22-B27</f>
        <v>0.24377418510501309</v>
      </c>
      <c r="C28" s="229">
        <f>+C22-C27</f>
        <v>-8.6268113694577542E-2</v>
      </c>
      <c r="D28" s="229">
        <f t="shared" ref="D28:M28" si="5">+D22-D27</f>
        <v>0.47079394146311176</v>
      </c>
      <c r="E28" s="229">
        <f>+E22-E27</f>
        <v>7.3332883915329661E-2</v>
      </c>
      <c r="F28" s="229">
        <f>+F22-F27</f>
        <v>4.1959652282608229E-4</v>
      </c>
      <c r="G28" s="229">
        <f t="shared" si="5"/>
        <v>-0.1188658111621218</v>
      </c>
      <c r="H28" s="229">
        <f t="shared" si="5"/>
        <v>4.9938818771435023E-3</v>
      </c>
      <c r="I28" s="229">
        <f t="shared" si="5"/>
        <v>9.8255233756372684E-2</v>
      </c>
      <c r="J28" s="229">
        <f t="shared" si="5"/>
        <v>-0.17148244397116005</v>
      </c>
      <c r="K28" s="229">
        <f t="shared" si="5"/>
        <v>0.46868511388486594</v>
      </c>
      <c r="L28" s="229">
        <f t="shared" si="5"/>
        <v>0.10622023756398738</v>
      </c>
      <c r="M28" s="229">
        <f t="shared" si="5"/>
        <v>4.7986938102967391E-2</v>
      </c>
    </row>
    <row r="29" spans="1:14" x14ac:dyDescent="0.2">
      <c r="A29" s="231" t="s">
        <v>107</v>
      </c>
      <c r="B29" s="232" t="e">
        <f>+B26-B27</f>
        <v>#REF!</v>
      </c>
      <c r="C29" s="232" t="e">
        <f t="shared" ref="C29:M29" si="6">+C26-C27</f>
        <v>#REF!</v>
      </c>
      <c r="D29" s="232" t="e">
        <f t="shared" si="6"/>
        <v>#REF!</v>
      </c>
      <c r="E29" s="232" t="e">
        <f>+E26-E27</f>
        <v>#REF!</v>
      </c>
      <c r="F29" s="232" t="e">
        <f t="shared" si="6"/>
        <v>#REF!</v>
      </c>
      <c r="G29" s="232" t="e">
        <f t="shared" si="6"/>
        <v>#REF!</v>
      </c>
      <c r="H29" s="232" t="e">
        <f t="shared" si="6"/>
        <v>#REF!</v>
      </c>
      <c r="I29" s="232" t="e">
        <f t="shared" si="6"/>
        <v>#REF!</v>
      </c>
      <c r="J29" s="232" t="e">
        <f t="shared" si="6"/>
        <v>#REF!</v>
      </c>
      <c r="K29" s="232" t="e">
        <f t="shared" si="6"/>
        <v>#REF!</v>
      </c>
      <c r="L29" s="232" t="e">
        <f t="shared" si="6"/>
        <v>#REF!</v>
      </c>
      <c r="M29" s="232" t="e">
        <f t="shared" si="6"/>
        <v>#REF!</v>
      </c>
    </row>
    <row r="30" spans="1:14" x14ac:dyDescent="0.2">
      <c r="A30" s="233"/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</row>
    <row r="31" spans="1:14" x14ac:dyDescent="0.2">
      <c r="A31" s="221"/>
      <c r="B31" s="754" t="s">
        <v>97</v>
      </c>
      <c r="C31" s="754"/>
      <c r="D31" s="754"/>
      <c r="E31" s="754"/>
      <c r="F31" s="754"/>
      <c r="G31" s="754"/>
      <c r="H31" s="754"/>
      <c r="I31" s="754"/>
      <c r="J31" s="754"/>
      <c r="K31" s="754"/>
      <c r="L31" s="754"/>
      <c r="M31" s="754"/>
    </row>
    <row r="32" spans="1:14" x14ac:dyDescent="0.2">
      <c r="A32" s="235"/>
      <c r="B32" s="763" t="s">
        <v>3</v>
      </c>
      <c r="C32" s="744" t="s">
        <v>90</v>
      </c>
      <c r="D32" s="745" t="s">
        <v>93</v>
      </c>
      <c r="E32" s="743" t="s">
        <v>91</v>
      </c>
      <c r="F32" s="743" t="s">
        <v>92</v>
      </c>
      <c r="G32" s="743" t="s">
        <v>83</v>
      </c>
      <c r="H32" s="743" t="s">
        <v>84</v>
      </c>
      <c r="I32" s="743" t="s">
        <v>86</v>
      </c>
      <c r="J32" s="743" t="s">
        <v>85</v>
      </c>
      <c r="K32" s="743" t="s">
        <v>89</v>
      </c>
      <c r="L32" s="743" t="s">
        <v>87</v>
      </c>
      <c r="M32" s="737" t="s">
        <v>88</v>
      </c>
    </row>
    <row r="33" spans="1:17" x14ac:dyDescent="0.2">
      <c r="A33" s="236"/>
      <c r="B33" s="763"/>
      <c r="C33" s="744"/>
      <c r="D33" s="745"/>
      <c r="E33" s="743"/>
      <c r="F33" s="743"/>
      <c r="G33" s="743"/>
      <c r="H33" s="743"/>
      <c r="I33" s="743"/>
      <c r="J33" s="743"/>
      <c r="K33" s="743"/>
      <c r="L33" s="743"/>
      <c r="M33" s="737"/>
      <c r="O33" s="276" t="s">
        <v>121</v>
      </c>
      <c r="P33" s="276" t="s">
        <v>124</v>
      </c>
    </row>
    <row r="34" spans="1:17" x14ac:dyDescent="0.2">
      <c r="A34" s="237" t="s">
        <v>110</v>
      </c>
      <c r="B34" s="238">
        <v>1863.52</v>
      </c>
      <c r="C34" s="238">
        <v>22.73</v>
      </c>
      <c r="D34" s="239">
        <f>+B34+C34</f>
        <v>1886.25</v>
      </c>
      <c r="E34" s="238"/>
      <c r="F34" s="238"/>
      <c r="G34" s="261">
        <f>317.1+34.57</f>
        <v>351.67</v>
      </c>
      <c r="H34" s="238"/>
      <c r="I34" s="238"/>
      <c r="J34" s="261">
        <f>169.13-155.18</f>
        <v>13.949999999999989</v>
      </c>
      <c r="K34" s="238"/>
      <c r="L34" s="261">
        <f>+Q34-264</f>
        <v>93.300000000000011</v>
      </c>
      <c r="M34" s="240">
        <f>+G34+J34+L34</f>
        <v>458.92</v>
      </c>
      <c r="N34" s="276" t="s">
        <v>87</v>
      </c>
      <c r="O34" s="276">
        <v>627</v>
      </c>
      <c r="P34" s="276">
        <v>269.7</v>
      </c>
      <c r="Q34">
        <f>+O34-P34</f>
        <v>357.3</v>
      </c>
    </row>
    <row r="35" spans="1:17" x14ac:dyDescent="0.2">
      <c r="A35" s="214" t="s">
        <v>27</v>
      </c>
      <c r="B35" s="241">
        <v>7454.07</v>
      </c>
      <c r="C35" s="242">
        <v>90.9</v>
      </c>
      <c r="D35" s="243">
        <f>IF(SUM(B35:C35)=0,"",SUM(B35:C35))</f>
        <v>7544.9699999999993</v>
      </c>
      <c r="E35" s="242"/>
      <c r="F35" s="242"/>
      <c r="G35" s="261">
        <v>7454.07</v>
      </c>
      <c r="H35" s="242"/>
      <c r="I35" s="242"/>
      <c r="J35" s="261">
        <v>1245.76</v>
      </c>
      <c r="K35" s="242"/>
      <c r="L35" s="261">
        <v>735.47</v>
      </c>
      <c r="M35" s="243">
        <f>SUM(E35:L35)</f>
        <v>9435.2999999999993</v>
      </c>
      <c r="N35" s="259" t="s">
        <v>83</v>
      </c>
      <c r="O35" s="276">
        <v>889</v>
      </c>
      <c r="P35" s="276">
        <v>571.9</v>
      </c>
      <c r="Q35">
        <f>+O35-P35</f>
        <v>317.10000000000002</v>
      </c>
    </row>
    <row r="36" spans="1:17" ht="13.5" thickBot="1" x14ac:dyDescent="0.25">
      <c r="A36" s="276"/>
      <c r="B36" s="244">
        <f>+B34/B35</f>
        <v>0.25000033538724481</v>
      </c>
      <c r="C36" s="244">
        <f>+C34/C35</f>
        <v>0.25005500550055004</v>
      </c>
      <c r="D36" s="244">
        <f>IF(OR(D34="",D35=""),"",D34/D35)</f>
        <v>0.25000099403973775</v>
      </c>
      <c r="E36" s="244"/>
      <c r="F36" s="244"/>
      <c r="G36" s="262">
        <f>+G34/G35</f>
        <v>4.7178252954426243E-2</v>
      </c>
      <c r="H36" s="244"/>
      <c r="I36" s="244"/>
      <c r="J36" s="262">
        <f>+J34/J35</f>
        <v>1.1197983560236312E-2</v>
      </c>
      <c r="K36" s="244"/>
      <c r="L36" s="262">
        <f>+L34/L35</f>
        <v>0.12685765564876883</v>
      </c>
      <c r="M36" s="245"/>
      <c r="N36" s="259" t="s">
        <v>85</v>
      </c>
      <c r="O36" s="276">
        <v>88.25</v>
      </c>
      <c r="P36" s="276">
        <v>243.43</v>
      </c>
      <c r="Q36">
        <f>+O36-P36</f>
        <v>-155.18</v>
      </c>
    </row>
    <row r="37" spans="1:17" ht="13.5" thickTop="1" x14ac:dyDescent="0.2">
      <c r="A37" s="738" t="s">
        <v>94</v>
      </c>
      <c r="B37" s="740" t="s">
        <v>95</v>
      </c>
      <c r="C37" s="740"/>
      <c r="D37" s="740"/>
      <c r="E37" s="741" t="s">
        <v>98</v>
      </c>
      <c r="F37" s="741"/>
      <c r="G37" s="741"/>
      <c r="H37" s="741"/>
      <c r="I37" s="741"/>
      <c r="J37" s="741"/>
      <c r="K37" s="741"/>
      <c r="L37" s="741"/>
      <c r="M37" s="741"/>
      <c r="O37" s="276"/>
    </row>
    <row r="38" spans="1:17" ht="13.5" thickBot="1" x14ac:dyDescent="0.25">
      <c r="A38" s="739"/>
      <c r="B38" s="742">
        <f>IF(D36="","",D36)</f>
        <v>0.25000099403973775</v>
      </c>
      <c r="C38" s="742"/>
      <c r="D38" s="742"/>
      <c r="E38" s="742">
        <f>+M34/M35</f>
        <v>4.863862304325247E-2</v>
      </c>
      <c r="F38" s="742"/>
      <c r="G38" s="742"/>
      <c r="H38" s="742"/>
      <c r="I38" s="742"/>
      <c r="J38" s="742"/>
      <c r="K38" s="742"/>
      <c r="L38" s="742"/>
      <c r="M38" s="742"/>
    </row>
    <row r="39" spans="1:17" ht="13.5" thickTop="1" x14ac:dyDescent="0.2"/>
  </sheetData>
  <mergeCells count="38">
    <mergeCell ref="L4:L5"/>
    <mergeCell ref="M4:M5"/>
    <mergeCell ref="B1:M1"/>
    <mergeCell ref="B2:M2"/>
    <mergeCell ref="B3:D3"/>
    <mergeCell ref="E3:M3"/>
    <mergeCell ref="B4:B5"/>
    <mergeCell ref="C4:C5"/>
    <mergeCell ref="D4:D5"/>
    <mergeCell ref="E4:E5"/>
    <mergeCell ref="F4:F5"/>
    <mergeCell ref="G4:G5"/>
    <mergeCell ref="F32:F33"/>
    <mergeCell ref="H4:H5"/>
    <mergeCell ref="I4:I5"/>
    <mergeCell ref="J4:J5"/>
    <mergeCell ref="K4:K5"/>
    <mergeCell ref="B23:D23"/>
    <mergeCell ref="E23:M23"/>
    <mergeCell ref="B24:D24"/>
    <mergeCell ref="E24:M24"/>
    <mergeCell ref="B31:M31"/>
    <mergeCell ref="M32:M33"/>
    <mergeCell ref="A37:A38"/>
    <mergeCell ref="B37:D37"/>
    <mergeCell ref="E37:M37"/>
    <mergeCell ref="B38:D38"/>
    <mergeCell ref="E38:M38"/>
    <mergeCell ref="G32:G33"/>
    <mergeCell ref="H32:H33"/>
    <mergeCell ref="I32:I33"/>
    <mergeCell ref="J32:J33"/>
    <mergeCell ref="K32:K33"/>
    <mergeCell ref="L32:L33"/>
    <mergeCell ref="B32:B33"/>
    <mergeCell ref="C32:C33"/>
    <mergeCell ref="D32:D33"/>
    <mergeCell ref="E32:E33"/>
  </mergeCells>
  <conditionalFormatting sqref="B30:M30">
    <cfRule type="cellIs" dxfId="20" priority="2" operator="greaterThan">
      <formula>0.13</formula>
    </cfRule>
    <cfRule type="cellIs" dxfId="19" priority="3" operator="greaterThan">
      <formula>0.13</formula>
    </cfRule>
    <cfRule type="cellIs" dxfId="18" priority="4" operator="greaterThan">
      <formula>0.03</formula>
    </cfRule>
    <cfRule type="cellIs" dxfId="17" priority="5" operator="greaterThan">
      <formula>0</formula>
    </cfRule>
  </conditionalFormatting>
  <conditionalFormatting sqref="B28:M29">
    <cfRule type="cellIs" dxfId="16" priority="1" operator="greaterThan">
      <formula>0.01</formula>
    </cfRule>
  </conditionalFormatting>
  <pageMargins left="0.7" right="0.7" top="0.75" bottom="0.75" header="0.3" footer="0.3"/>
  <pageSetup paperSize="9" scale="64" orientation="landscape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Q39"/>
  <sheetViews>
    <sheetView topLeftCell="A16" workbookViewId="0">
      <selection activeCell="O34" sqref="O34"/>
    </sheetView>
  </sheetViews>
  <sheetFormatPr baseColWidth="10" defaultRowHeight="12.75" x14ac:dyDescent="0.2"/>
  <cols>
    <col min="1" max="1" width="26.140625" customWidth="1"/>
  </cols>
  <sheetData>
    <row r="1" spans="1:15" x14ac:dyDescent="0.2">
      <c r="A1" s="277"/>
      <c r="B1" s="757" t="s">
        <v>125</v>
      </c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</row>
    <row r="2" spans="1:15" x14ac:dyDescent="0.2">
      <c r="A2" s="277"/>
      <c r="B2" s="758" t="s">
        <v>96</v>
      </c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</row>
    <row r="3" spans="1:15" x14ac:dyDescent="0.2">
      <c r="A3" s="187"/>
      <c r="B3" s="759" t="s">
        <v>103</v>
      </c>
      <c r="C3" s="759"/>
      <c r="D3" s="759"/>
      <c r="E3" s="760" t="s">
        <v>104</v>
      </c>
      <c r="F3" s="760"/>
      <c r="G3" s="760"/>
      <c r="H3" s="760"/>
      <c r="I3" s="760"/>
      <c r="J3" s="760"/>
      <c r="K3" s="760"/>
      <c r="L3" s="760"/>
      <c r="M3" s="760"/>
    </row>
    <row r="4" spans="1:15" x14ac:dyDescent="0.2">
      <c r="A4" s="187"/>
      <c r="B4" s="763" t="s">
        <v>3</v>
      </c>
      <c r="C4" s="759" t="s">
        <v>90</v>
      </c>
      <c r="D4" s="761" t="s">
        <v>93</v>
      </c>
      <c r="E4" s="755" t="s">
        <v>91</v>
      </c>
      <c r="F4" s="755" t="s">
        <v>100</v>
      </c>
      <c r="G4" s="755" t="s">
        <v>83</v>
      </c>
      <c r="H4" s="755" t="s">
        <v>84</v>
      </c>
      <c r="I4" s="755" t="s">
        <v>86</v>
      </c>
      <c r="J4" s="755" t="s">
        <v>85</v>
      </c>
      <c r="K4" s="755" t="s">
        <v>89</v>
      </c>
      <c r="L4" s="755" t="s">
        <v>87</v>
      </c>
      <c r="M4" s="756" t="s">
        <v>88</v>
      </c>
    </row>
    <row r="5" spans="1:15" x14ac:dyDescent="0.2">
      <c r="A5" s="188"/>
      <c r="B5" s="763"/>
      <c r="C5" s="759"/>
      <c r="D5" s="761"/>
      <c r="E5" s="755"/>
      <c r="F5" s="755"/>
      <c r="G5" s="755"/>
      <c r="H5" s="755"/>
      <c r="I5" s="755"/>
      <c r="J5" s="755"/>
      <c r="K5" s="755"/>
      <c r="L5" s="755"/>
      <c r="M5" s="756"/>
    </row>
    <row r="6" spans="1:15" x14ac:dyDescent="0.2">
      <c r="A6" s="189" t="s">
        <v>9</v>
      </c>
      <c r="B6" s="190"/>
      <c r="C6" s="191"/>
      <c r="D6" s="192"/>
      <c r="E6" s="191"/>
      <c r="F6" s="191"/>
      <c r="G6" s="191"/>
      <c r="H6" s="191"/>
      <c r="I6" s="191"/>
      <c r="J6" s="191"/>
      <c r="K6" s="191"/>
      <c r="L6" s="191"/>
      <c r="M6" s="193"/>
    </row>
    <row r="7" spans="1:15" x14ac:dyDescent="0.2">
      <c r="A7" s="194" t="s">
        <v>10</v>
      </c>
      <c r="B7" s="195">
        <v>10016</v>
      </c>
      <c r="C7" s="195">
        <v>3647</v>
      </c>
      <c r="D7" s="196">
        <f>+B7+C7</f>
        <v>13663</v>
      </c>
      <c r="E7" s="195">
        <v>612</v>
      </c>
      <c r="F7" s="195">
        <v>1579</v>
      </c>
      <c r="G7" s="195">
        <v>3279</v>
      </c>
      <c r="H7" s="195">
        <v>2535</v>
      </c>
      <c r="I7" s="195">
        <v>1598</v>
      </c>
      <c r="J7" s="195">
        <v>847</v>
      </c>
      <c r="K7" s="195">
        <v>865</v>
      </c>
      <c r="L7" s="195">
        <v>1181</v>
      </c>
      <c r="M7" s="197">
        <f>+SUM(E7:L7)</f>
        <v>12496</v>
      </c>
    </row>
    <row r="8" spans="1:15" x14ac:dyDescent="0.2">
      <c r="A8" s="198" t="s">
        <v>11</v>
      </c>
      <c r="B8" s="196">
        <v>14952.58</v>
      </c>
      <c r="C8" s="196">
        <v>5269.16</v>
      </c>
      <c r="D8" s="196">
        <f>+B8+C8</f>
        <v>20221.739999999998</v>
      </c>
      <c r="E8" s="196">
        <v>324</v>
      </c>
      <c r="F8" s="196">
        <v>4976.4399999999996</v>
      </c>
      <c r="G8" s="196">
        <v>5776</v>
      </c>
      <c r="H8" s="196">
        <v>1712.39</v>
      </c>
      <c r="I8" s="196">
        <v>1961.85</v>
      </c>
      <c r="J8" s="196">
        <v>748.08</v>
      </c>
      <c r="K8" s="196">
        <v>1921</v>
      </c>
      <c r="L8" s="196">
        <v>2479.16</v>
      </c>
      <c r="M8" s="197">
        <f>+L8+K8+J8+I8+H8+G8+F8+E8</f>
        <v>19898.919999999998</v>
      </c>
    </row>
    <row r="9" spans="1:15" x14ac:dyDescent="0.2">
      <c r="A9" s="198" t="s">
        <v>12</v>
      </c>
      <c r="B9" s="195"/>
      <c r="C9" s="195"/>
      <c r="D9" s="196" t="str">
        <f>IF(SUM(B9:C9)=0,"",SUM(B9:C9))</f>
        <v/>
      </c>
      <c r="E9" s="195"/>
      <c r="F9" s="195"/>
      <c r="G9" s="195"/>
      <c r="H9" s="195"/>
      <c r="I9" s="195"/>
      <c r="J9" s="195"/>
      <c r="K9" s="195"/>
      <c r="L9" s="195"/>
      <c r="M9" s="197" t="str">
        <f>IF(SUM(F9:K9)=0,"",SUM(F9:K9))</f>
        <v/>
      </c>
    </row>
    <row r="10" spans="1:15" x14ac:dyDescent="0.2">
      <c r="A10" s="198" t="s">
        <v>13</v>
      </c>
      <c r="B10" s="199"/>
      <c r="C10" s="199"/>
      <c r="D10" s="196" t="str">
        <f>IF(SUM(B10:C10)=0,"",SUM(B10:C10))</f>
        <v/>
      </c>
      <c r="E10" s="190"/>
      <c r="F10" s="199"/>
      <c r="G10" s="199"/>
      <c r="H10" s="199"/>
      <c r="I10" s="199"/>
      <c r="J10" s="199"/>
      <c r="K10" s="199"/>
      <c r="L10" s="199"/>
      <c r="M10" s="197" t="str">
        <f>IF(SUM(F10:K10)=0,"",SUM(F10:K10))</f>
        <v/>
      </c>
    </row>
    <row r="11" spans="1:15" x14ac:dyDescent="0.2">
      <c r="A11" s="198" t="s">
        <v>14</v>
      </c>
      <c r="B11" s="195"/>
      <c r="C11" s="195"/>
      <c r="D11" s="196" t="str">
        <f>IF(SUM(B11:C11)=0,"",SUM(B11:C11))</f>
        <v/>
      </c>
      <c r="E11" s="195"/>
      <c r="F11" s="195"/>
      <c r="G11" s="195"/>
      <c r="H11" s="195"/>
      <c r="I11" s="195"/>
      <c r="J11" s="195"/>
      <c r="K11" s="195"/>
      <c r="L11" s="195"/>
      <c r="M11" s="197" t="str">
        <f>IF(SUM(F11:K11)=0,"",SUM(F11:K11))</f>
        <v/>
      </c>
    </row>
    <row r="12" spans="1:15" x14ac:dyDescent="0.2">
      <c r="A12" s="194" t="s">
        <v>15</v>
      </c>
      <c r="B12" s="196">
        <v>14953</v>
      </c>
      <c r="C12" s="196">
        <v>5269</v>
      </c>
      <c r="D12" s="196">
        <v>20222</v>
      </c>
      <c r="E12" s="196">
        <v>324</v>
      </c>
      <c r="F12" s="196">
        <v>4976</v>
      </c>
      <c r="G12" s="196">
        <v>5776</v>
      </c>
      <c r="H12" s="196">
        <v>1712</v>
      </c>
      <c r="I12" s="196">
        <v>1962</v>
      </c>
      <c r="J12" s="196">
        <v>748</v>
      </c>
      <c r="K12" s="196">
        <v>1921</v>
      </c>
      <c r="L12" s="196">
        <v>2479</v>
      </c>
      <c r="M12" s="197">
        <f>+L12+K12+J12+I12+H12+G12+F12+E12</f>
        <v>19898</v>
      </c>
      <c r="O12" s="275"/>
    </row>
    <row r="13" spans="1:15" x14ac:dyDescent="0.2">
      <c r="A13" s="200" t="s">
        <v>16</v>
      </c>
      <c r="B13" s="201">
        <f>+B7+B12</f>
        <v>24969</v>
      </c>
      <c r="C13" s="201">
        <f>+C12+C7</f>
        <v>8916</v>
      </c>
      <c r="D13" s="201">
        <f>+D7+D8</f>
        <v>33884.74</v>
      </c>
      <c r="E13" s="201">
        <f>+E7+E8</f>
        <v>936</v>
      </c>
      <c r="F13" s="201">
        <f>+F12+F7</f>
        <v>6555</v>
      </c>
      <c r="G13" s="201">
        <f t="shared" ref="G13:K13" si="0">+G12+G7</f>
        <v>9055</v>
      </c>
      <c r="H13" s="201">
        <f>+H12+H7</f>
        <v>4247</v>
      </c>
      <c r="I13" s="201">
        <f t="shared" si="0"/>
        <v>3560</v>
      </c>
      <c r="J13" s="201">
        <f t="shared" si="0"/>
        <v>1595</v>
      </c>
      <c r="K13" s="201">
        <f t="shared" si="0"/>
        <v>2786</v>
      </c>
      <c r="L13" s="201">
        <f>+L12+L7</f>
        <v>3660</v>
      </c>
      <c r="M13" s="197">
        <f>+M12+M7</f>
        <v>32394</v>
      </c>
    </row>
    <row r="14" spans="1:15" x14ac:dyDescent="0.2">
      <c r="A14" s="203" t="s">
        <v>17</v>
      </c>
      <c r="B14" s="204"/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</row>
    <row r="15" spans="1:15" x14ac:dyDescent="0.2">
      <c r="A15" s="205" t="s">
        <v>18</v>
      </c>
      <c r="B15" s="206">
        <v>10971.51</v>
      </c>
      <c r="C15" s="206">
        <v>4608.5</v>
      </c>
      <c r="D15" s="207">
        <f>+B15+C15</f>
        <v>15580.01</v>
      </c>
      <c r="E15" s="206">
        <v>624.72</v>
      </c>
      <c r="F15" s="206">
        <v>3054.64</v>
      </c>
      <c r="G15" s="206">
        <v>5139.8100000000004</v>
      </c>
      <c r="H15" s="206">
        <v>2694.58</v>
      </c>
      <c r="I15" s="206">
        <v>2462.4699999999998</v>
      </c>
      <c r="J15" s="206">
        <v>815.4</v>
      </c>
      <c r="K15" s="206">
        <v>767.27</v>
      </c>
      <c r="L15" s="206">
        <v>2559.6999999999998</v>
      </c>
      <c r="M15" s="208">
        <f>+L15+K15+J15+I15+H15+G15+F15+E15</f>
        <v>18118.59</v>
      </c>
    </row>
    <row r="16" spans="1:15" x14ac:dyDescent="0.2">
      <c r="A16" s="205" t="s">
        <v>19</v>
      </c>
      <c r="B16" s="206">
        <f>1932.48*2</f>
        <v>3864.96</v>
      </c>
      <c r="C16" s="204"/>
      <c r="D16" s="207"/>
      <c r="E16" s="204"/>
      <c r="F16" s="204"/>
      <c r="G16" s="204"/>
      <c r="H16" s="204"/>
      <c r="I16" s="204"/>
      <c r="J16" s="204"/>
      <c r="K16" s="204"/>
      <c r="L16" s="204"/>
      <c r="M16" s="204"/>
    </row>
    <row r="17" spans="1:14" x14ac:dyDescent="0.2">
      <c r="A17" s="205" t="s">
        <v>82</v>
      </c>
      <c r="B17" s="206">
        <f>134*3.52</f>
        <v>471.68</v>
      </c>
      <c r="C17" s="204"/>
      <c r="D17" s="207">
        <f>IF(SUM(B17:C17)=0,"",SUM(B17:C17))</f>
        <v>471.68</v>
      </c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4" x14ac:dyDescent="0.2">
      <c r="A18" s="205" t="s">
        <v>57</v>
      </c>
      <c r="B18" s="206">
        <v>136</v>
      </c>
      <c r="C18" s="206"/>
      <c r="D18" s="207"/>
      <c r="E18" s="206"/>
      <c r="F18" s="206">
        <v>1.7</v>
      </c>
      <c r="G18" s="206"/>
      <c r="H18" s="206"/>
      <c r="I18" s="206">
        <v>4.25</v>
      </c>
      <c r="J18" s="206"/>
      <c r="K18" s="206"/>
      <c r="L18" s="206">
        <v>2.2999999999999998</v>
      </c>
      <c r="M18" s="208"/>
    </row>
    <row r="19" spans="1:14" ht="13.5" thickBot="1" x14ac:dyDescent="0.25">
      <c r="A19" s="209" t="s">
        <v>25</v>
      </c>
      <c r="B19" s="210">
        <f t="shared" ref="B19:M19" si="1">SUM(B15:B18)</f>
        <v>15444.150000000001</v>
      </c>
      <c r="C19" s="210">
        <f t="shared" si="1"/>
        <v>4608.5</v>
      </c>
      <c r="D19" s="210">
        <f t="shared" si="1"/>
        <v>16051.69</v>
      </c>
      <c r="E19" s="210">
        <f t="shared" si="1"/>
        <v>624.72</v>
      </c>
      <c r="F19" s="210">
        <f t="shared" si="1"/>
        <v>3056.3399999999997</v>
      </c>
      <c r="G19" s="210">
        <f t="shared" si="1"/>
        <v>5139.8100000000004</v>
      </c>
      <c r="H19" s="210">
        <f t="shared" si="1"/>
        <v>2694.58</v>
      </c>
      <c r="I19" s="210">
        <f t="shared" si="1"/>
        <v>2466.7199999999998</v>
      </c>
      <c r="J19" s="210">
        <f t="shared" si="1"/>
        <v>815.4</v>
      </c>
      <c r="K19" s="210">
        <f t="shared" si="1"/>
        <v>767.27</v>
      </c>
      <c r="L19" s="210">
        <f t="shared" si="1"/>
        <v>2562</v>
      </c>
      <c r="M19" s="210">
        <f t="shared" si="1"/>
        <v>18118.59</v>
      </c>
    </row>
    <row r="20" spans="1:14" ht="13.5" thickTop="1" x14ac:dyDescent="0.2">
      <c r="A20" s="211" t="s">
        <v>26</v>
      </c>
      <c r="B20" s="212">
        <f>+B13-B19</f>
        <v>9524.8499999999985</v>
      </c>
      <c r="C20" s="212">
        <f>C13-C19</f>
        <v>4307.5</v>
      </c>
      <c r="D20" s="213">
        <f>IF(SUM(B20:C20)=0,"",SUM(B20:C20))</f>
        <v>13832.349999999999</v>
      </c>
      <c r="E20" s="213">
        <f>E13-E19</f>
        <v>311.27999999999997</v>
      </c>
      <c r="F20" s="212">
        <f t="shared" ref="F20:L20" si="2">+F13-F19</f>
        <v>3498.6600000000003</v>
      </c>
      <c r="G20" s="212">
        <f t="shared" si="2"/>
        <v>3915.1899999999996</v>
      </c>
      <c r="H20" s="212">
        <f t="shared" si="2"/>
        <v>1552.42</v>
      </c>
      <c r="I20" s="212">
        <f t="shared" si="2"/>
        <v>1093.2800000000002</v>
      </c>
      <c r="J20" s="212">
        <f t="shared" si="2"/>
        <v>779.6</v>
      </c>
      <c r="K20" s="212">
        <f t="shared" si="2"/>
        <v>2018.73</v>
      </c>
      <c r="L20" s="212">
        <f t="shared" si="2"/>
        <v>1098</v>
      </c>
      <c r="M20" s="213">
        <f>SUM(E20:L20)</f>
        <v>14267.16</v>
      </c>
    </row>
    <row r="21" spans="1:14" x14ac:dyDescent="0.2">
      <c r="A21" s="214" t="s">
        <v>27</v>
      </c>
      <c r="B21" s="264">
        <v>29022.75</v>
      </c>
      <c r="C21" s="265">
        <v>16106.55</v>
      </c>
      <c r="D21" s="213">
        <f>IF(SUM(B21:C21)=0,"",SUM(B21:C21))</f>
        <v>45129.3</v>
      </c>
      <c r="E21" s="266">
        <v>717.52</v>
      </c>
      <c r="F21" s="267">
        <v>6146</v>
      </c>
      <c r="G21" s="268">
        <v>7532</v>
      </c>
      <c r="H21" s="269">
        <v>6258.28</v>
      </c>
      <c r="I21" s="270">
        <v>4560.97</v>
      </c>
      <c r="J21" s="271">
        <v>1728.55</v>
      </c>
      <c r="K21" s="272">
        <v>4150.59</v>
      </c>
      <c r="L21" s="273">
        <v>2004.21</v>
      </c>
      <c r="M21" s="213">
        <f>SUM(E21:L21)</f>
        <v>33098.120000000003</v>
      </c>
      <c r="N21" s="274"/>
    </row>
    <row r="22" spans="1:14" ht="13.5" thickBot="1" x14ac:dyDescent="0.25">
      <c r="A22" s="216" t="s">
        <v>94</v>
      </c>
      <c r="B22" s="217">
        <f>+B20/B21</f>
        <v>0.32818564746621182</v>
      </c>
      <c r="C22" s="217">
        <f>+C20/C21</f>
        <v>0.26743778152366587</v>
      </c>
      <c r="D22" s="218">
        <f>IF(OR(D20="",D21=""),"",D20/D21)</f>
        <v>0.3065048649103797</v>
      </c>
      <c r="E22" s="217">
        <f t="shared" ref="E22:K22" si="3">+E20/E21</f>
        <v>0.43382762849816031</v>
      </c>
      <c r="F22" s="217">
        <f>+F20/F21</f>
        <v>0.56925805401887408</v>
      </c>
      <c r="G22" s="217">
        <f>+G20/G21</f>
        <v>0.51980748805098242</v>
      </c>
      <c r="H22" s="217">
        <f t="shared" si="3"/>
        <v>0.24805857200380937</v>
      </c>
      <c r="I22" s="217">
        <f t="shared" si="3"/>
        <v>0.23970339642663735</v>
      </c>
      <c r="J22" s="217">
        <f t="shared" si="3"/>
        <v>0.4510138555436638</v>
      </c>
      <c r="K22" s="217">
        <f t="shared" si="3"/>
        <v>0.48637181701878529</v>
      </c>
      <c r="L22" s="217">
        <f>+L20/L21</f>
        <v>0.54784678252278951</v>
      </c>
      <c r="M22" s="218">
        <f>IF(OR(M20="",M21=""),"",M20/M21)</f>
        <v>0.4310565071369612</v>
      </c>
    </row>
    <row r="23" spans="1:14" ht="13.5" thickTop="1" x14ac:dyDescent="0.2">
      <c r="A23" s="219" t="s">
        <v>108</v>
      </c>
      <c r="B23" s="746" t="s">
        <v>102</v>
      </c>
      <c r="C23" s="747"/>
      <c r="D23" s="748"/>
      <c r="E23" s="749" t="s">
        <v>101</v>
      </c>
      <c r="F23" s="750"/>
      <c r="G23" s="750"/>
      <c r="H23" s="750"/>
      <c r="I23" s="750"/>
      <c r="J23" s="750"/>
      <c r="K23" s="750"/>
      <c r="L23" s="750"/>
      <c r="M23" s="751"/>
    </row>
    <row r="24" spans="1:14" ht="13.5" thickBot="1" x14ac:dyDescent="0.25">
      <c r="A24" s="220"/>
      <c r="B24" s="752">
        <f>IF(D22="","",D22)</f>
        <v>0.3065048649103797</v>
      </c>
      <c r="C24" s="752"/>
      <c r="D24" s="752"/>
      <c r="E24" s="753">
        <f>IF(M22="","",M22)</f>
        <v>0.4310565071369612</v>
      </c>
      <c r="F24" s="753"/>
      <c r="G24" s="753"/>
      <c r="H24" s="753"/>
      <c r="I24" s="753"/>
      <c r="J24" s="753"/>
      <c r="K24" s="753"/>
      <c r="L24" s="753"/>
      <c r="M24" s="753"/>
    </row>
    <row r="25" spans="1:14" ht="13.5" thickTop="1" x14ac:dyDescent="0.2">
      <c r="A25" s="221"/>
      <c r="B25" s="221"/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</row>
    <row r="26" spans="1:14" ht="13.5" thickBot="1" x14ac:dyDescent="0.25">
      <c r="A26" s="222" t="s">
        <v>105</v>
      </c>
      <c r="B26" s="223" t="e">
        <f>+(B20+#REF!+#REF!+#REF!)/(#REF!+#REF!+#REF!+#REF!)</f>
        <v>#REF!</v>
      </c>
      <c r="C26" s="223" t="e">
        <f>+(C20+#REF!+#REF!+#REF!)/(#REF!+#REF!+#REF!+#REF!)</f>
        <v>#REF!</v>
      </c>
      <c r="D26" s="223" t="e">
        <f>+(D20+#REF!+#REF!+#REF!)/(#REF!+#REF!+#REF!+#REF!)</f>
        <v>#REF!</v>
      </c>
      <c r="E26" s="224" t="e">
        <f>+(E20+#REF!+#REF!+#REF!)/(#REF!+#REF!+#REF!+#REF!)</f>
        <v>#REF!</v>
      </c>
      <c r="F26" s="224" t="e">
        <f>+(F20+#REF!+#REF!+#REF!)/(#REF!+#REF!+#REF!+#REF!)</f>
        <v>#REF!</v>
      </c>
      <c r="G26" s="224" t="e">
        <f>+(G20+#REF!+#REF!+#REF!)/(#REF!+#REF!+#REF!+#REF!)</f>
        <v>#REF!</v>
      </c>
      <c r="H26" s="224" t="e">
        <f>+(H20+#REF!+#REF!+#REF!)/(#REF!+#REF!+#REF!+#REF!)</f>
        <v>#REF!</v>
      </c>
      <c r="I26" s="224" t="e">
        <f>+(I20+#REF!+#REF!+#REF!)/(#REF!+#REF!+#REF!+#REF!)</f>
        <v>#REF!</v>
      </c>
      <c r="J26" s="224" t="e">
        <f>+(J20+#REF!+#REF!+#REF!)/(#REF!+#REF!+#REF!+#REF!)</f>
        <v>#REF!</v>
      </c>
      <c r="K26" s="224" t="e">
        <f>+(K20+#REF!+#REF!+#REF!)/(#REF!+#REF!+#REF!+#REF!)</f>
        <v>#REF!</v>
      </c>
      <c r="L26" s="224" t="e">
        <f>+(L20+#REF!+#REF!+#REF!)/(#REF!+#REF!+#REF!+#REF!)</f>
        <v>#REF!</v>
      </c>
      <c r="M26" s="224" t="e">
        <f>+(M20+#REF!+#REF!+#REF!)/(#REF!+#REF!+#REF!+#REF!)</f>
        <v>#REF!</v>
      </c>
    </row>
    <row r="27" spans="1:14" ht="13.5" thickBot="1" x14ac:dyDescent="0.25">
      <c r="A27" s="225" t="s">
        <v>99</v>
      </c>
      <c r="B27" s="226">
        <v>0.31</v>
      </c>
      <c r="C27" s="226">
        <v>0.31</v>
      </c>
      <c r="D27" s="226">
        <v>0.31</v>
      </c>
      <c r="E27" s="226">
        <v>0.47</v>
      </c>
      <c r="F27" s="226">
        <v>0.46</v>
      </c>
      <c r="G27" s="226">
        <v>0.3</v>
      </c>
      <c r="H27" s="226">
        <v>0.15</v>
      </c>
      <c r="I27" s="226">
        <v>0.24</v>
      </c>
      <c r="J27" s="226">
        <v>0.2</v>
      </c>
      <c r="K27" s="226">
        <v>0.3</v>
      </c>
      <c r="L27" s="226">
        <v>0.15</v>
      </c>
      <c r="M27" s="227">
        <v>0.25</v>
      </c>
    </row>
    <row r="28" spans="1:14" x14ac:dyDescent="0.2">
      <c r="A28" s="228" t="s">
        <v>106</v>
      </c>
      <c r="B28" s="229">
        <f>+B22-B27</f>
        <v>1.8185647466211818E-2</v>
      </c>
      <c r="C28" s="229">
        <f>+C22-C27</f>
        <v>-4.2562218476334124E-2</v>
      </c>
      <c r="D28" s="229">
        <f t="shared" ref="D28:M28" si="4">+D22-D27</f>
        <v>-3.4951350896202937E-3</v>
      </c>
      <c r="E28" s="229">
        <f>+E22-E27</f>
        <v>-3.6172371501839662E-2</v>
      </c>
      <c r="F28" s="229">
        <f>+F22-F27</f>
        <v>0.10925805401887406</v>
      </c>
      <c r="G28" s="229">
        <f t="shared" si="4"/>
        <v>0.21980748805098244</v>
      </c>
      <c r="H28" s="229">
        <f t="shared" si="4"/>
        <v>9.805857200380938E-2</v>
      </c>
      <c r="I28" s="229">
        <f t="shared" si="4"/>
        <v>-2.9660357336264154E-4</v>
      </c>
      <c r="J28" s="229">
        <f t="shared" si="4"/>
        <v>0.25101385554366379</v>
      </c>
      <c r="K28" s="229">
        <f t="shared" si="4"/>
        <v>0.1863718170187853</v>
      </c>
      <c r="L28" s="229">
        <f t="shared" si="4"/>
        <v>0.39784678252278949</v>
      </c>
      <c r="M28" s="229">
        <f t="shared" si="4"/>
        <v>0.1810565071369612</v>
      </c>
    </row>
    <row r="29" spans="1:14" x14ac:dyDescent="0.2">
      <c r="A29" s="231" t="s">
        <v>107</v>
      </c>
      <c r="B29" s="232" t="e">
        <f>+B26-B27</f>
        <v>#REF!</v>
      </c>
      <c r="C29" s="232" t="e">
        <f t="shared" ref="C29:M29" si="5">+C26-C27</f>
        <v>#REF!</v>
      </c>
      <c r="D29" s="232" t="e">
        <f t="shared" si="5"/>
        <v>#REF!</v>
      </c>
      <c r="E29" s="232" t="e">
        <f>+E26-E27</f>
        <v>#REF!</v>
      </c>
      <c r="F29" s="232" t="e">
        <f t="shared" si="5"/>
        <v>#REF!</v>
      </c>
      <c r="G29" s="232" t="e">
        <f t="shared" si="5"/>
        <v>#REF!</v>
      </c>
      <c r="H29" s="232" t="e">
        <f t="shared" si="5"/>
        <v>#REF!</v>
      </c>
      <c r="I29" s="232" t="e">
        <f t="shared" si="5"/>
        <v>#REF!</v>
      </c>
      <c r="J29" s="232" t="e">
        <f t="shared" si="5"/>
        <v>#REF!</v>
      </c>
      <c r="K29" s="232" t="e">
        <f t="shared" si="5"/>
        <v>#REF!</v>
      </c>
      <c r="L29" s="232" t="e">
        <f t="shared" si="5"/>
        <v>#REF!</v>
      </c>
      <c r="M29" s="232" t="e">
        <f t="shared" si="5"/>
        <v>#REF!</v>
      </c>
    </row>
    <row r="30" spans="1:14" x14ac:dyDescent="0.2">
      <c r="A30" s="233"/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</row>
    <row r="31" spans="1:14" x14ac:dyDescent="0.2">
      <c r="A31" s="221"/>
      <c r="B31" s="754" t="s">
        <v>97</v>
      </c>
      <c r="C31" s="754"/>
      <c r="D31" s="754"/>
      <c r="E31" s="754"/>
      <c r="F31" s="754"/>
      <c r="G31" s="754"/>
      <c r="H31" s="754"/>
      <c r="I31" s="754"/>
      <c r="J31" s="754"/>
      <c r="K31" s="754"/>
      <c r="L31" s="754"/>
      <c r="M31" s="754"/>
    </row>
    <row r="32" spans="1:14" x14ac:dyDescent="0.2">
      <c r="A32" s="235"/>
      <c r="B32" s="763" t="s">
        <v>3</v>
      </c>
      <c r="C32" s="744" t="s">
        <v>90</v>
      </c>
      <c r="D32" s="745" t="s">
        <v>93</v>
      </c>
      <c r="E32" s="743" t="s">
        <v>91</v>
      </c>
      <c r="F32" s="743" t="s">
        <v>92</v>
      </c>
      <c r="G32" s="743" t="s">
        <v>83</v>
      </c>
      <c r="H32" s="743" t="s">
        <v>84</v>
      </c>
      <c r="I32" s="743" t="s">
        <v>86</v>
      </c>
      <c r="J32" s="743" t="s">
        <v>85</v>
      </c>
      <c r="K32" s="743" t="s">
        <v>89</v>
      </c>
      <c r="L32" s="743" t="s">
        <v>87</v>
      </c>
      <c r="M32" s="737" t="s">
        <v>88</v>
      </c>
    </row>
    <row r="33" spans="1:17" x14ac:dyDescent="0.2">
      <c r="A33" s="236"/>
      <c r="B33" s="763"/>
      <c r="C33" s="744"/>
      <c r="D33" s="745"/>
      <c r="E33" s="743"/>
      <c r="F33" s="743"/>
      <c r="G33" s="743"/>
      <c r="H33" s="743"/>
      <c r="I33" s="743"/>
      <c r="J33" s="743"/>
      <c r="K33" s="743"/>
      <c r="L33" s="743"/>
      <c r="M33" s="737"/>
      <c r="O33" s="277" t="s">
        <v>124</v>
      </c>
      <c r="P33" s="277" t="s">
        <v>126</v>
      </c>
      <c r="Q33" t="s">
        <v>127</v>
      </c>
    </row>
    <row r="34" spans="1:17" x14ac:dyDescent="0.2">
      <c r="A34" s="237" t="s">
        <v>110</v>
      </c>
      <c r="B34" s="238">
        <v>6357.75</v>
      </c>
      <c r="C34" s="238">
        <v>313.64</v>
      </c>
      <c r="D34" s="239">
        <f>+B34+C34</f>
        <v>6671.39</v>
      </c>
      <c r="E34" s="238"/>
      <c r="F34" s="238"/>
      <c r="G34" s="261">
        <v>246.4</v>
      </c>
      <c r="H34" s="238"/>
      <c r="I34" s="238"/>
      <c r="J34" s="261">
        <f>199.47+61.3</f>
        <v>260.77</v>
      </c>
      <c r="K34" s="238"/>
      <c r="L34" s="261">
        <v>5.7</v>
      </c>
      <c r="M34" s="240">
        <f>+G34+J34+L34</f>
        <v>512.87</v>
      </c>
      <c r="N34" s="277" t="s">
        <v>87</v>
      </c>
      <c r="O34" s="277">
        <v>269.7</v>
      </c>
      <c r="P34" s="277">
        <v>264</v>
      </c>
      <c r="Q34">
        <f>+O34-P34</f>
        <v>5.6999999999999886</v>
      </c>
    </row>
    <row r="35" spans="1:17" x14ac:dyDescent="0.2">
      <c r="A35" s="214" t="s">
        <v>27</v>
      </c>
      <c r="B35" s="241">
        <v>25430.99</v>
      </c>
      <c r="C35" s="242">
        <v>1254.56</v>
      </c>
      <c r="D35" s="243">
        <f>IF(SUM(B35:C35)=0,"",SUM(B35:C35))</f>
        <v>26685.550000000003</v>
      </c>
      <c r="E35" s="242"/>
      <c r="F35" s="242"/>
      <c r="G35" s="261">
        <v>3290</v>
      </c>
      <c r="H35" s="242"/>
      <c r="I35" s="242"/>
      <c r="J35" s="261">
        <v>2575.91</v>
      </c>
      <c r="K35" s="242"/>
      <c r="L35" s="261">
        <v>1191.81</v>
      </c>
      <c r="M35" s="243">
        <f>SUM(E35:L35)</f>
        <v>7057.7199999999993</v>
      </c>
      <c r="N35" s="259" t="s">
        <v>83</v>
      </c>
      <c r="O35" s="277">
        <v>571.9</v>
      </c>
      <c r="P35" s="277">
        <v>325.5</v>
      </c>
      <c r="Q35">
        <f>+O35-P35</f>
        <v>246.39999999999998</v>
      </c>
    </row>
    <row r="36" spans="1:17" ht="13.5" thickBot="1" x14ac:dyDescent="0.25">
      <c r="A36" s="277"/>
      <c r="B36" s="244">
        <f>+B34/B35</f>
        <v>0.25000009830525666</v>
      </c>
      <c r="C36" s="244">
        <f>+C34/C35</f>
        <v>0.25</v>
      </c>
      <c r="D36" s="244">
        <f>IF(OR(D34="",D35=""),"",D34/D35)</f>
        <v>0.25000009368366022</v>
      </c>
      <c r="E36" s="244"/>
      <c r="F36" s="244"/>
      <c r="G36" s="262">
        <v>7.7436711686355506E-2</v>
      </c>
      <c r="H36" s="244"/>
      <c r="I36" s="244"/>
      <c r="J36" s="262">
        <f>+J34/J35</f>
        <v>0.10123412696872174</v>
      </c>
      <c r="K36" s="244"/>
      <c r="L36" s="262">
        <f>+L34/L35</f>
        <v>4.7826415284315457E-3</v>
      </c>
      <c r="M36" s="245"/>
      <c r="N36" s="259" t="s">
        <v>85</v>
      </c>
      <c r="O36" s="277">
        <v>243.43</v>
      </c>
      <c r="P36" s="277">
        <v>182.13</v>
      </c>
      <c r="Q36">
        <f>+O36-P36</f>
        <v>61.300000000000011</v>
      </c>
    </row>
    <row r="37" spans="1:17" ht="13.5" thickTop="1" x14ac:dyDescent="0.2">
      <c r="A37" s="738" t="s">
        <v>94</v>
      </c>
      <c r="B37" s="740" t="s">
        <v>95</v>
      </c>
      <c r="C37" s="740"/>
      <c r="D37" s="740"/>
      <c r="E37" s="741" t="s">
        <v>98</v>
      </c>
      <c r="F37" s="741"/>
      <c r="G37" s="741"/>
      <c r="H37" s="741"/>
      <c r="I37" s="741"/>
      <c r="J37" s="741"/>
      <c r="K37" s="741"/>
      <c r="L37" s="741"/>
      <c r="M37" s="741"/>
      <c r="O37" s="277"/>
    </row>
    <row r="38" spans="1:17" ht="13.5" thickBot="1" x14ac:dyDescent="0.25">
      <c r="A38" s="739"/>
      <c r="B38" s="742">
        <f>IF(D36="","",D36)</f>
        <v>0.25000009368366022</v>
      </c>
      <c r="C38" s="742"/>
      <c r="D38" s="742"/>
      <c r="E38" s="742">
        <f>+M34/M35</f>
        <v>7.2667943755207076E-2</v>
      </c>
      <c r="F38" s="742"/>
      <c r="G38" s="742"/>
      <c r="H38" s="742"/>
      <c r="I38" s="742"/>
      <c r="J38" s="742"/>
      <c r="K38" s="742"/>
      <c r="L38" s="742"/>
      <c r="M38" s="742"/>
    </row>
    <row r="39" spans="1:17" ht="13.5" thickTop="1" x14ac:dyDescent="0.2"/>
  </sheetData>
  <mergeCells count="38">
    <mergeCell ref="L4:L5"/>
    <mergeCell ref="M4:M5"/>
    <mergeCell ref="B1:M1"/>
    <mergeCell ref="B2:M2"/>
    <mergeCell ref="B3:D3"/>
    <mergeCell ref="E3:M3"/>
    <mergeCell ref="B4:B5"/>
    <mergeCell ref="C4:C5"/>
    <mergeCell ref="D4:D5"/>
    <mergeCell ref="E4:E5"/>
    <mergeCell ref="F4:F5"/>
    <mergeCell ref="G4:G5"/>
    <mergeCell ref="F32:F33"/>
    <mergeCell ref="H4:H5"/>
    <mergeCell ref="I4:I5"/>
    <mergeCell ref="J4:J5"/>
    <mergeCell ref="K4:K5"/>
    <mergeCell ref="B23:D23"/>
    <mergeCell ref="E23:M23"/>
    <mergeCell ref="B24:D24"/>
    <mergeCell ref="E24:M24"/>
    <mergeCell ref="B31:M31"/>
    <mergeCell ref="M32:M33"/>
    <mergeCell ref="A37:A38"/>
    <mergeCell ref="B37:D37"/>
    <mergeCell ref="E37:M37"/>
    <mergeCell ref="B38:D38"/>
    <mergeCell ref="E38:M38"/>
    <mergeCell ref="G32:G33"/>
    <mergeCell ref="H32:H33"/>
    <mergeCell ref="I32:I33"/>
    <mergeCell ref="J32:J33"/>
    <mergeCell ref="K32:K33"/>
    <mergeCell ref="L32:L33"/>
    <mergeCell ref="B32:B33"/>
    <mergeCell ref="C32:C33"/>
    <mergeCell ref="D32:D33"/>
    <mergeCell ref="E32:E33"/>
  </mergeCells>
  <conditionalFormatting sqref="B30:M30">
    <cfRule type="cellIs" dxfId="15" priority="2" operator="greaterThan">
      <formula>0.13</formula>
    </cfRule>
    <cfRule type="cellIs" dxfId="14" priority="3" operator="greaterThan">
      <formula>0.13</formula>
    </cfRule>
    <cfRule type="cellIs" dxfId="13" priority="4" operator="greaterThan">
      <formula>0.03</formula>
    </cfRule>
    <cfRule type="cellIs" dxfId="12" priority="5" operator="greaterThan">
      <formula>0</formula>
    </cfRule>
  </conditionalFormatting>
  <conditionalFormatting sqref="B28:M29">
    <cfRule type="cellIs" dxfId="11" priority="1" operator="greaterThan">
      <formula>0.01</formula>
    </cfRule>
  </conditionalFormatting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P45"/>
  <sheetViews>
    <sheetView topLeftCell="A16" workbookViewId="0">
      <selection activeCell="B41" sqref="B41"/>
    </sheetView>
  </sheetViews>
  <sheetFormatPr baseColWidth="10" defaultRowHeight="12.75" x14ac:dyDescent="0.2"/>
  <cols>
    <col min="1" max="1" width="26.140625" customWidth="1"/>
  </cols>
  <sheetData>
    <row r="1" spans="1:15" x14ac:dyDescent="0.2">
      <c r="A1" s="278"/>
      <c r="B1" s="757" t="s">
        <v>128</v>
      </c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</row>
    <row r="2" spans="1:15" x14ac:dyDescent="0.2">
      <c r="A2" s="278"/>
      <c r="B2" s="758" t="s">
        <v>96</v>
      </c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</row>
    <row r="3" spans="1:15" x14ac:dyDescent="0.2">
      <c r="A3" s="187"/>
      <c r="B3" s="759" t="s">
        <v>103</v>
      </c>
      <c r="C3" s="759"/>
      <c r="D3" s="759"/>
      <c r="E3" s="760" t="s">
        <v>104</v>
      </c>
      <c r="F3" s="760"/>
      <c r="G3" s="760"/>
      <c r="H3" s="760"/>
      <c r="I3" s="760"/>
      <c r="J3" s="760"/>
      <c r="K3" s="760"/>
      <c r="L3" s="760"/>
      <c r="M3" s="760"/>
    </row>
    <row r="4" spans="1:15" x14ac:dyDescent="0.2">
      <c r="A4" s="187"/>
      <c r="B4" s="763" t="s">
        <v>3</v>
      </c>
      <c r="C4" s="759" t="s">
        <v>90</v>
      </c>
      <c r="D4" s="761" t="s">
        <v>93</v>
      </c>
      <c r="E4" s="755" t="s">
        <v>91</v>
      </c>
      <c r="F4" s="755" t="s">
        <v>100</v>
      </c>
      <c r="G4" s="755" t="s">
        <v>83</v>
      </c>
      <c r="H4" s="755" t="s">
        <v>84</v>
      </c>
      <c r="I4" s="755" t="s">
        <v>86</v>
      </c>
      <c r="J4" s="755" t="s">
        <v>85</v>
      </c>
      <c r="K4" s="755" t="s">
        <v>89</v>
      </c>
      <c r="L4" s="755" t="s">
        <v>87</v>
      </c>
      <c r="M4" s="756" t="s">
        <v>88</v>
      </c>
    </row>
    <row r="5" spans="1:15" x14ac:dyDescent="0.2">
      <c r="A5" s="188"/>
      <c r="B5" s="763"/>
      <c r="C5" s="759"/>
      <c r="D5" s="761"/>
      <c r="E5" s="755"/>
      <c r="F5" s="755"/>
      <c r="G5" s="755"/>
      <c r="H5" s="755"/>
      <c r="I5" s="755"/>
      <c r="J5" s="755"/>
      <c r="K5" s="755"/>
      <c r="L5" s="755"/>
      <c r="M5" s="756"/>
    </row>
    <row r="6" spans="1:15" x14ac:dyDescent="0.2">
      <c r="A6" s="189" t="s">
        <v>9</v>
      </c>
      <c r="B6" s="190"/>
      <c r="C6" s="191"/>
      <c r="D6" s="192"/>
      <c r="E6" s="191"/>
      <c r="F6" s="191"/>
      <c r="G6" s="191"/>
      <c r="H6" s="191"/>
      <c r="I6" s="191"/>
      <c r="J6" s="191"/>
      <c r="K6" s="191"/>
      <c r="L6" s="191"/>
      <c r="M6" s="193"/>
    </row>
    <row r="7" spans="1:15" x14ac:dyDescent="0.2">
      <c r="A7" s="194" t="s">
        <v>10</v>
      </c>
      <c r="B7" s="195">
        <v>10972</v>
      </c>
      <c r="C7" s="195">
        <v>4609</v>
      </c>
      <c r="D7" s="196">
        <f>+B7+C7</f>
        <v>15581</v>
      </c>
      <c r="E7" s="195">
        <v>625</v>
      </c>
      <c r="F7" s="195">
        <v>3055</v>
      </c>
      <c r="G7" s="195">
        <v>5140</v>
      </c>
      <c r="H7" s="195">
        <v>2695</v>
      </c>
      <c r="I7" s="195">
        <v>2462</v>
      </c>
      <c r="J7" s="195">
        <v>815</v>
      </c>
      <c r="K7" s="195">
        <v>767</v>
      </c>
      <c r="L7" s="195">
        <v>2560</v>
      </c>
      <c r="M7" s="197">
        <f>+SUM(E7:L7)</f>
        <v>18119</v>
      </c>
    </row>
    <row r="8" spans="1:15" x14ac:dyDescent="0.2">
      <c r="A8" s="198" t="s">
        <v>11</v>
      </c>
      <c r="B8" s="196">
        <v>12346.69</v>
      </c>
      <c r="C8" s="196">
        <v>1427.1</v>
      </c>
      <c r="D8" s="196">
        <f>+B8+C8</f>
        <v>13773.79</v>
      </c>
      <c r="E8" s="196">
        <v>295.77</v>
      </c>
      <c r="F8" s="196">
        <v>1030.6300000000001</v>
      </c>
      <c r="G8" s="196">
        <v>1170</v>
      </c>
      <c r="H8" s="196">
        <v>454.63</v>
      </c>
      <c r="I8" s="196">
        <v>311.37</v>
      </c>
      <c r="J8" s="196">
        <v>181</v>
      </c>
      <c r="K8" s="196">
        <v>1488</v>
      </c>
      <c r="L8" s="196">
        <v>870</v>
      </c>
      <c r="M8" s="197">
        <f>+L8+K8+J8+I8+H8+G8+F8+E8</f>
        <v>5801.4</v>
      </c>
    </row>
    <row r="9" spans="1:15" x14ac:dyDescent="0.2">
      <c r="A9" s="198" t="s">
        <v>12</v>
      </c>
      <c r="B9" s="195"/>
      <c r="C9" s="195"/>
      <c r="D9" s="196" t="str">
        <f>IF(SUM(B9:C9)=0,"",SUM(B9:C9))</f>
        <v/>
      </c>
      <c r="E9" s="195"/>
      <c r="F9" s="195"/>
      <c r="G9" s="195"/>
      <c r="H9" s="195"/>
      <c r="I9" s="195"/>
      <c r="J9" s="195"/>
      <c r="K9" s="195"/>
      <c r="L9" s="195"/>
      <c r="M9" s="197" t="str">
        <f>IF(SUM(F9:K9)=0,"",SUM(F9:K9))</f>
        <v/>
      </c>
    </row>
    <row r="10" spans="1:15" x14ac:dyDescent="0.2">
      <c r="A10" s="198" t="s">
        <v>13</v>
      </c>
      <c r="B10" s="199"/>
      <c r="C10" s="199"/>
      <c r="D10" s="196" t="str">
        <f>IF(SUM(B10:C10)=0,"",SUM(B10:C10))</f>
        <v/>
      </c>
      <c r="E10" s="190"/>
      <c r="F10" s="199"/>
      <c r="G10" s="199"/>
      <c r="H10" s="199"/>
      <c r="I10" s="199"/>
      <c r="J10" s="199"/>
      <c r="K10" s="199"/>
      <c r="L10" s="199"/>
      <c r="M10" s="197" t="str">
        <f>IF(SUM(F10:K10)=0,"",SUM(F10:K10))</f>
        <v/>
      </c>
    </row>
    <row r="11" spans="1:15" x14ac:dyDescent="0.2">
      <c r="A11" s="198" t="s">
        <v>14</v>
      </c>
      <c r="B11" s="195"/>
      <c r="C11" s="195"/>
      <c r="D11" s="196" t="str">
        <f>IF(SUM(B11:C11)=0,"",SUM(B11:C11))</f>
        <v/>
      </c>
      <c r="E11" s="195"/>
      <c r="F11" s="195"/>
      <c r="G11" s="195"/>
      <c r="H11" s="195"/>
      <c r="I11" s="195"/>
      <c r="J11" s="195"/>
      <c r="K11" s="195"/>
      <c r="L11" s="195"/>
      <c r="M11" s="197" t="str">
        <f>IF(SUM(F11:K11)=0,"",SUM(F11:K11))</f>
        <v/>
      </c>
    </row>
    <row r="12" spans="1:15" x14ac:dyDescent="0.2">
      <c r="A12" s="194" t="s">
        <v>15</v>
      </c>
      <c r="B12" s="196">
        <v>12347</v>
      </c>
      <c r="C12" s="196">
        <v>1427</v>
      </c>
      <c r="D12" s="196">
        <f>+B12+C12</f>
        <v>13774</v>
      </c>
      <c r="E12" s="196">
        <v>296</v>
      </c>
      <c r="F12" s="196">
        <v>1031</v>
      </c>
      <c r="G12" s="196">
        <v>1170</v>
      </c>
      <c r="H12" s="196">
        <v>455</v>
      </c>
      <c r="I12" s="196">
        <v>311</v>
      </c>
      <c r="J12" s="196">
        <v>181</v>
      </c>
      <c r="K12" s="196">
        <v>1488</v>
      </c>
      <c r="L12" s="196">
        <v>870</v>
      </c>
      <c r="M12" s="197">
        <f>+L12+K12+J12+I12+H12+G12+F12+E12</f>
        <v>5802</v>
      </c>
      <c r="O12" s="275"/>
    </row>
    <row r="13" spans="1:15" x14ac:dyDescent="0.2">
      <c r="A13" s="200" t="s">
        <v>16</v>
      </c>
      <c r="B13" s="201">
        <f>+B7+B12</f>
        <v>23319</v>
      </c>
      <c r="C13" s="201">
        <f>+C12+C7</f>
        <v>6036</v>
      </c>
      <c r="D13" s="201">
        <f>+D7+D8</f>
        <v>29354.79</v>
      </c>
      <c r="E13" s="201">
        <f>+E7+E8</f>
        <v>920.77</v>
      </c>
      <c r="F13" s="201">
        <f t="shared" ref="F13:M13" si="0">+F12+F7</f>
        <v>4086</v>
      </c>
      <c r="G13" s="201">
        <f t="shared" si="0"/>
        <v>6310</v>
      </c>
      <c r="H13" s="201">
        <f t="shared" si="0"/>
        <v>3150</v>
      </c>
      <c r="I13" s="201">
        <f t="shared" si="0"/>
        <v>2773</v>
      </c>
      <c r="J13" s="201">
        <f t="shared" si="0"/>
        <v>996</v>
      </c>
      <c r="K13" s="201">
        <f t="shared" si="0"/>
        <v>2255</v>
      </c>
      <c r="L13" s="201">
        <f t="shared" si="0"/>
        <v>3430</v>
      </c>
      <c r="M13" s="197">
        <f t="shared" si="0"/>
        <v>23921</v>
      </c>
    </row>
    <row r="14" spans="1:15" x14ac:dyDescent="0.2">
      <c r="A14" s="203" t="s">
        <v>17</v>
      </c>
      <c r="B14" s="204"/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</row>
    <row r="15" spans="1:15" x14ac:dyDescent="0.2">
      <c r="A15" s="205" t="s">
        <v>18</v>
      </c>
      <c r="B15" s="206">
        <v>11284.51</v>
      </c>
      <c r="C15" s="206">
        <v>3206.7</v>
      </c>
      <c r="D15" s="207">
        <f>+B15+C15</f>
        <v>14491.21</v>
      </c>
      <c r="E15" s="206">
        <v>620.37</v>
      </c>
      <c r="F15" s="206">
        <v>1330.12</v>
      </c>
      <c r="G15" s="206">
        <v>3905</v>
      </c>
      <c r="H15" s="206">
        <v>2405.6999999999998</v>
      </c>
      <c r="I15" s="206">
        <v>1975.34</v>
      </c>
      <c r="J15" s="206">
        <v>519.30999999999995</v>
      </c>
      <c r="K15" s="206">
        <v>1108.4000000000001</v>
      </c>
      <c r="L15" s="206">
        <v>2464.54</v>
      </c>
      <c r="M15" s="208">
        <f>+L15+K15+J15+I15+H15+G15+F15+E15</f>
        <v>14328.78</v>
      </c>
    </row>
    <row r="16" spans="1:15" x14ac:dyDescent="0.2">
      <c r="A16" s="205" t="s">
        <v>19</v>
      </c>
      <c r="B16" s="206">
        <v>4380</v>
      </c>
      <c r="C16" s="204"/>
      <c r="D16" s="207"/>
      <c r="E16" s="204"/>
      <c r="F16" s="204"/>
      <c r="G16" s="204"/>
      <c r="H16" s="204"/>
      <c r="I16" s="204"/>
      <c r="J16" s="204"/>
      <c r="K16" s="204"/>
      <c r="L16" s="204"/>
      <c r="M16" s="204"/>
    </row>
    <row r="17" spans="1:14" x14ac:dyDescent="0.2">
      <c r="A17" s="205" t="s">
        <v>82</v>
      </c>
      <c r="B17" s="206">
        <f>156*3.52</f>
        <v>549.12</v>
      </c>
      <c r="C17" s="204"/>
      <c r="D17" s="207">
        <f>IF(SUM(B17:C17)=0,"",SUM(B17:C17))</f>
        <v>549.12</v>
      </c>
      <c r="E17" s="204"/>
      <c r="F17" s="204"/>
      <c r="G17" s="204"/>
      <c r="H17" s="204"/>
      <c r="I17" s="204"/>
      <c r="J17" s="204"/>
      <c r="K17" s="204"/>
      <c r="L17" s="204"/>
      <c r="M17" s="204"/>
    </row>
    <row r="18" spans="1:14" x14ac:dyDescent="0.2">
      <c r="A18" s="205" t="s">
        <v>57</v>
      </c>
      <c r="B18" s="206">
        <v>84</v>
      </c>
      <c r="C18" s="206"/>
      <c r="D18" s="207"/>
      <c r="E18" s="206">
        <v>11.25</v>
      </c>
      <c r="F18" s="206">
        <v>9.7799999999999994</v>
      </c>
      <c r="G18" s="206">
        <v>9.5500000000000007</v>
      </c>
      <c r="H18" s="206">
        <v>22.13</v>
      </c>
      <c r="I18" s="206">
        <v>3.16</v>
      </c>
      <c r="J18" s="206">
        <v>5</v>
      </c>
      <c r="K18" s="206"/>
      <c r="L18" s="206">
        <v>31.85</v>
      </c>
      <c r="M18" s="208"/>
    </row>
    <row r="19" spans="1:14" ht="13.5" thickBot="1" x14ac:dyDescent="0.25">
      <c r="A19" s="209" t="s">
        <v>25</v>
      </c>
      <c r="B19" s="210">
        <f t="shared" ref="B19:M19" si="1">SUM(B15:B18)</f>
        <v>16297.630000000001</v>
      </c>
      <c r="C19" s="210">
        <f>SUM(C15:C18)</f>
        <v>3206.7</v>
      </c>
      <c r="D19" s="210">
        <f t="shared" si="1"/>
        <v>15040.33</v>
      </c>
      <c r="E19" s="210">
        <f t="shared" si="1"/>
        <v>631.62</v>
      </c>
      <c r="F19" s="210">
        <f t="shared" si="1"/>
        <v>1339.8999999999999</v>
      </c>
      <c r="G19" s="210">
        <f t="shared" si="1"/>
        <v>3914.55</v>
      </c>
      <c r="H19" s="210">
        <f t="shared" si="1"/>
        <v>2427.83</v>
      </c>
      <c r="I19" s="210">
        <f t="shared" si="1"/>
        <v>1978.5</v>
      </c>
      <c r="J19" s="210">
        <f t="shared" si="1"/>
        <v>524.30999999999995</v>
      </c>
      <c r="K19" s="210">
        <f>SUM(K15:K18)</f>
        <v>1108.4000000000001</v>
      </c>
      <c r="L19" s="210">
        <f t="shared" si="1"/>
        <v>2496.39</v>
      </c>
      <c r="M19" s="210">
        <f t="shared" si="1"/>
        <v>14328.78</v>
      </c>
    </row>
    <row r="20" spans="1:14" ht="13.5" thickTop="1" x14ac:dyDescent="0.2">
      <c r="A20" s="211" t="s">
        <v>26</v>
      </c>
      <c r="B20" s="212">
        <f>+B13-B19</f>
        <v>7021.369999999999</v>
      </c>
      <c r="C20" s="212">
        <f>+C13-C19</f>
        <v>2829.3</v>
      </c>
      <c r="D20" s="213">
        <f>+B20+C20</f>
        <v>9850.6699999999983</v>
      </c>
      <c r="E20" s="213">
        <f>E13-E19</f>
        <v>289.14999999999998</v>
      </c>
      <c r="F20" s="212">
        <f t="shared" ref="F20:L20" si="2">+F13-F19</f>
        <v>2746.1000000000004</v>
      </c>
      <c r="G20" s="212">
        <f t="shared" si="2"/>
        <v>2395.4499999999998</v>
      </c>
      <c r="H20" s="212">
        <f t="shared" si="2"/>
        <v>722.17000000000007</v>
      </c>
      <c r="I20" s="212">
        <f t="shared" si="2"/>
        <v>794.5</v>
      </c>
      <c r="J20" s="212">
        <f t="shared" si="2"/>
        <v>471.69000000000005</v>
      </c>
      <c r="K20" s="212">
        <f>+K13-K19</f>
        <v>1146.5999999999999</v>
      </c>
      <c r="L20" s="212">
        <f t="shared" si="2"/>
        <v>933.61000000000013</v>
      </c>
      <c r="M20" s="213">
        <f>SUM(E20:L20)</f>
        <v>9499.2700000000023</v>
      </c>
    </row>
    <row r="21" spans="1:14" x14ac:dyDescent="0.2">
      <c r="A21" s="214" t="s">
        <v>27</v>
      </c>
      <c r="B21" s="264">
        <v>26639.39</v>
      </c>
      <c r="C21" s="265">
        <v>11049.8</v>
      </c>
      <c r="D21" s="213">
        <f>IF(SUM(B21:C21)=0,"",SUM(B21:C21))</f>
        <v>37689.19</v>
      </c>
      <c r="E21" s="266">
        <v>904.19</v>
      </c>
      <c r="F21" s="267">
        <v>4990</v>
      </c>
      <c r="G21" s="268">
        <v>7396.78</v>
      </c>
      <c r="H21" s="269">
        <v>5500.2</v>
      </c>
      <c r="I21" s="270">
        <v>2958.16</v>
      </c>
      <c r="J21" s="271">
        <v>1419.17</v>
      </c>
      <c r="K21" s="272">
        <v>2692.69</v>
      </c>
      <c r="L21" s="273">
        <v>9975.73</v>
      </c>
      <c r="M21" s="213">
        <f>SUM(E21:L21)</f>
        <v>35836.92</v>
      </c>
      <c r="N21" s="274"/>
    </row>
    <row r="22" spans="1:14" ht="13.5" thickBot="1" x14ac:dyDescent="0.25">
      <c r="A22" s="216" t="s">
        <v>94</v>
      </c>
      <c r="B22" s="217">
        <f>+B20/B21</f>
        <v>0.26357097516121802</v>
      </c>
      <c r="C22" s="217">
        <f>+C20/C21</f>
        <v>0.25604988325580558</v>
      </c>
      <c r="D22" s="218">
        <f>IF(OR(D20="",D21=""),"",D20/D21)</f>
        <v>0.26136592481823029</v>
      </c>
      <c r="E22" s="217">
        <f t="shared" ref="E22:J22" si="3">+E20/E21</f>
        <v>0.31978898240414066</v>
      </c>
      <c r="F22" s="217">
        <f>+F20/F21</f>
        <v>0.55032064128256519</v>
      </c>
      <c r="G22" s="217">
        <f>+G20/G21</f>
        <v>0.32385037813751388</v>
      </c>
      <c r="H22" s="217">
        <f t="shared" si="3"/>
        <v>0.13129886185956877</v>
      </c>
      <c r="I22" s="217">
        <f t="shared" si="3"/>
        <v>0.26857911674824891</v>
      </c>
      <c r="J22" s="217">
        <f t="shared" si="3"/>
        <v>0.33237032913604431</v>
      </c>
      <c r="K22" s="217">
        <f>+K20/K21</f>
        <v>0.42581953362622504</v>
      </c>
      <c r="L22" s="217">
        <f>+L20/L21</f>
        <v>9.3588138411925759E-2</v>
      </c>
      <c r="M22" s="218">
        <f>IF(OR(M20="",M21=""),"",M20/M21)</f>
        <v>0.26506937538158981</v>
      </c>
    </row>
    <row r="23" spans="1:14" ht="13.5" thickTop="1" x14ac:dyDescent="0.2">
      <c r="A23" s="219" t="s">
        <v>108</v>
      </c>
      <c r="B23" s="746" t="s">
        <v>102</v>
      </c>
      <c r="C23" s="747"/>
      <c r="D23" s="748"/>
      <c r="E23" s="749" t="s">
        <v>101</v>
      </c>
      <c r="F23" s="750"/>
      <c r="G23" s="750"/>
      <c r="H23" s="750"/>
      <c r="I23" s="750"/>
      <c r="J23" s="750"/>
      <c r="K23" s="750"/>
      <c r="L23" s="750"/>
      <c r="M23" s="751"/>
    </row>
    <row r="24" spans="1:14" ht="13.5" thickBot="1" x14ac:dyDescent="0.25">
      <c r="A24" s="220"/>
      <c r="B24" s="752">
        <f>IF(D22="","",D22)</f>
        <v>0.26136592481823029</v>
      </c>
      <c r="C24" s="752"/>
      <c r="D24" s="752"/>
      <c r="E24" s="753">
        <f>IF(M22="","",M22)</f>
        <v>0.26506937538158981</v>
      </c>
      <c r="F24" s="753"/>
      <c r="G24" s="753"/>
      <c r="H24" s="753"/>
      <c r="I24" s="753"/>
      <c r="J24" s="753"/>
      <c r="K24" s="753"/>
      <c r="L24" s="753"/>
      <c r="M24" s="753"/>
    </row>
    <row r="25" spans="1:14" ht="13.5" thickTop="1" x14ac:dyDescent="0.2">
      <c r="A25" s="221"/>
      <c r="B25" s="221"/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</row>
    <row r="26" spans="1:14" ht="13.5" thickBot="1" x14ac:dyDescent="0.25">
      <c r="A26" s="222" t="s">
        <v>105</v>
      </c>
      <c r="B26" s="223">
        <f>+(JUILLET!B20+AOUT!B20+SEPT!B20+'OCT 2015'!B20+'NOV 2015'!B20+'DEC 2015'!B20+'JANV 2016'!B20)/(JUILLET!B21+AOUT!B21+SEPT!B21+'OCT 2015'!B21+'NOV 2015'!B21+'DEC 2015'!B21+'JANV 2016'!B21)</f>
        <v>0.41367111254230882</v>
      </c>
      <c r="C26" s="223">
        <f>+(JUILLET!C20+AOUT!C20+SEPT!C20+'OCT 2015'!C20+'NOV 2015'!C20+'DEC 2015'!C20+'JANV 2016'!C20)/(JUILLET!C21+AOUT!C21+SEPT!C21+'OCT 2015'!C21+'NOV 2015'!C21+'DEC 2015'!C21+'JANV 2016'!C21)</f>
        <v>0.31998091751724567</v>
      </c>
      <c r="D26" s="223">
        <f>+(JUILLET!D20+AOUT!D20+SEPT!D20+'OCT 2015'!D20+'NOV 2015'!D20+'DEC 2015'!D20+'JANV 2016'!D20)/(JUILLET!D21+AOUT!D21+SEPT!D21+'OCT 2015'!D21+'NOV 2015'!D21+'DEC 2015'!D21+'JANV 2016'!D21)</f>
        <v>0.38072017274849435</v>
      </c>
      <c r="E26" s="223">
        <f>+(JUILLET!E20+AOUT!E20+SEPT!E20+'OCT 2015'!E20+'NOV 2015'!E20+'DEC 2015'!E20+'JANV 2016'!E20)/(JUILLET!E21+AOUT!E21+SEPT!E21+'OCT 2015'!E21+'NOV 2015'!E21+'DEC 2015'!E21+'JANV 2016'!E21)</f>
        <v>0.35001447805427599</v>
      </c>
      <c r="F26" s="223">
        <f>+(JUILLET!F20+AOUT!F20+SEPT!F20+'OCT 2015'!F20+'NOV 2015'!F20+'DEC 2015'!F20+'JANV 2016'!F20)/(JUILLET!F21+AOUT!F21+SEPT!F21+'OCT 2015'!F21+'NOV 2015'!F21+'DEC 2015'!F21+'JANV 2016'!F21)</f>
        <v>0.54191844682474666</v>
      </c>
      <c r="G26" s="223">
        <f>+(JUILLET!G20+AOUT!G20+SEPT!G20+'OCT 2015'!G20+'NOV 2015'!G20+'DEC 2015'!G20+'JANV 2016'!G20)/(JUILLET!G21+AOUT!G21+SEPT!G21+'OCT 2015'!G21+'NOV 2015'!G21+'DEC 2015'!G21+'JANV 2016'!G21)</f>
        <v>0.3537656707901175</v>
      </c>
      <c r="H26" s="223">
        <f>+(JUILLET!H20+AOUT!H20+SEPT!H20+'OCT 2015'!H20+'NOV 2015'!H20+'DEC 2015'!H20+'JANV 2016'!H20)/(JUILLET!H21+AOUT!H21+SEPT!H21+'OCT 2015'!H21+'NOV 2015'!H21+'DEC 2015'!H21+'JANV 2016'!H21)</f>
        <v>0.17785707258151506</v>
      </c>
      <c r="I26" s="223">
        <f>+(JUILLET!I20+AOUT!I20+SEPT!I20+'OCT 2015'!I20+'NOV 2015'!I20+'DEC 2015'!I20+'JANV 2016'!I20)/(JUILLET!I21+AOUT!I21+SEPT!I21+'OCT 2015'!I21+'NOV 2015'!I21+'DEC 2015'!I21+'JANV 2016'!I21)</f>
        <v>0.28772804120736267</v>
      </c>
      <c r="J26" s="223">
        <f>+(JUILLET!J20+AOUT!J20+SEPT!J20+'OCT 2015'!J20+'NOV 2015'!J20+'DEC 2015'!J20+'JANV 2016'!J20)/(JUILLET!J21+AOUT!J21+SEPT!J21+'OCT 2015'!J21+'NOV 2015'!J21+'DEC 2015'!J21+'JANV 2016'!J21)</f>
        <v>0.3025608073109271</v>
      </c>
      <c r="K26" s="223">
        <f>+(JUILLET!K20+AOUT!K20+SEPT!K20+'OCT 2015'!K20+'NOV 2015'!K20+'DEC 2015'!K20+'JANV 2016'!K20)/(JUILLET!K21+AOUT!K21+SEPT!K21+'OCT 2015'!K21+'NOV 2015'!K21+'DEC 2015'!K21+'JANV 2016'!K21)</f>
        <v>0.4223568501440485</v>
      </c>
      <c r="L26" s="223">
        <f>+(JUILLET!L20+AOUT!L20+SEPT!L20+'OCT 2015'!L20+'NOV 2015'!L20+'DEC 2015'!L20+'JANV 2016'!L20)/(JUILLET!L21+AOUT!L21+SEPT!L21+'OCT 2015'!L21+'NOV 2015'!L21+'DEC 2015'!L21+'JANV 2016'!L21)</f>
        <v>0.1696640745722971</v>
      </c>
      <c r="M26" s="223">
        <f>+(JUILLET!M20+AOUT!M20+SEPT!M20+'OCT 2015'!M20+'NOV 2015'!M20+'DEC 2015'!M20+'JANV 2016'!M20)/(JUILLET!M21+AOUT!M21+SEPT!M21+'OCT 2015'!M21+'NOV 2015'!M21+'DEC 2015'!M21+'JANV 2016'!M21)</f>
        <v>0.30857301538039722</v>
      </c>
    </row>
    <row r="27" spans="1:14" ht="13.5" thickBot="1" x14ac:dyDescent="0.25">
      <c r="A27" s="225" t="s">
        <v>99</v>
      </c>
      <c r="B27" s="226">
        <v>0.31</v>
      </c>
      <c r="C27" s="226">
        <v>0.31</v>
      </c>
      <c r="D27" s="226">
        <v>0.31</v>
      </c>
      <c r="E27" s="226">
        <v>0.47</v>
      </c>
      <c r="F27" s="226">
        <v>0.46</v>
      </c>
      <c r="G27" s="226">
        <v>0.3</v>
      </c>
      <c r="H27" s="226">
        <v>0.15</v>
      </c>
      <c r="I27" s="226">
        <v>0.24</v>
      </c>
      <c r="J27" s="226">
        <v>0.2</v>
      </c>
      <c r="K27" s="226">
        <v>0.3</v>
      </c>
      <c r="L27" s="226">
        <v>0.15</v>
      </c>
      <c r="M27" s="227">
        <v>0.25</v>
      </c>
    </row>
    <row r="28" spans="1:14" x14ac:dyDescent="0.2">
      <c r="A28" s="228" t="s">
        <v>106</v>
      </c>
      <c r="B28" s="229">
        <f>+B22-B27</f>
        <v>-4.6429024838781974E-2</v>
      </c>
      <c r="C28" s="229">
        <f>+C22-C27</f>
        <v>-5.3950116744194421E-2</v>
      </c>
      <c r="D28" s="229">
        <f t="shared" ref="D28:M28" si="4">+D22-D27</f>
        <v>-4.8634075181769709E-2</v>
      </c>
      <c r="E28" s="229">
        <f>+E22-E27</f>
        <v>-0.15021101759585931</v>
      </c>
      <c r="F28" s="229">
        <f>+F22-F27</f>
        <v>9.0320641282565173E-2</v>
      </c>
      <c r="G28" s="229">
        <f t="shared" si="4"/>
        <v>2.3850378137513895E-2</v>
      </c>
      <c r="H28" s="229">
        <f t="shared" si="4"/>
        <v>-1.8701138140431228E-2</v>
      </c>
      <c r="I28" s="229">
        <f t="shared" si="4"/>
        <v>2.8579116748248923E-2</v>
      </c>
      <c r="J28" s="229">
        <f t="shared" si="4"/>
        <v>0.1323703291360443</v>
      </c>
      <c r="K28" s="229">
        <f t="shared" si="4"/>
        <v>0.12581953362622506</v>
      </c>
      <c r="L28" s="229">
        <f t="shared" si="4"/>
        <v>-5.6411861588074236E-2</v>
      </c>
      <c r="M28" s="229">
        <f t="shared" si="4"/>
        <v>1.5069375381589811E-2</v>
      </c>
    </row>
    <row r="29" spans="1:14" ht="13.5" thickBot="1" x14ac:dyDescent="0.25">
      <c r="A29" s="231" t="s">
        <v>107</v>
      </c>
      <c r="B29" s="297"/>
      <c r="C29" s="297"/>
      <c r="D29" s="232"/>
      <c r="E29" s="232"/>
      <c r="F29" s="232"/>
      <c r="G29" s="232"/>
      <c r="H29" s="232"/>
      <c r="I29" s="232"/>
      <c r="J29" s="232"/>
      <c r="K29" s="232"/>
      <c r="L29" s="232"/>
      <c r="M29" s="232"/>
    </row>
    <row r="30" spans="1:14" s="296" customFormat="1" x14ac:dyDescent="0.2">
      <c r="A30" s="775" t="s">
        <v>132</v>
      </c>
      <c r="B30" s="769" t="s">
        <v>133</v>
      </c>
      <c r="C30" s="766">
        <v>256.89999999999998</v>
      </c>
      <c r="D30" s="772">
        <v>257</v>
      </c>
      <c r="E30" s="766">
        <v>1.9</v>
      </c>
      <c r="F30" s="766">
        <v>157.37</v>
      </c>
      <c r="G30" s="766">
        <v>14.85</v>
      </c>
      <c r="H30" s="766">
        <v>9.07</v>
      </c>
      <c r="I30" s="766">
        <v>4.67</v>
      </c>
      <c r="J30" s="766">
        <v>0</v>
      </c>
      <c r="K30" s="766">
        <v>7.88</v>
      </c>
      <c r="L30" s="766">
        <v>0</v>
      </c>
      <c r="M30" s="772">
        <f>+SUM(E30:L32)</f>
        <v>195.73999999999998</v>
      </c>
    </row>
    <row r="31" spans="1:14" s="296" customFormat="1" x14ac:dyDescent="0.2">
      <c r="A31" s="776"/>
      <c r="B31" s="770"/>
      <c r="C31" s="767"/>
      <c r="D31" s="773"/>
      <c r="E31" s="767"/>
      <c r="F31" s="767"/>
      <c r="G31" s="767"/>
      <c r="H31" s="767"/>
      <c r="I31" s="767"/>
      <c r="J31" s="767"/>
      <c r="K31" s="767"/>
      <c r="L31" s="767"/>
      <c r="M31" s="773"/>
    </row>
    <row r="32" spans="1:14" s="296" customFormat="1" ht="13.5" thickBot="1" x14ac:dyDescent="0.25">
      <c r="A32" s="776"/>
      <c r="B32" s="771"/>
      <c r="C32" s="768"/>
      <c r="D32" s="774"/>
      <c r="E32" s="768"/>
      <c r="F32" s="768"/>
      <c r="G32" s="768"/>
      <c r="H32" s="768"/>
      <c r="I32" s="768"/>
      <c r="J32" s="768"/>
      <c r="K32" s="768"/>
      <c r="L32" s="768"/>
      <c r="M32" s="774"/>
    </row>
    <row r="33" spans="1:16" x14ac:dyDescent="0.2">
      <c r="A33" s="221"/>
      <c r="B33" s="765" t="s">
        <v>97</v>
      </c>
      <c r="C33" s="765"/>
      <c r="D33" s="754"/>
      <c r="E33" s="754"/>
      <c r="F33" s="754"/>
      <c r="G33" s="754"/>
      <c r="H33" s="754"/>
      <c r="I33" s="754"/>
      <c r="J33" s="754"/>
      <c r="K33" s="754"/>
      <c r="L33" s="754"/>
      <c r="M33" s="754"/>
    </row>
    <row r="34" spans="1:16" x14ac:dyDescent="0.2">
      <c r="A34" s="235"/>
      <c r="B34" s="763" t="s">
        <v>3</v>
      </c>
      <c r="C34" s="744" t="s">
        <v>90</v>
      </c>
      <c r="D34" s="745" t="s">
        <v>93</v>
      </c>
      <c r="E34" s="743" t="s">
        <v>91</v>
      </c>
      <c r="F34" s="743" t="s">
        <v>92</v>
      </c>
      <c r="G34" s="743" t="s">
        <v>83</v>
      </c>
      <c r="H34" s="743" t="s">
        <v>84</v>
      </c>
      <c r="I34" s="743" t="s">
        <v>86</v>
      </c>
      <c r="J34" s="743" t="s">
        <v>85</v>
      </c>
      <c r="K34" s="743" t="s">
        <v>89</v>
      </c>
      <c r="L34" s="743" t="s">
        <v>87</v>
      </c>
      <c r="M34" s="737" t="s">
        <v>88</v>
      </c>
    </row>
    <row r="35" spans="1:16" x14ac:dyDescent="0.2">
      <c r="A35" s="236"/>
      <c r="B35" s="763"/>
      <c r="C35" s="744"/>
      <c r="D35" s="745"/>
      <c r="E35" s="743"/>
      <c r="F35" s="743"/>
      <c r="G35" s="743"/>
      <c r="H35" s="743"/>
      <c r="I35" s="743"/>
      <c r="J35" s="743"/>
      <c r="K35" s="743"/>
      <c r="L35" s="743"/>
      <c r="M35" s="737"/>
      <c r="O35" s="279"/>
      <c r="P35" s="278"/>
    </row>
    <row r="36" spans="1:16" x14ac:dyDescent="0.2">
      <c r="A36" s="237" t="s">
        <v>129</v>
      </c>
      <c r="B36" s="292"/>
      <c r="C36" s="292"/>
      <c r="D36" s="285"/>
      <c r="E36" s="282"/>
      <c r="F36" s="282"/>
      <c r="G36" s="290">
        <v>325.5</v>
      </c>
      <c r="H36" s="282"/>
      <c r="I36" s="282"/>
      <c r="J36" s="290">
        <v>182.13</v>
      </c>
      <c r="K36" s="282"/>
      <c r="L36" s="290">
        <v>264</v>
      </c>
      <c r="M36" s="283"/>
      <c r="O36" s="286"/>
      <c r="P36" s="286"/>
    </row>
    <row r="37" spans="1:16" x14ac:dyDescent="0.2">
      <c r="A37" s="288" t="s">
        <v>11</v>
      </c>
      <c r="B37" s="293">
        <v>3162</v>
      </c>
      <c r="C37" s="294">
        <v>98</v>
      </c>
      <c r="D37" s="295">
        <f>+B37+C37</f>
        <v>3260</v>
      </c>
      <c r="E37" s="282"/>
      <c r="F37" s="282"/>
      <c r="G37" s="290">
        <v>0</v>
      </c>
      <c r="H37" s="282"/>
      <c r="I37" s="282"/>
      <c r="J37" s="290">
        <v>177.31</v>
      </c>
      <c r="K37" s="282"/>
      <c r="L37" s="290">
        <v>0</v>
      </c>
      <c r="M37" s="283"/>
      <c r="O37" s="286"/>
      <c r="P37" s="286"/>
    </row>
    <row r="38" spans="1:16" x14ac:dyDescent="0.2">
      <c r="A38" s="288" t="s">
        <v>15</v>
      </c>
      <c r="B38" s="287">
        <v>3162</v>
      </c>
      <c r="C38" s="284">
        <v>98</v>
      </c>
      <c r="D38" s="285">
        <f>+B38+C38</f>
        <v>3260</v>
      </c>
      <c r="E38" s="282"/>
      <c r="F38" s="282"/>
      <c r="G38" s="282">
        <f>+G36+G37</f>
        <v>325.5</v>
      </c>
      <c r="H38" s="282"/>
      <c r="I38" s="282"/>
      <c r="J38" s="282">
        <f>+J36+J37</f>
        <v>359.44</v>
      </c>
      <c r="K38" s="282"/>
      <c r="L38" s="282">
        <f>+L36+L37</f>
        <v>264</v>
      </c>
      <c r="M38" s="283"/>
      <c r="O38" s="286"/>
      <c r="P38" s="286"/>
    </row>
    <row r="39" spans="1:16" x14ac:dyDescent="0.2">
      <c r="A39" s="288" t="s">
        <v>130</v>
      </c>
      <c r="B39" s="292"/>
      <c r="C39" s="292"/>
      <c r="D39" s="285"/>
      <c r="E39" s="282"/>
      <c r="F39" s="282"/>
      <c r="G39" s="290">
        <v>424.9</v>
      </c>
      <c r="H39" s="282"/>
      <c r="I39" s="282"/>
      <c r="J39" s="290">
        <v>141.02000000000001</v>
      </c>
      <c r="K39" s="282"/>
      <c r="L39" s="282">
        <v>141.02000000000001</v>
      </c>
      <c r="M39" s="283"/>
      <c r="O39" s="286"/>
      <c r="P39" s="286"/>
    </row>
    <row r="40" spans="1:16" x14ac:dyDescent="0.2">
      <c r="A40" s="237" t="s">
        <v>131</v>
      </c>
      <c r="B40" s="238">
        <v>3161.5</v>
      </c>
      <c r="C40" s="238">
        <v>97.75</v>
      </c>
      <c r="D40" s="239">
        <f>+B40+C40</f>
        <v>3259.25</v>
      </c>
      <c r="E40" s="242"/>
      <c r="F40" s="242"/>
      <c r="G40" s="289">
        <f>+G38-G39</f>
        <v>-99.399999999999977</v>
      </c>
      <c r="H40" s="242"/>
      <c r="I40" s="242"/>
      <c r="J40" s="242">
        <f>+J38-J39</f>
        <v>218.42</v>
      </c>
      <c r="K40" s="242"/>
      <c r="L40" s="242">
        <f>+L38-L39</f>
        <v>122.97999999999999</v>
      </c>
      <c r="M40" s="240">
        <f>+G40+J40+L40</f>
        <v>242</v>
      </c>
      <c r="N40" s="278"/>
      <c r="O40" s="279"/>
      <c r="P40" s="278"/>
    </row>
    <row r="41" spans="1:16" x14ac:dyDescent="0.2">
      <c r="A41" s="214" t="s">
        <v>27</v>
      </c>
      <c r="B41" s="241">
        <v>12646.41</v>
      </c>
      <c r="C41" s="242">
        <v>390.92</v>
      </c>
      <c r="D41" s="243">
        <f>IF(SUM(B41:C41)=0,"",SUM(B41:C41))</f>
        <v>13037.33</v>
      </c>
      <c r="E41" s="242"/>
      <c r="F41" s="242"/>
      <c r="G41" s="242">
        <v>1543.35</v>
      </c>
      <c r="H41" s="242"/>
      <c r="I41" s="242"/>
      <c r="J41" s="242">
        <v>2266.37</v>
      </c>
      <c r="K41" s="242"/>
      <c r="L41" s="242">
        <v>1443</v>
      </c>
      <c r="M41" s="243">
        <f>SUM(E41:L41)</f>
        <v>5252.7199999999993</v>
      </c>
      <c r="N41" s="281"/>
      <c r="O41" s="279"/>
      <c r="P41" s="278"/>
    </row>
    <row r="42" spans="1:16" ht="13.5" thickBot="1" x14ac:dyDescent="0.25">
      <c r="A42" s="278"/>
      <c r="B42" s="244">
        <f>+B40/B41</f>
        <v>0.24999189493302842</v>
      </c>
      <c r="C42" s="244">
        <f>+C40/C41</f>
        <v>0.2500511613629387</v>
      </c>
      <c r="D42" s="244">
        <f>IF(OR(D40="",D41=""),"",D40/D41)</f>
        <v>0.24999367201719985</v>
      </c>
      <c r="E42" s="244"/>
      <c r="F42" s="244"/>
      <c r="G42" s="280"/>
      <c r="H42" s="244"/>
      <c r="I42" s="244"/>
      <c r="J42" s="291">
        <f>+J40/J41</f>
        <v>9.6374378411292067E-2</v>
      </c>
      <c r="K42" s="244"/>
      <c r="L42" s="291">
        <f>+L40/L41</f>
        <v>8.5225225225225215E-2</v>
      </c>
      <c r="M42" s="245"/>
      <c r="N42" s="281"/>
      <c r="O42" s="279"/>
      <c r="P42" s="278"/>
    </row>
    <row r="43" spans="1:16" ht="13.5" thickTop="1" x14ac:dyDescent="0.2">
      <c r="A43" s="738" t="s">
        <v>94</v>
      </c>
      <c r="B43" s="740" t="s">
        <v>95</v>
      </c>
      <c r="C43" s="740"/>
      <c r="D43" s="740"/>
      <c r="E43" s="741" t="s">
        <v>98</v>
      </c>
      <c r="F43" s="741"/>
      <c r="G43" s="741"/>
      <c r="H43" s="741"/>
      <c r="I43" s="741"/>
      <c r="J43" s="741"/>
      <c r="K43" s="741"/>
      <c r="L43" s="741"/>
      <c r="M43" s="741"/>
      <c r="O43" s="278"/>
    </row>
    <row r="44" spans="1:16" ht="13.5" thickBot="1" x14ac:dyDescent="0.25">
      <c r="A44" s="739"/>
      <c r="B44" s="764">
        <f>IF(D42="","",D42)</f>
        <v>0.24999367201719985</v>
      </c>
      <c r="C44" s="764"/>
      <c r="D44" s="764"/>
      <c r="E44" s="764">
        <f>+M40/M41</f>
        <v>4.6071368738482166E-2</v>
      </c>
      <c r="F44" s="764"/>
      <c r="G44" s="764"/>
      <c r="H44" s="764"/>
      <c r="I44" s="764"/>
      <c r="J44" s="764"/>
      <c r="K44" s="764"/>
      <c r="L44" s="764"/>
      <c r="M44" s="764"/>
    </row>
    <row r="45" spans="1:16" ht="13.5" thickTop="1" x14ac:dyDescent="0.2"/>
  </sheetData>
  <mergeCells count="51">
    <mergeCell ref="A30:A32"/>
    <mergeCell ref="D30:D32"/>
    <mergeCell ref="F30:F32"/>
    <mergeCell ref="G30:G32"/>
    <mergeCell ref="H30:H32"/>
    <mergeCell ref="L4:L5"/>
    <mergeCell ref="M4:M5"/>
    <mergeCell ref="B1:M1"/>
    <mergeCell ref="B2:M2"/>
    <mergeCell ref="B3:D3"/>
    <mergeCell ref="E3:M3"/>
    <mergeCell ref="B4:B5"/>
    <mergeCell ref="C4:C5"/>
    <mergeCell ref="D4:D5"/>
    <mergeCell ref="E4:E5"/>
    <mergeCell ref="F4:F5"/>
    <mergeCell ref="G4:G5"/>
    <mergeCell ref="F34:F35"/>
    <mergeCell ref="H4:H5"/>
    <mergeCell ref="I4:I5"/>
    <mergeCell ref="J4:J5"/>
    <mergeCell ref="K4:K5"/>
    <mergeCell ref="I30:I32"/>
    <mergeCell ref="J30:J32"/>
    <mergeCell ref="K30:K32"/>
    <mergeCell ref="B23:D23"/>
    <mergeCell ref="E23:M23"/>
    <mergeCell ref="B24:D24"/>
    <mergeCell ref="E24:M24"/>
    <mergeCell ref="B33:M33"/>
    <mergeCell ref="E30:E32"/>
    <mergeCell ref="B30:B32"/>
    <mergeCell ref="C30:C32"/>
    <mergeCell ref="L30:L32"/>
    <mergeCell ref="M30:M32"/>
    <mergeCell ref="M34:M35"/>
    <mergeCell ref="A43:A44"/>
    <mergeCell ref="B43:D43"/>
    <mergeCell ref="E43:M43"/>
    <mergeCell ref="B44:D44"/>
    <mergeCell ref="E44:M44"/>
    <mergeCell ref="G34:G35"/>
    <mergeCell ref="H34:H35"/>
    <mergeCell ref="I34:I35"/>
    <mergeCell ref="J34:J35"/>
    <mergeCell ref="K34:K35"/>
    <mergeCell ref="L34:L35"/>
    <mergeCell ref="B34:B35"/>
    <mergeCell ref="C34:C35"/>
    <mergeCell ref="D34:D35"/>
    <mergeCell ref="E34:E35"/>
  </mergeCells>
  <conditionalFormatting sqref="B30">
    <cfRule type="cellIs" dxfId="10" priority="2" operator="greaterThan">
      <formula>0.13</formula>
    </cfRule>
    <cfRule type="cellIs" dxfId="9" priority="3" operator="greaterThan">
      <formula>0.13</formula>
    </cfRule>
    <cfRule type="cellIs" dxfId="8" priority="4" operator="greaterThan">
      <formula>0.03</formula>
    </cfRule>
    <cfRule type="cellIs" dxfId="7" priority="5" operator="greaterThan">
      <formula>0</formula>
    </cfRule>
  </conditionalFormatting>
  <conditionalFormatting sqref="B28:M29">
    <cfRule type="cellIs" dxfId="6" priority="1" operator="greaterThan">
      <formula>0.01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P39"/>
  <sheetViews>
    <sheetView workbookViewId="0">
      <selection activeCell="B24" sqref="B24"/>
    </sheetView>
  </sheetViews>
  <sheetFormatPr baseColWidth="10" defaultRowHeight="12.75" x14ac:dyDescent="0.2"/>
  <cols>
    <col min="1" max="1" width="26.140625" customWidth="1"/>
  </cols>
  <sheetData>
    <row r="1" spans="1:15" ht="24.75" customHeight="1" x14ac:dyDescent="0.2">
      <c r="A1" s="302"/>
      <c r="B1" s="777" t="s">
        <v>134</v>
      </c>
      <c r="C1" s="777"/>
      <c r="D1" s="777"/>
      <c r="E1" s="777"/>
      <c r="F1" s="777"/>
      <c r="G1" s="777"/>
      <c r="H1" s="777"/>
      <c r="I1" s="777"/>
      <c r="J1" s="777"/>
      <c r="K1" s="777"/>
      <c r="L1" s="777"/>
      <c r="M1" s="777"/>
    </row>
    <row r="2" spans="1:15" x14ac:dyDescent="0.2">
      <c r="A2" s="302"/>
      <c r="B2" s="758" t="s">
        <v>96</v>
      </c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</row>
    <row r="3" spans="1:15" x14ac:dyDescent="0.2">
      <c r="A3" s="187"/>
      <c r="B3" s="759" t="s">
        <v>103</v>
      </c>
      <c r="C3" s="759"/>
      <c r="D3" s="759"/>
      <c r="E3" s="760" t="s">
        <v>104</v>
      </c>
      <c r="F3" s="760"/>
      <c r="G3" s="760"/>
      <c r="H3" s="760"/>
      <c r="I3" s="760"/>
      <c r="J3" s="760"/>
      <c r="K3" s="760"/>
      <c r="L3" s="760"/>
      <c r="M3" s="760"/>
    </row>
    <row r="4" spans="1:15" x14ac:dyDescent="0.2">
      <c r="A4" s="187"/>
      <c r="B4" s="763" t="s">
        <v>3</v>
      </c>
      <c r="C4" s="759" t="s">
        <v>90</v>
      </c>
      <c r="D4" s="761" t="s">
        <v>93</v>
      </c>
      <c r="E4" s="755" t="s">
        <v>91</v>
      </c>
      <c r="F4" s="755" t="s">
        <v>100</v>
      </c>
      <c r="G4" s="755" t="s">
        <v>83</v>
      </c>
      <c r="H4" s="755" t="s">
        <v>84</v>
      </c>
      <c r="I4" s="755" t="s">
        <v>86</v>
      </c>
      <c r="J4" s="755" t="s">
        <v>85</v>
      </c>
      <c r="K4" s="755" t="s">
        <v>89</v>
      </c>
      <c r="L4" s="755" t="s">
        <v>87</v>
      </c>
      <c r="M4" s="756" t="s">
        <v>137</v>
      </c>
    </row>
    <row r="5" spans="1:15" x14ac:dyDescent="0.2">
      <c r="A5" s="188"/>
      <c r="B5" s="763"/>
      <c r="C5" s="759"/>
      <c r="D5" s="761"/>
      <c r="E5" s="755"/>
      <c r="F5" s="755"/>
      <c r="G5" s="755"/>
      <c r="H5" s="755"/>
      <c r="I5" s="755"/>
      <c r="J5" s="755"/>
      <c r="K5" s="755"/>
      <c r="L5" s="755"/>
      <c r="M5" s="756"/>
    </row>
    <row r="6" spans="1:15" x14ac:dyDescent="0.2">
      <c r="A6" s="189" t="s">
        <v>9</v>
      </c>
      <c r="B6" s="190"/>
      <c r="C6" s="191"/>
      <c r="D6" s="192"/>
      <c r="E6" s="191"/>
      <c r="F6" s="191"/>
      <c r="G6" s="191"/>
      <c r="H6" s="191"/>
      <c r="I6" s="191"/>
      <c r="J6" s="191"/>
      <c r="K6" s="191"/>
      <c r="L6" s="191"/>
      <c r="M6" s="193"/>
    </row>
    <row r="7" spans="1:15" x14ac:dyDescent="0.2">
      <c r="A7" s="194" t="s">
        <v>10</v>
      </c>
      <c r="B7" s="195">
        <v>11285</v>
      </c>
      <c r="C7" s="195">
        <v>3207</v>
      </c>
      <c r="D7" s="196">
        <f>+B7+C7</f>
        <v>14492</v>
      </c>
      <c r="E7" s="195">
        <v>620</v>
      </c>
      <c r="F7" s="195">
        <v>1330</v>
      </c>
      <c r="G7" s="195">
        <v>3905</v>
      </c>
      <c r="H7" s="195">
        <v>2406</v>
      </c>
      <c r="I7" s="195">
        <v>1975</v>
      </c>
      <c r="J7" s="195">
        <v>519</v>
      </c>
      <c r="K7" s="195">
        <v>1108</v>
      </c>
      <c r="L7" s="195">
        <v>2465</v>
      </c>
      <c r="M7" s="197">
        <f>+SUM(E7:L7)</f>
        <v>14328</v>
      </c>
    </row>
    <row r="8" spans="1:15" x14ac:dyDescent="0.2">
      <c r="A8" s="198" t="s">
        <v>11</v>
      </c>
      <c r="B8" s="196">
        <v>12674.55</v>
      </c>
      <c r="C8" s="196">
        <v>3439.95</v>
      </c>
      <c r="D8" s="196">
        <f>+B8+C8</f>
        <v>16114.5</v>
      </c>
      <c r="E8" s="196">
        <v>213.34</v>
      </c>
      <c r="F8" s="196">
        <v>2951.52</v>
      </c>
      <c r="G8" s="196">
        <v>2739.89</v>
      </c>
      <c r="H8" s="196">
        <v>1147.06</v>
      </c>
      <c r="I8" s="196">
        <v>967.5</v>
      </c>
      <c r="J8" s="196">
        <v>532.86</v>
      </c>
      <c r="K8" s="196">
        <v>1635.37</v>
      </c>
      <c r="L8" s="196">
        <v>580.4</v>
      </c>
      <c r="M8" s="197">
        <f>+L8+K8+J8+I8+H8+G8+F8+E8</f>
        <v>10767.94</v>
      </c>
    </row>
    <row r="9" spans="1:15" x14ac:dyDescent="0.2">
      <c r="A9" s="304" t="s">
        <v>135</v>
      </c>
      <c r="B9" s="305">
        <v>111.6</v>
      </c>
      <c r="C9" s="305">
        <f>44.33+51.46+42.47</f>
        <v>138.26</v>
      </c>
      <c r="D9" s="306">
        <f>138+112</f>
        <v>250</v>
      </c>
      <c r="E9" s="305">
        <v>17.95</v>
      </c>
      <c r="F9" s="305">
        <v>275.76</v>
      </c>
      <c r="G9" s="305">
        <v>19.03</v>
      </c>
      <c r="H9" s="305">
        <v>8.1</v>
      </c>
      <c r="I9" s="305">
        <v>34.51</v>
      </c>
      <c r="J9" s="305">
        <v>3.12</v>
      </c>
      <c r="K9" s="305">
        <v>23.14</v>
      </c>
      <c r="L9" s="305">
        <v>0</v>
      </c>
      <c r="M9" s="307">
        <f>+SUM(E9:L9)</f>
        <v>381.61</v>
      </c>
    </row>
    <row r="10" spans="1:15" x14ac:dyDescent="0.2">
      <c r="A10" s="194" t="s">
        <v>15</v>
      </c>
      <c r="B10" s="196">
        <f>+B8+0</f>
        <v>12674.55</v>
      </c>
      <c r="C10" s="196">
        <f>+C8+0</f>
        <v>3439.95</v>
      </c>
      <c r="D10" s="196">
        <f>+B10+C10</f>
        <v>16114.5</v>
      </c>
      <c r="E10" s="196">
        <f>+E8+0</f>
        <v>213.34</v>
      </c>
      <c r="F10" s="196">
        <f t="shared" ref="F10:L10" si="0">+F8+0</f>
        <v>2951.52</v>
      </c>
      <c r="G10" s="196">
        <f t="shared" si="0"/>
        <v>2739.89</v>
      </c>
      <c r="H10" s="196">
        <f t="shared" si="0"/>
        <v>1147.06</v>
      </c>
      <c r="I10" s="196">
        <f t="shared" si="0"/>
        <v>967.5</v>
      </c>
      <c r="J10" s="196">
        <f t="shared" si="0"/>
        <v>532.86</v>
      </c>
      <c r="K10" s="196">
        <f t="shared" si="0"/>
        <v>1635.37</v>
      </c>
      <c r="L10" s="196">
        <f t="shared" si="0"/>
        <v>580.4</v>
      </c>
      <c r="M10" s="197">
        <f>+L10+K10+J10+I10+H10+G10+F10+E10</f>
        <v>10767.94</v>
      </c>
      <c r="O10" s="275"/>
    </row>
    <row r="11" spans="1:15" x14ac:dyDescent="0.2">
      <c r="A11" s="200" t="s">
        <v>16</v>
      </c>
      <c r="B11" s="201">
        <f t="shared" ref="B11:L11" si="1">+B7+B10</f>
        <v>23959.55</v>
      </c>
      <c r="C11" s="201">
        <f>+C7+C10</f>
        <v>6646.95</v>
      </c>
      <c r="D11" s="201">
        <f t="shared" si="1"/>
        <v>30606.5</v>
      </c>
      <c r="E11" s="201">
        <f t="shared" si="1"/>
        <v>833.34</v>
      </c>
      <c r="F11" s="201">
        <f t="shared" si="1"/>
        <v>4281.5200000000004</v>
      </c>
      <c r="G11" s="201">
        <f t="shared" si="1"/>
        <v>6644.8899999999994</v>
      </c>
      <c r="H11" s="201">
        <f t="shared" si="1"/>
        <v>3553.06</v>
      </c>
      <c r="I11" s="201">
        <f t="shared" si="1"/>
        <v>2942.5</v>
      </c>
      <c r="J11" s="201">
        <f t="shared" si="1"/>
        <v>1051.8600000000001</v>
      </c>
      <c r="K11" s="201">
        <f t="shared" si="1"/>
        <v>2743.37</v>
      </c>
      <c r="L11" s="201">
        <f t="shared" si="1"/>
        <v>3045.4</v>
      </c>
      <c r="M11" s="197">
        <f>+SUM(E11:L11)</f>
        <v>25095.94</v>
      </c>
    </row>
    <row r="12" spans="1:15" x14ac:dyDescent="0.2">
      <c r="A12" s="203" t="s">
        <v>17</v>
      </c>
      <c r="B12" s="204"/>
      <c r="C12" s="204"/>
      <c r="D12" s="204"/>
      <c r="E12" s="204"/>
      <c r="F12" s="204"/>
      <c r="G12" s="204"/>
      <c r="H12" s="204"/>
      <c r="I12" s="204"/>
      <c r="J12" s="204"/>
      <c r="K12" s="204"/>
      <c r="L12" s="204"/>
      <c r="M12" s="204"/>
    </row>
    <row r="13" spans="1:15" x14ac:dyDescent="0.2">
      <c r="A13" s="205" t="s">
        <v>18</v>
      </c>
      <c r="B13" s="206">
        <v>10539.4</v>
      </c>
      <c r="C13" s="206">
        <v>3062.9</v>
      </c>
      <c r="D13" s="207">
        <f>+C13+B13</f>
        <v>13602.3</v>
      </c>
      <c r="E13" s="206">
        <v>560</v>
      </c>
      <c r="F13" s="206">
        <v>1919.75</v>
      </c>
      <c r="G13" s="206">
        <v>4259.71</v>
      </c>
      <c r="H13" s="206">
        <v>2557</v>
      </c>
      <c r="I13" s="206">
        <v>1857.71</v>
      </c>
      <c r="J13" s="206">
        <v>696</v>
      </c>
      <c r="K13" s="206">
        <v>833.68</v>
      </c>
      <c r="L13" s="206">
        <v>2422.87</v>
      </c>
      <c r="M13" s="208"/>
    </row>
    <row r="14" spans="1:15" x14ac:dyDescent="0.2">
      <c r="A14" s="205" t="s">
        <v>19</v>
      </c>
      <c r="B14" s="206">
        <f>1957.12*2</f>
        <v>3914.24</v>
      </c>
      <c r="C14" s="204"/>
      <c r="D14" s="207"/>
      <c r="E14" s="204"/>
      <c r="F14" s="204"/>
      <c r="G14" s="204"/>
      <c r="H14" s="204"/>
      <c r="I14" s="204"/>
      <c r="J14" s="204"/>
      <c r="K14" s="204"/>
      <c r="L14" s="204"/>
      <c r="M14" s="204"/>
    </row>
    <row r="15" spans="1:15" x14ac:dyDescent="0.2">
      <c r="A15" s="205" t="s">
        <v>82</v>
      </c>
      <c r="B15" s="206">
        <f>104*3.52</f>
        <v>366.08</v>
      </c>
      <c r="C15" s="204"/>
      <c r="D15" s="207"/>
      <c r="E15" s="204"/>
      <c r="F15" s="204"/>
      <c r="G15" s="204"/>
      <c r="H15" s="204"/>
      <c r="I15" s="204"/>
      <c r="J15" s="204"/>
      <c r="K15" s="204"/>
      <c r="L15" s="204"/>
      <c r="M15" s="204"/>
    </row>
    <row r="16" spans="1:15" x14ac:dyDescent="0.2">
      <c r="A16" s="205" t="s">
        <v>57</v>
      </c>
      <c r="B16" s="206">
        <v>84</v>
      </c>
      <c r="C16" s="206"/>
      <c r="D16" s="207"/>
      <c r="E16" s="206">
        <v>11</v>
      </c>
      <c r="F16" s="206">
        <v>7</v>
      </c>
      <c r="G16" s="206">
        <v>21</v>
      </c>
      <c r="H16" s="206">
        <v>0</v>
      </c>
      <c r="I16" s="206">
        <v>17</v>
      </c>
      <c r="J16" s="206">
        <v>4</v>
      </c>
      <c r="K16" s="206">
        <v>0</v>
      </c>
      <c r="L16" s="206">
        <v>136</v>
      </c>
      <c r="M16" s="208">
        <v>196</v>
      </c>
    </row>
    <row r="17" spans="1:16" ht="13.5" thickBot="1" x14ac:dyDescent="0.25">
      <c r="A17" s="209" t="s">
        <v>25</v>
      </c>
      <c r="B17" s="210">
        <f t="shared" ref="B17:L17" si="2">SUM(B13:B16)</f>
        <v>14903.72</v>
      </c>
      <c r="C17" s="210">
        <f>SUM(C13:C16)</f>
        <v>3062.9</v>
      </c>
      <c r="D17" s="210">
        <f t="shared" si="2"/>
        <v>13602.3</v>
      </c>
      <c r="E17" s="210">
        <f t="shared" si="2"/>
        <v>571</v>
      </c>
      <c r="F17" s="210">
        <f t="shared" si="2"/>
        <v>1926.75</v>
      </c>
      <c r="G17" s="210">
        <f t="shared" si="2"/>
        <v>4280.71</v>
      </c>
      <c r="H17" s="210">
        <f t="shared" si="2"/>
        <v>2557</v>
      </c>
      <c r="I17" s="210">
        <f t="shared" si="2"/>
        <v>1874.71</v>
      </c>
      <c r="J17" s="210">
        <f t="shared" si="2"/>
        <v>700</v>
      </c>
      <c r="K17" s="210">
        <f t="shared" si="2"/>
        <v>833.68</v>
      </c>
      <c r="L17" s="210">
        <f t="shared" si="2"/>
        <v>2558.87</v>
      </c>
      <c r="M17" s="210">
        <f>+L17+K17+J17+I17+H17+G17+F17+E17</f>
        <v>15302.720000000001</v>
      </c>
    </row>
    <row r="18" spans="1:16" ht="13.5" thickTop="1" x14ac:dyDescent="0.2">
      <c r="A18" s="211" t="s">
        <v>26</v>
      </c>
      <c r="B18" s="212">
        <f>+B11-B17</f>
        <v>9055.83</v>
      </c>
      <c r="C18" s="212">
        <f>+C11-C17</f>
        <v>3584.0499999999997</v>
      </c>
      <c r="D18" s="213">
        <f>+B18+C18</f>
        <v>12639.88</v>
      </c>
      <c r="E18" s="213">
        <f>E11-E17</f>
        <v>262.34000000000003</v>
      </c>
      <c r="F18" s="212">
        <f t="shared" ref="F18:L18" si="3">+F11-F17</f>
        <v>2354.7700000000004</v>
      </c>
      <c r="G18" s="212">
        <f t="shared" si="3"/>
        <v>2364.1799999999994</v>
      </c>
      <c r="H18" s="212">
        <f t="shared" si="3"/>
        <v>996.06</v>
      </c>
      <c r="I18" s="212">
        <f t="shared" si="3"/>
        <v>1067.79</v>
      </c>
      <c r="J18" s="212">
        <f t="shared" si="3"/>
        <v>351.86000000000013</v>
      </c>
      <c r="K18" s="212">
        <f>+K11-K17</f>
        <v>1909.69</v>
      </c>
      <c r="L18" s="212">
        <f t="shared" si="3"/>
        <v>486.5300000000002</v>
      </c>
      <c r="M18" s="213">
        <f>+E18+F18+G18+H18+I18+J18+L18</f>
        <v>7883.5300000000007</v>
      </c>
    </row>
    <row r="19" spans="1:16" x14ac:dyDescent="0.2">
      <c r="A19" s="214" t="s">
        <v>27</v>
      </c>
      <c r="B19" s="264">
        <v>27388.5</v>
      </c>
      <c r="C19" s="265">
        <v>9895.08</v>
      </c>
      <c r="D19" s="213">
        <f>+C19+B19</f>
        <v>37283.58</v>
      </c>
      <c r="E19" s="266">
        <v>829.21</v>
      </c>
      <c r="F19" s="267">
        <v>5515.62</v>
      </c>
      <c r="G19" s="268">
        <v>7571.01</v>
      </c>
      <c r="H19" s="269">
        <v>4521.54</v>
      </c>
      <c r="I19" s="270">
        <v>3404.84</v>
      </c>
      <c r="J19" s="271">
        <v>1550.42</v>
      </c>
      <c r="K19" s="272">
        <v>2567.87</v>
      </c>
      <c r="L19" s="273">
        <v>8871.2900000000009</v>
      </c>
      <c r="M19" s="213">
        <f>+E19+F19+G19+H19+I19+J19+L19</f>
        <v>32263.93</v>
      </c>
      <c r="N19" s="274"/>
    </row>
    <row r="20" spans="1:16" ht="13.5" thickBot="1" x14ac:dyDescent="0.25">
      <c r="A20" s="216" t="s">
        <v>94</v>
      </c>
      <c r="B20" s="217">
        <f>+B18/B19</f>
        <v>0.33064351826496524</v>
      </c>
      <c r="C20" s="217">
        <f>+C18/C19</f>
        <v>0.36220525756234406</v>
      </c>
      <c r="D20" s="218">
        <f>IF(OR(D18="",D19=""),"",D18/D19)</f>
        <v>0.3390200190003213</v>
      </c>
      <c r="E20" s="217">
        <f t="shared" ref="E20:J20" si="4">+E18/E19</f>
        <v>0.31637341566068911</v>
      </c>
      <c r="F20" s="217">
        <f>+F18/F19</f>
        <v>0.42692752582665239</v>
      </c>
      <c r="G20" s="217">
        <f>+G18/G19</f>
        <v>0.31226745176667303</v>
      </c>
      <c r="H20" s="217">
        <f t="shared" si="4"/>
        <v>0.22029220132963548</v>
      </c>
      <c r="I20" s="217">
        <f t="shared" si="4"/>
        <v>0.31360945007694924</v>
      </c>
      <c r="J20" s="217">
        <f t="shared" si="4"/>
        <v>0.22694495685040189</v>
      </c>
      <c r="K20" s="217">
        <f>+K18/K19</f>
        <v>0.74368640157017296</v>
      </c>
      <c r="L20" s="217">
        <f>+L18/L19</f>
        <v>5.484320769583681E-2</v>
      </c>
      <c r="M20" s="218">
        <f>IF(OR(M18="",M19=""),"",M18/M19)</f>
        <v>0.24434500074851392</v>
      </c>
    </row>
    <row r="21" spans="1:16" ht="13.5" thickTop="1" x14ac:dyDescent="0.2">
      <c r="A21" s="219" t="s">
        <v>108</v>
      </c>
      <c r="B21" s="746" t="s">
        <v>102</v>
      </c>
      <c r="C21" s="747"/>
      <c r="D21" s="748"/>
      <c r="E21" s="749" t="s">
        <v>101</v>
      </c>
      <c r="F21" s="750"/>
      <c r="G21" s="750"/>
      <c r="H21" s="750"/>
      <c r="I21" s="750"/>
      <c r="J21" s="750"/>
      <c r="K21" s="750"/>
      <c r="L21" s="750"/>
      <c r="M21" s="751"/>
    </row>
    <row r="22" spans="1:16" ht="13.5" thickBot="1" x14ac:dyDescent="0.25">
      <c r="A22" s="220"/>
      <c r="B22" s="752">
        <f>IF(D20="","",D20)</f>
        <v>0.3390200190003213</v>
      </c>
      <c r="C22" s="752"/>
      <c r="D22" s="752"/>
      <c r="E22" s="753">
        <f>IF(M20="","",M20)</f>
        <v>0.24434500074851392</v>
      </c>
      <c r="F22" s="753"/>
      <c r="G22" s="753"/>
      <c r="H22" s="753"/>
      <c r="I22" s="753"/>
      <c r="J22" s="753"/>
      <c r="K22" s="753"/>
      <c r="L22" s="753"/>
      <c r="M22" s="753"/>
    </row>
    <row r="23" spans="1:16" ht="13.5" thickTop="1" x14ac:dyDescent="0.2">
      <c r="A23" s="221"/>
      <c r="B23" s="221"/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1"/>
    </row>
    <row r="24" spans="1:16" ht="13.5" thickBot="1" x14ac:dyDescent="0.25">
      <c r="A24" s="222" t="s">
        <v>105</v>
      </c>
      <c r="B24" s="223">
        <f>+(JUILLET!B20+AOUT!B20+SEPT!B20+'OCT 2015'!B20+'NOV 2015'!B20+'DEC 2015'!B20+'JANV 2016'!B20+'FEV 2016'!B18)/(JUILLET!B21+AOUT!B21+SEPT!B21+'OCT 2015'!B21+'NOV 2015'!B21+'DEC 2015'!B21+'JANV 2016'!B21+'FEV 2016'!B19)</f>
        <v>0.40684909639686451</v>
      </c>
      <c r="C24" s="223">
        <f>+(JUILLET!C20+AOUT!C20+SEPT!C20+'OCT 2015'!C20+'NOV 2015'!C20+'DEC 2015'!C20+'JANV 2016'!C20+'FEV 2016'!C18)/(JUILLET!C21+AOUT!C21+SEPT!C21+'OCT 2015'!C21+'NOV 2015'!C21+'DEC 2015'!C21+'JANV 2016'!C21+'FEV 2016'!C19)</f>
        <v>0.32235662064707271</v>
      </c>
      <c r="D24" s="223">
        <f>+(JUILLET!D20+AOUT!D20+SEPT!D20+'OCT 2015'!D20+'NOV 2015'!D20+'DEC 2015'!D20+'JANV 2016'!D20+'FEV 2016'!D18)/(JUILLET!D21+AOUT!D21+SEPT!D21+'OCT 2015'!D21+'NOV 2015'!D21+'DEC 2015'!D21+'JANV 2016'!D21+'FEV 2016'!D19)</f>
        <v>0.37766690320670759</v>
      </c>
      <c r="E24" s="223">
        <f>+(JUILLET!E20+AOUT!E20+SEPT!E20+'OCT 2015'!E20+'NOV 2015'!E20+'DEC 2015'!E20+'JANV 2016'!E20+'FEV 2016'!E18)/(JUILLET!E21+AOUT!E21+SEPT!E21+'OCT 2015'!E21+'NOV 2015'!E21+'DEC 2015'!E21+'JANV 2016'!E21+'FEV 2016'!E19)</f>
        <v>0.34611252853498048</v>
      </c>
      <c r="F24" s="223">
        <f>+(JUILLET!F20+AOUT!F20+SEPT!F20+'OCT 2015'!F20+'NOV 2015'!F20+'DEC 2015'!F20+'JANV 2016'!F20+'FEV 2016'!F18)/(JUILLET!F21+AOUT!F21+SEPT!F21+'OCT 2015'!F21+'NOV 2015'!F21+'DEC 2015'!F21+'JANV 2016'!F21+'FEV 2016'!F19)</f>
        <v>0.52969306939853666</v>
      </c>
      <c r="G24" s="223">
        <f>+(JUILLET!G20+AOUT!G20+SEPT!G20+'OCT 2015'!G20+'NOV 2015'!G20+'DEC 2015'!G20+'JANV 2016'!G20+'FEV 2016'!G18)/(JUILLET!G21+AOUT!G21+SEPT!G21+'OCT 2015'!G21+'NOV 2015'!G21+'DEC 2015'!G21+'JANV 2016'!G21+'FEV 2016'!G19)</f>
        <v>0.34964526152863967</v>
      </c>
      <c r="H24" s="223">
        <f>+(JUILLET!H20+AOUT!H20+SEPT!H20+'OCT 2015'!H20+'NOV 2015'!H20+'DEC 2015'!H20+'JANV 2016'!H20+'FEV 2016'!H18)/(JUILLET!H21+AOUT!H21+SEPT!H21+'OCT 2015'!H21+'NOV 2015'!H21+'DEC 2015'!H21+'JANV 2016'!H21+'FEV 2016'!H19)</f>
        <v>0.18052155993051053</v>
      </c>
      <c r="I24" s="223">
        <f>+(JUILLET!I20+AOUT!I20+SEPT!I20+'OCT 2015'!I20+'NOV 2015'!I20+'DEC 2015'!I20+'JANV 2016'!I20+'FEV 2016'!I18)/(JUILLET!I21+AOUT!I21+SEPT!I21+'OCT 2015'!I21+'NOV 2015'!I21+'DEC 2015'!I21+'JANV 2016'!I21+'FEV 2016'!I19)</f>
        <v>0.28958393004565902</v>
      </c>
      <c r="J24" s="223">
        <f>+(JUILLET!J20+AOUT!J20+SEPT!J20+'OCT 2015'!J20+'NOV 2015'!J20+'DEC 2015'!J20+'JANV 2016'!J20+'FEV 2016'!J18)/(JUILLET!J21+AOUT!J21+SEPT!J21+'OCT 2015'!J21+'NOV 2015'!J21+'DEC 2015'!J21+'JANV 2016'!J21+'FEV 2016'!J19)</f>
        <v>0.29681732114118881</v>
      </c>
      <c r="K24" s="223">
        <f>+(JUILLET!K20+AOUT!K20+SEPT!K20+'OCT 2015'!K20+'NOV 2015'!K20+'DEC 2015'!K20+'JANV 2016'!K20+'FEV 2016'!K18)/(JUILLET!K21+AOUT!K21+SEPT!K21+'OCT 2015'!K21+'NOV 2015'!K21+'DEC 2015'!K21+'JANV 2016'!K21+'FEV 2016'!K19)</f>
        <v>0.44904638251569745</v>
      </c>
      <c r="L24" s="223">
        <f>+(JUILLET!L20+AOUT!L20+SEPT!L20+'OCT 2015'!L20+'NOV 2015'!L20+'DEC 2015'!L20+'JANV 2016'!L20+'FEV 2016'!L18)/(JUILLET!L21+AOUT!L21+SEPT!L21+'OCT 2015'!L21+'NOV 2015'!L21+'DEC 2015'!L21+'JANV 2016'!L21+'FEV 2016'!L19)</f>
        <v>0.15356140655675873</v>
      </c>
      <c r="M24" s="223">
        <f>+(JUILLET!M20+AOUT!M20+SEPT!M20+'OCT 2015'!M20+'NOV 2015'!M20+'DEC 2015'!M20+'JANV 2016'!M20+'FEV 2016'!M18)/(JUILLET!M21+AOUT!M21+SEPT!M21+'OCT 2015'!M21+'NOV 2015'!M21+'DEC 2015'!M21+'JANV 2016'!M21+'FEV 2016'!M19)</f>
        <v>0.3029233259653521</v>
      </c>
    </row>
    <row r="25" spans="1:16" ht="13.5" thickBot="1" x14ac:dyDescent="0.25">
      <c r="A25" s="313" t="s">
        <v>99</v>
      </c>
      <c r="B25" s="314">
        <v>0.31</v>
      </c>
      <c r="C25" s="314">
        <v>0.31</v>
      </c>
      <c r="D25" s="314">
        <v>0.31</v>
      </c>
      <c r="E25" s="314">
        <v>0.35</v>
      </c>
      <c r="F25" s="314">
        <v>0.35</v>
      </c>
      <c r="G25" s="314">
        <v>0.3</v>
      </c>
      <c r="H25" s="314">
        <v>0.18</v>
      </c>
      <c r="I25" s="314">
        <v>0.3</v>
      </c>
      <c r="J25" s="314">
        <v>0.21</v>
      </c>
      <c r="K25" s="314">
        <v>0.35</v>
      </c>
      <c r="L25" s="314">
        <v>0.1</v>
      </c>
      <c r="M25" s="315">
        <v>0.25</v>
      </c>
    </row>
    <row r="26" spans="1:16" x14ac:dyDescent="0.2">
      <c r="A26" s="228" t="s">
        <v>106</v>
      </c>
      <c r="B26" s="229">
        <f>+B20-B25</f>
        <v>2.0643518264965244E-2</v>
      </c>
      <c r="C26" s="229">
        <f>+C20-C25</f>
        <v>5.2205257562344065E-2</v>
      </c>
      <c r="D26" s="229">
        <f t="shared" ref="D26" si="5">+D20-D25</f>
        <v>2.9020019000321307E-2</v>
      </c>
      <c r="E26" s="229">
        <f>+E20-E25</f>
        <v>-3.3626584339310872E-2</v>
      </c>
      <c r="F26" s="229">
        <f t="shared" ref="F26:M26" si="6">+F20-F25</f>
        <v>7.692752582665241E-2</v>
      </c>
      <c r="G26" s="229">
        <f t="shared" si="6"/>
        <v>1.2267451766673043E-2</v>
      </c>
      <c r="H26" s="229">
        <f t="shared" si="6"/>
        <v>4.0292201329635485E-2</v>
      </c>
      <c r="I26" s="229">
        <f t="shared" si="6"/>
        <v>1.3609450076949248E-2</v>
      </c>
      <c r="J26" s="229">
        <f t="shared" si="6"/>
        <v>1.6944956850401899E-2</v>
      </c>
      <c r="K26" s="229">
        <f t="shared" si="6"/>
        <v>0.39368640157017298</v>
      </c>
      <c r="L26" s="229">
        <f t="shared" si="6"/>
        <v>-4.5156792304163196E-2</v>
      </c>
      <c r="M26" s="229">
        <f t="shared" si="6"/>
        <v>-5.6549992514860759E-3</v>
      </c>
    </row>
    <row r="27" spans="1:16" x14ac:dyDescent="0.2">
      <c r="A27" s="221"/>
      <c r="B27" s="765" t="s">
        <v>97</v>
      </c>
      <c r="C27" s="765"/>
      <c r="D27" s="754"/>
      <c r="E27" s="754"/>
      <c r="F27" s="754"/>
      <c r="G27" s="754"/>
      <c r="H27" s="754"/>
      <c r="I27" s="754"/>
      <c r="J27" s="754"/>
      <c r="K27" s="754"/>
      <c r="L27" s="754"/>
      <c r="M27" s="754"/>
    </row>
    <row r="28" spans="1:16" x14ac:dyDescent="0.2">
      <c r="A28" s="235"/>
      <c r="B28" s="763" t="s">
        <v>3</v>
      </c>
      <c r="C28" s="744" t="s">
        <v>90</v>
      </c>
      <c r="D28" s="745" t="s">
        <v>93</v>
      </c>
      <c r="E28" s="743" t="s">
        <v>91</v>
      </c>
      <c r="F28" s="743" t="s">
        <v>92</v>
      </c>
      <c r="G28" s="743" t="s">
        <v>83</v>
      </c>
      <c r="H28" s="743" t="s">
        <v>84</v>
      </c>
      <c r="I28" s="743" t="s">
        <v>86</v>
      </c>
      <c r="J28" s="743" t="s">
        <v>85</v>
      </c>
      <c r="K28" s="743" t="s">
        <v>89</v>
      </c>
      <c r="L28" s="778" t="s">
        <v>87</v>
      </c>
      <c r="M28" s="737" t="s">
        <v>88</v>
      </c>
    </row>
    <row r="29" spans="1:16" x14ac:dyDescent="0.2">
      <c r="A29" s="236"/>
      <c r="B29" s="763"/>
      <c r="C29" s="744"/>
      <c r="D29" s="745"/>
      <c r="E29" s="743"/>
      <c r="F29" s="743"/>
      <c r="G29" s="743"/>
      <c r="H29" s="743"/>
      <c r="I29" s="743"/>
      <c r="J29" s="743"/>
      <c r="K29" s="743"/>
      <c r="L29" s="778"/>
      <c r="M29" s="737"/>
      <c r="N29" s="311" t="s">
        <v>136</v>
      </c>
      <c r="O29" s="312"/>
      <c r="P29" s="312"/>
    </row>
    <row r="30" spans="1:16" x14ac:dyDescent="0.2">
      <c r="A30" s="237" t="s">
        <v>129</v>
      </c>
      <c r="B30" s="292"/>
      <c r="C30" s="292"/>
      <c r="D30" s="301"/>
      <c r="E30" s="298"/>
      <c r="F30" s="298"/>
      <c r="G30" s="290">
        <v>325.5</v>
      </c>
      <c r="H30" s="298"/>
      <c r="I30" s="298"/>
      <c r="J30" s="290">
        <v>141.02000000000001</v>
      </c>
      <c r="K30" s="298"/>
      <c r="L30" s="308">
        <v>141.02000000000001</v>
      </c>
      <c r="M30" s="299"/>
      <c r="O30" s="302"/>
      <c r="P30" s="302"/>
    </row>
    <row r="31" spans="1:16" x14ac:dyDescent="0.2">
      <c r="A31" s="288" t="s">
        <v>11</v>
      </c>
      <c r="B31" s="293">
        <v>3113.64</v>
      </c>
      <c r="C31" s="294">
        <v>352.27</v>
      </c>
      <c r="D31" s="295">
        <f>+B31+C31</f>
        <v>3465.91</v>
      </c>
      <c r="E31" s="298"/>
      <c r="F31" s="298"/>
      <c r="G31" s="290">
        <v>515.25</v>
      </c>
      <c r="H31" s="298"/>
      <c r="I31" s="298"/>
      <c r="J31" s="290">
        <v>326.38</v>
      </c>
      <c r="K31" s="298"/>
      <c r="L31" s="308">
        <v>0</v>
      </c>
      <c r="M31" s="299"/>
      <c r="O31" s="302"/>
      <c r="P31" s="302"/>
    </row>
    <row r="32" spans="1:16" x14ac:dyDescent="0.2">
      <c r="A32" s="288" t="s">
        <v>15</v>
      </c>
      <c r="B32" s="303">
        <v>3113.64</v>
      </c>
      <c r="C32" s="300">
        <v>352.27</v>
      </c>
      <c r="D32" s="301">
        <f>+B32+C32</f>
        <v>3465.91</v>
      </c>
      <c r="E32" s="298"/>
      <c r="F32" s="298"/>
      <c r="G32" s="298"/>
      <c r="H32" s="298"/>
      <c r="I32" s="298"/>
      <c r="J32" s="298"/>
      <c r="K32" s="298"/>
      <c r="L32" s="309"/>
      <c r="M32" s="299"/>
      <c r="O32" s="302"/>
      <c r="P32" s="302"/>
    </row>
    <row r="33" spans="1:16" x14ac:dyDescent="0.2">
      <c r="A33" s="288" t="s">
        <v>130</v>
      </c>
      <c r="B33" s="292"/>
      <c r="C33" s="292"/>
      <c r="D33" s="301"/>
      <c r="E33" s="298"/>
      <c r="F33" s="298"/>
      <c r="G33" s="290">
        <v>395.5</v>
      </c>
      <c r="H33" s="298"/>
      <c r="I33" s="298"/>
      <c r="J33" s="290">
        <v>246.5</v>
      </c>
      <c r="K33" s="298"/>
      <c r="L33" s="309">
        <v>2478</v>
      </c>
      <c r="M33" s="299"/>
      <c r="O33" s="302"/>
      <c r="P33" s="302"/>
    </row>
    <row r="34" spans="1:16" x14ac:dyDescent="0.2">
      <c r="A34" s="237" t="s">
        <v>131</v>
      </c>
      <c r="B34" s="238">
        <v>3113.64</v>
      </c>
      <c r="C34" s="238">
        <v>352.27</v>
      </c>
      <c r="D34" s="239"/>
      <c r="E34" s="242"/>
      <c r="F34" s="242"/>
      <c r="G34" s="289">
        <f>+G31-G33</f>
        <v>119.75</v>
      </c>
      <c r="H34" s="242"/>
      <c r="I34" s="242"/>
      <c r="J34" s="242">
        <f>+J31-J33</f>
        <v>79.88</v>
      </c>
      <c r="K34" s="242"/>
      <c r="L34" s="261"/>
      <c r="M34" s="240"/>
      <c r="N34" s="302"/>
      <c r="O34" s="302"/>
      <c r="P34" s="302"/>
    </row>
    <row r="35" spans="1:16" x14ac:dyDescent="0.2">
      <c r="A35" s="214" t="s">
        <v>27</v>
      </c>
      <c r="B35" s="241">
        <v>12454.56</v>
      </c>
      <c r="C35" s="242">
        <v>1409.1</v>
      </c>
      <c r="D35" s="243">
        <f>IF(SUM(B35:C35)=0,"",SUM(B35:C35))</f>
        <v>13863.66</v>
      </c>
      <c r="E35" s="242"/>
      <c r="F35" s="242"/>
      <c r="G35" s="242">
        <v>1543.35</v>
      </c>
      <c r="H35" s="242"/>
      <c r="I35" s="242"/>
      <c r="J35" s="242">
        <v>2266.37</v>
      </c>
      <c r="K35" s="242"/>
      <c r="L35" s="261">
        <v>1443</v>
      </c>
      <c r="M35" s="243">
        <f>SUM(E35:L35)</f>
        <v>5252.7199999999993</v>
      </c>
      <c r="N35" s="281"/>
      <c r="O35" s="302"/>
      <c r="P35" s="302"/>
    </row>
    <row r="36" spans="1:16" ht="13.5" thickBot="1" x14ac:dyDescent="0.25">
      <c r="A36" s="302"/>
      <c r="B36" s="244">
        <f>+B34/B35</f>
        <v>0.25</v>
      </c>
      <c r="C36" s="244">
        <f>+C34/C35</f>
        <v>0.2499964516357959</v>
      </c>
      <c r="D36" s="244" t="str">
        <f>IF(OR(D34="",D35=""),"",D34/D35)</f>
        <v/>
      </c>
      <c r="E36" s="244"/>
      <c r="F36" s="244"/>
      <c r="G36" s="280">
        <f>+G34/G35</f>
        <v>7.759095474130949E-2</v>
      </c>
      <c r="H36" s="244"/>
      <c r="I36" s="244"/>
      <c r="J36" s="291">
        <f>+J34/J35</f>
        <v>3.5245789522452206E-2</v>
      </c>
      <c r="K36" s="244"/>
      <c r="L36" s="310">
        <f>+L34/L35</f>
        <v>0</v>
      </c>
      <c r="M36" s="245"/>
      <c r="N36" s="281"/>
      <c r="O36" s="302"/>
      <c r="P36" s="302"/>
    </row>
    <row r="37" spans="1:16" ht="13.5" thickTop="1" x14ac:dyDescent="0.2">
      <c r="A37" s="738" t="s">
        <v>94</v>
      </c>
      <c r="B37" s="740" t="s">
        <v>95</v>
      </c>
      <c r="C37" s="740"/>
      <c r="D37" s="740"/>
      <c r="E37" s="741" t="s">
        <v>98</v>
      </c>
      <c r="F37" s="741"/>
      <c r="G37" s="741"/>
      <c r="H37" s="741"/>
      <c r="I37" s="741"/>
      <c r="J37" s="741"/>
      <c r="K37" s="741"/>
      <c r="L37" s="741"/>
      <c r="M37" s="741"/>
      <c r="O37" s="302"/>
    </row>
    <row r="38" spans="1:16" ht="13.5" thickBot="1" x14ac:dyDescent="0.25">
      <c r="A38" s="739"/>
      <c r="B38" s="764">
        <v>0.25</v>
      </c>
      <c r="C38" s="764"/>
      <c r="D38" s="764"/>
      <c r="E38" s="764">
        <f>+M34/M35</f>
        <v>0</v>
      </c>
      <c r="F38" s="764"/>
      <c r="G38" s="764"/>
      <c r="H38" s="764"/>
      <c r="I38" s="764"/>
      <c r="J38" s="764"/>
      <c r="K38" s="764"/>
      <c r="L38" s="764"/>
      <c r="M38" s="764"/>
    </row>
    <row r="39" spans="1:16" ht="13.5" thickTop="1" x14ac:dyDescent="0.2"/>
  </sheetData>
  <mergeCells count="38">
    <mergeCell ref="A37:A38"/>
    <mergeCell ref="B37:D37"/>
    <mergeCell ref="E37:M37"/>
    <mergeCell ref="B38:D38"/>
    <mergeCell ref="E38:M38"/>
    <mergeCell ref="B27:M27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L28:L29"/>
    <mergeCell ref="M28:M29"/>
    <mergeCell ref="B21:D21"/>
    <mergeCell ref="E21:M21"/>
    <mergeCell ref="B22:D22"/>
    <mergeCell ref="E22:M22"/>
    <mergeCell ref="H4:H5"/>
    <mergeCell ref="I4:I5"/>
    <mergeCell ref="J4:J5"/>
    <mergeCell ref="K4:K5"/>
    <mergeCell ref="L4:L5"/>
    <mergeCell ref="M4:M5"/>
    <mergeCell ref="B1:M1"/>
    <mergeCell ref="B2:M2"/>
    <mergeCell ref="B3:D3"/>
    <mergeCell ref="E3:M3"/>
    <mergeCell ref="B4:B5"/>
    <mergeCell ref="C4:C5"/>
    <mergeCell ref="D4:D5"/>
    <mergeCell ref="E4:E5"/>
    <mergeCell ref="F4:F5"/>
    <mergeCell ref="G4:G5"/>
  </mergeCells>
  <conditionalFormatting sqref="B26:M26">
    <cfRule type="cellIs" dxfId="5" priority="1" operator="greaterThan">
      <formula>0.01</formula>
    </cfRule>
  </conditionalFormatting>
  <pageMargins left="0.7" right="0.7" top="0.75" bottom="0.75" header="0.3" footer="0.3"/>
  <pageSetup paperSize="9" scale="67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Q39"/>
  <sheetViews>
    <sheetView workbookViewId="0">
      <selection activeCell="M4" sqref="M4:M5"/>
    </sheetView>
  </sheetViews>
  <sheetFormatPr baseColWidth="10" defaultRowHeight="12.75" x14ac:dyDescent="0.2"/>
  <cols>
    <col min="1" max="1" width="26.140625" customWidth="1"/>
  </cols>
  <sheetData>
    <row r="1" spans="1:16" ht="24.75" customHeight="1" x14ac:dyDescent="0.2">
      <c r="A1" s="794" t="s">
        <v>138</v>
      </c>
      <c r="B1" s="794"/>
      <c r="C1" s="794"/>
      <c r="D1" s="794"/>
      <c r="E1" s="794"/>
      <c r="F1" s="794"/>
      <c r="G1" s="794"/>
      <c r="H1" s="794"/>
      <c r="I1" s="794"/>
      <c r="J1" s="794"/>
      <c r="K1" s="794"/>
      <c r="L1" s="794"/>
      <c r="M1" s="795"/>
    </row>
    <row r="2" spans="1:16" x14ac:dyDescent="0.2">
      <c r="A2" s="323"/>
      <c r="B2" s="809" t="s">
        <v>96</v>
      </c>
      <c r="C2" s="810"/>
      <c r="D2" s="810"/>
      <c r="E2" s="810"/>
      <c r="F2" s="810"/>
      <c r="G2" s="810"/>
      <c r="H2" s="810"/>
      <c r="I2" s="810"/>
      <c r="J2" s="810"/>
      <c r="K2" s="810"/>
      <c r="L2" s="810"/>
      <c r="M2" s="811"/>
    </row>
    <row r="3" spans="1:16" x14ac:dyDescent="0.2">
      <c r="A3" s="187"/>
      <c r="B3" s="746" t="s">
        <v>103</v>
      </c>
      <c r="C3" s="747"/>
      <c r="D3" s="747"/>
      <c r="E3" s="748"/>
      <c r="F3" s="796" t="s">
        <v>104</v>
      </c>
      <c r="G3" s="797"/>
      <c r="H3" s="797"/>
      <c r="I3" s="797"/>
      <c r="J3" s="797"/>
      <c r="K3" s="797"/>
      <c r="L3" s="797"/>
      <c r="M3" s="798"/>
    </row>
    <row r="4" spans="1:16" ht="18.75" customHeight="1" x14ac:dyDescent="0.2">
      <c r="A4" s="187"/>
      <c r="B4" s="812" t="s">
        <v>3</v>
      </c>
      <c r="C4" s="812" t="s">
        <v>90</v>
      </c>
      <c r="D4" s="804" t="s">
        <v>140</v>
      </c>
      <c r="E4" s="814" t="s">
        <v>93</v>
      </c>
      <c r="F4" s="804" t="s">
        <v>91</v>
      </c>
      <c r="G4" s="804" t="s">
        <v>100</v>
      </c>
      <c r="H4" s="804" t="s">
        <v>83</v>
      </c>
      <c r="I4" s="804" t="s">
        <v>84</v>
      </c>
      <c r="J4" s="804" t="s">
        <v>86</v>
      </c>
      <c r="K4" s="804" t="s">
        <v>85</v>
      </c>
      <c r="L4" s="804" t="s">
        <v>87</v>
      </c>
      <c r="M4" s="807" t="s">
        <v>139</v>
      </c>
    </row>
    <row r="5" spans="1:16" x14ac:dyDescent="0.2">
      <c r="A5" s="188"/>
      <c r="B5" s="813"/>
      <c r="C5" s="813"/>
      <c r="D5" s="805"/>
      <c r="E5" s="815"/>
      <c r="F5" s="805"/>
      <c r="G5" s="805"/>
      <c r="H5" s="805"/>
      <c r="I5" s="805"/>
      <c r="J5" s="805"/>
      <c r="K5" s="805"/>
      <c r="L5" s="805"/>
      <c r="M5" s="808"/>
    </row>
    <row r="6" spans="1:16" x14ac:dyDescent="0.2">
      <c r="A6" s="189" t="s">
        <v>9</v>
      </c>
      <c r="B6" s="190"/>
      <c r="C6" s="191"/>
      <c r="D6" s="191"/>
      <c r="E6" s="192"/>
      <c r="F6" s="191"/>
      <c r="G6" s="191"/>
      <c r="H6" s="191"/>
      <c r="I6" s="191"/>
      <c r="J6" s="191"/>
      <c r="K6" s="191"/>
      <c r="L6" s="191"/>
      <c r="M6" s="193"/>
    </row>
    <row r="7" spans="1:16" x14ac:dyDescent="0.2">
      <c r="A7" s="194" t="s">
        <v>10</v>
      </c>
      <c r="B7" s="195">
        <v>10539</v>
      </c>
      <c r="C7" s="195">
        <v>3063</v>
      </c>
      <c r="D7" s="195">
        <v>834</v>
      </c>
      <c r="E7" s="196">
        <f>+B7+C7</f>
        <v>13602</v>
      </c>
      <c r="F7" s="195">
        <v>560</v>
      </c>
      <c r="G7" s="195">
        <v>1920</v>
      </c>
      <c r="H7" s="195">
        <v>4260</v>
      </c>
      <c r="I7" s="195">
        <v>2557</v>
      </c>
      <c r="J7" s="195">
        <v>1858</v>
      </c>
      <c r="K7" s="195">
        <v>696</v>
      </c>
      <c r="L7" s="195">
        <v>2423</v>
      </c>
      <c r="M7" s="197">
        <f>+SUM(F7:L7)</f>
        <v>14274</v>
      </c>
      <c r="N7" s="781" t="s">
        <v>142</v>
      </c>
      <c r="O7" s="806"/>
    </row>
    <row r="8" spans="1:16" x14ac:dyDescent="0.2">
      <c r="A8" s="198" t="s">
        <v>11</v>
      </c>
      <c r="B8" s="337">
        <v>11678</v>
      </c>
      <c r="C8" s="196">
        <v>7393.05</v>
      </c>
      <c r="D8" s="196">
        <f>1289.43-413</f>
        <v>876.43000000000006</v>
      </c>
      <c r="E8" s="196">
        <f>+B8+C8</f>
        <v>19071.05</v>
      </c>
      <c r="F8" s="196">
        <v>714.11</v>
      </c>
      <c r="G8" s="196">
        <v>2286.4</v>
      </c>
      <c r="H8" s="196">
        <v>2275.29</v>
      </c>
      <c r="I8" s="196">
        <v>819.23</v>
      </c>
      <c r="J8" s="337">
        <v>1085.2</v>
      </c>
      <c r="K8" s="196">
        <v>476.28</v>
      </c>
      <c r="L8" s="196">
        <v>2064.96</v>
      </c>
      <c r="M8" s="197">
        <f>+L8+D8+K8+J8+I8+H8+G8+F8</f>
        <v>10597.900000000001</v>
      </c>
    </row>
    <row r="9" spans="1:16" x14ac:dyDescent="0.2">
      <c r="A9" s="304" t="s">
        <v>135</v>
      </c>
      <c r="B9" s="305">
        <f>111.6+29.75</f>
        <v>141.35</v>
      </c>
      <c r="C9" s="305">
        <f>44.33+51.46+42.47</f>
        <v>138.26</v>
      </c>
      <c r="D9" s="305">
        <v>0</v>
      </c>
      <c r="E9" s="306">
        <f>+B9+C9</f>
        <v>279.61</v>
      </c>
      <c r="F9" s="305">
        <v>7.56</v>
      </c>
      <c r="G9" s="305">
        <v>298.8</v>
      </c>
      <c r="H9" s="305">
        <v>36.89</v>
      </c>
      <c r="I9" s="305">
        <v>12.08</v>
      </c>
      <c r="J9" s="305">
        <v>41.74</v>
      </c>
      <c r="K9" s="305">
        <v>3.12</v>
      </c>
      <c r="L9" s="305">
        <v>0</v>
      </c>
      <c r="M9" s="307">
        <f>+SUM(F9:L9)</f>
        <v>400.19</v>
      </c>
    </row>
    <row r="10" spans="1:16" x14ac:dyDescent="0.2">
      <c r="A10" s="194" t="s">
        <v>15</v>
      </c>
      <c r="B10" s="196">
        <f>+B8+0</f>
        <v>11678</v>
      </c>
      <c r="C10" s="196">
        <f>+C8+0</f>
        <v>7393.05</v>
      </c>
      <c r="D10" s="196">
        <f>+D8+0</f>
        <v>876.43000000000006</v>
      </c>
      <c r="E10" s="196">
        <f>+B10+C10</f>
        <v>19071.05</v>
      </c>
      <c r="F10" s="196">
        <f>+F8+0</f>
        <v>714.11</v>
      </c>
      <c r="G10" s="196">
        <f t="shared" ref="G10:L10" si="0">+G8+0</f>
        <v>2286.4</v>
      </c>
      <c r="H10" s="196">
        <f t="shared" si="0"/>
        <v>2275.29</v>
      </c>
      <c r="I10" s="196">
        <f t="shared" si="0"/>
        <v>819.23</v>
      </c>
      <c r="J10" s="196">
        <f t="shared" si="0"/>
        <v>1085.2</v>
      </c>
      <c r="K10" s="196">
        <f t="shared" si="0"/>
        <v>476.28</v>
      </c>
      <c r="L10" s="196">
        <f t="shared" si="0"/>
        <v>2064.96</v>
      </c>
      <c r="M10" s="197">
        <f>+L10+D10+K10+J10+I10+H10+G10+F10</f>
        <v>10597.900000000001</v>
      </c>
      <c r="O10" s="275"/>
    </row>
    <row r="11" spans="1:16" x14ac:dyDescent="0.2">
      <c r="A11" s="200" t="s">
        <v>16</v>
      </c>
      <c r="B11" s="201">
        <f t="shared" ref="B11:L11" si="1">+B7+B10</f>
        <v>22217</v>
      </c>
      <c r="C11" s="201">
        <f>+C7+C10</f>
        <v>10456.049999999999</v>
      </c>
      <c r="D11" s="201">
        <f>+D7+D10</f>
        <v>1710.43</v>
      </c>
      <c r="E11" s="201">
        <f t="shared" si="1"/>
        <v>32673.05</v>
      </c>
      <c r="F11" s="201">
        <f t="shared" si="1"/>
        <v>1274.1100000000001</v>
      </c>
      <c r="G11" s="201">
        <f t="shared" si="1"/>
        <v>4206.3999999999996</v>
      </c>
      <c r="H11" s="201">
        <f t="shared" si="1"/>
        <v>6535.29</v>
      </c>
      <c r="I11" s="201">
        <f t="shared" si="1"/>
        <v>3376.23</v>
      </c>
      <c r="J11" s="201">
        <f t="shared" si="1"/>
        <v>2943.2</v>
      </c>
      <c r="K11" s="201">
        <f t="shared" si="1"/>
        <v>1172.28</v>
      </c>
      <c r="L11" s="201">
        <f t="shared" si="1"/>
        <v>4487.96</v>
      </c>
      <c r="M11" s="197">
        <f>+SUM(F11:L11)</f>
        <v>23995.469999999998</v>
      </c>
    </row>
    <row r="12" spans="1:16" x14ac:dyDescent="0.2">
      <c r="A12" s="203" t="s">
        <v>17</v>
      </c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5"/>
    </row>
    <row r="13" spans="1:16" x14ac:dyDescent="0.2">
      <c r="A13" s="205" t="s">
        <v>18</v>
      </c>
      <c r="B13" s="206">
        <v>12158.1</v>
      </c>
      <c r="C13" s="206">
        <v>3695.35</v>
      </c>
      <c r="D13" s="206">
        <v>574.87</v>
      </c>
      <c r="E13" s="207">
        <f>+C13+B13</f>
        <v>15853.45</v>
      </c>
      <c r="F13" s="206">
        <v>626.9</v>
      </c>
      <c r="G13" s="206">
        <v>1545</v>
      </c>
      <c r="H13" s="206">
        <v>3755.78</v>
      </c>
      <c r="I13" s="206">
        <v>2330.5700000000002</v>
      </c>
      <c r="J13" s="206">
        <v>1639.39</v>
      </c>
      <c r="K13" s="206">
        <v>562.92999999999995</v>
      </c>
      <c r="L13" s="206">
        <v>1940.71</v>
      </c>
      <c r="M13" s="208"/>
    </row>
    <row r="14" spans="1:16" x14ac:dyDescent="0.2">
      <c r="A14" s="205" t="s">
        <v>19</v>
      </c>
      <c r="B14" s="206">
        <f>2287.12*2</f>
        <v>4574.24</v>
      </c>
      <c r="C14" s="335"/>
      <c r="D14" s="335"/>
      <c r="E14" s="207"/>
      <c r="F14" s="335"/>
      <c r="G14" s="335"/>
      <c r="H14" s="335"/>
      <c r="I14" s="335"/>
      <c r="J14" s="335"/>
      <c r="K14" s="335"/>
      <c r="L14" s="335"/>
      <c r="M14" s="335"/>
    </row>
    <row r="15" spans="1:16" x14ac:dyDescent="0.2">
      <c r="A15" s="205" t="s">
        <v>82</v>
      </c>
      <c r="B15" s="206">
        <f>273*3.51</f>
        <v>958.2299999999999</v>
      </c>
      <c r="C15" s="335"/>
      <c r="D15" s="335"/>
      <c r="E15" s="207"/>
      <c r="F15" s="335"/>
      <c r="G15" s="335"/>
      <c r="H15" s="335"/>
      <c r="I15" s="335"/>
      <c r="J15" s="335"/>
      <c r="K15" s="335"/>
      <c r="L15" s="335"/>
      <c r="M15" s="335"/>
    </row>
    <row r="16" spans="1:16" x14ac:dyDescent="0.2">
      <c r="A16" s="205" t="s">
        <v>57</v>
      </c>
      <c r="B16" s="206">
        <f>46.5+21.75</f>
        <v>68.25</v>
      </c>
      <c r="C16" s="206">
        <v>20.5</v>
      </c>
      <c r="D16" s="206">
        <v>7.5</v>
      </c>
      <c r="E16" s="207">
        <f>SUM(B16:D16)</f>
        <v>96.25</v>
      </c>
      <c r="F16" s="206">
        <v>0</v>
      </c>
      <c r="G16" s="206">
        <v>16.8</v>
      </c>
      <c r="H16" s="206">
        <f>1.23+2</f>
        <v>3.23</v>
      </c>
      <c r="I16" s="206">
        <v>7.1</v>
      </c>
      <c r="J16" s="206">
        <f>3.5+5.25</f>
        <v>8.75</v>
      </c>
      <c r="K16" s="206">
        <v>1.25</v>
      </c>
      <c r="L16" s="206">
        <f>19.8+5.4</f>
        <v>25.200000000000003</v>
      </c>
      <c r="M16" s="208">
        <f>SUM(F16:L16)</f>
        <v>62.330000000000005</v>
      </c>
      <c r="N16" s="781" t="s">
        <v>141</v>
      </c>
      <c r="O16" s="782"/>
      <c r="P16" s="336"/>
    </row>
    <row r="17" spans="1:17" ht="13.5" thickBot="1" x14ac:dyDescent="0.25">
      <c r="A17" s="209" t="s">
        <v>25</v>
      </c>
      <c r="B17" s="210">
        <f t="shared" ref="B17:L17" si="2">SUM(B13:B16)</f>
        <v>17758.82</v>
      </c>
      <c r="C17" s="210">
        <f>SUM(C13:C16)</f>
        <v>3715.85</v>
      </c>
      <c r="D17" s="210">
        <f>SUM(D13:D16)</f>
        <v>582.37</v>
      </c>
      <c r="E17" s="210">
        <f t="shared" si="2"/>
        <v>15949.7</v>
      </c>
      <c r="F17" s="210">
        <f t="shared" si="2"/>
        <v>626.9</v>
      </c>
      <c r="G17" s="210">
        <f t="shared" si="2"/>
        <v>1561.8</v>
      </c>
      <c r="H17" s="210">
        <f t="shared" si="2"/>
        <v>3759.01</v>
      </c>
      <c r="I17" s="210">
        <f t="shared" si="2"/>
        <v>2337.67</v>
      </c>
      <c r="J17" s="210">
        <f t="shared" si="2"/>
        <v>1648.14</v>
      </c>
      <c r="K17" s="210">
        <f t="shared" si="2"/>
        <v>564.17999999999995</v>
      </c>
      <c r="L17" s="210">
        <f t="shared" si="2"/>
        <v>1965.91</v>
      </c>
      <c r="M17" s="210">
        <f>+L17+D17+K17+J17+I17+H17+G17+F17</f>
        <v>13045.98</v>
      </c>
    </row>
    <row r="18" spans="1:17" ht="13.5" thickTop="1" x14ac:dyDescent="0.2">
      <c r="A18" s="211" t="s">
        <v>26</v>
      </c>
      <c r="B18" s="212">
        <f>+B11-B17</f>
        <v>4458.18</v>
      </c>
      <c r="C18" s="212">
        <f>+C11-C17</f>
        <v>6740.1999999999989</v>
      </c>
      <c r="D18" s="212">
        <f>+D11-D17</f>
        <v>1128.06</v>
      </c>
      <c r="E18" s="213">
        <f>+B18+C18</f>
        <v>11198.38</v>
      </c>
      <c r="F18" s="213">
        <f>F11-F17</f>
        <v>647.21000000000015</v>
      </c>
      <c r="G18" s="212">
        <f t="shared" ref="G18:L18" si="3">+G11-G17</f>
        <v>2644.5999999999995</v>
      </c>
      <c r="H18" s="212">
        <f t="shared" si="3"/>
        <v>2776.2799999999997</v>
      </c>
      <c r="I18" s="212">
        <f t="shared" si="3"/>
        <v>1038.56</v>
      </c>
      <c r="J18" s="212">
        <f t="shared" si="3"/>
        <v>1295.0599999999997</v>
      </c>
      <c r="K18" s="212">
        <f t="shared" si="3"/>
        <v>608.1</v>
      </c>
      <c r="L18" s="212">
        <f t="shared" si="3"/>
        <v>2522.0500000000002</v>
      </c>
      <c r="M18" s="213">
        <f>+F18+G18+H18+I18+J18+K18+L18</f>
        <v>11531.86</v>
      </c>
    </row>
    <row r="19" spans="1:17" x14ac:dyDescent="0.2">
      <c r="A19" s="214" t="s">
        <v>27</v>
      </c>
      <c r="B19" s="264">
        <v>27876</v>
      </c>
      <c r="C19" s="265">
        <v>11959</v>
      </c>
      <c r="D19" s="272">
        <v>2429.3000000000002</v>
      </c>
      <c r="E19" s="213">
        <f>+C19+B19</f>
        <v>39835</v>
      </c>
      <c r="F19" s="266">
        <v>1040.4100000000001</v>
      </c>
      <c r="G19" s="267">
        <v>6624.48</v>
      </c>
      <c r="H19" s="268">
        <v>7283.53</v>
      </c>
      <c r="I19" s="269">
        <v>5688</v>
      </c>
      <c r="J19" s="270">
        <v>4008.21</v>
      </c>
      <c r="K19" s="271">
        <v>1612</v>
      </c>
      <c r="L19" s="273">
        <v>9009.58</v>
      </c>
      <c r="M19" s="213">
        <f>+F19+G19+H19+I19+J19+K19+L19</f>
        <v>35266.21</v>
      </c>
      <c r="N19" s="274"/>
    </row>
    <row r="20" spans="1:17" ht="13.5" thickBot="1" x14ac:dyDescent="0.25">
      <c r="A20" s="216" t="s">
        <v>94</v>
      </c>
      <c r="B20" s="217">
        <f>+B18/B19</f>
        <v>0.15992897115798538</v>
      </c>
      <c r="C20" s="217">
        <f>+C18/C19</f>
        <v>0.5636089974078099</v>
      </c>
      <c r="D20" s="217">
        <f>+D18/D19</f>
        <v>0.46435598732145056</v>
      </c>
      <c r="E20" s="218">
        <f>IF(OR(E18="",E19=""),"",E18/E19)</f>
        <v>0.28111911635496423</v>
      </c>
      <c r="F20" s="217">
        <f t="shared" ref="F20:K20" si="4">+F18/F19</f>
        <v>0.62207206774252466</v>
      </c>
      <c r="G20" s="217">
        <f>+G18/G19</f>
        <v>0.39921624036905534</v>
      </c>
      <c r="H20" s="217">
        <f>+H18/H19</f>
        <v>0.38117231617086766</v>
      </c>
      <c r="I20" s="217">
        <f t="shared" si="4"/>
        <v>0.18258790436005626</v>
      </c>
      <c r="J20" s="217">
        <f t="shared" si="4"/>
        <v>0.32310183348676835</v>
      </c>
      <c r="K20" s="217">
        <f t="shared" si="4"/>
        <v>0.3772332506203474</v>
      </c>
      <c r="L20" s="217">
        <f>+L18/L19</f>
        <v>0.27992980804876588</v>
      </c>
      <c r="M20" s="218">
        <f>IF(OR(M18="",M19=""),"",M18/M19)</f>
        <v>0.32699459340825116</v>
      </c>
    </row>
    <row r="21" spans="1:17" ht="13.5" thickTop="1" x14ac:dyDescent="0.2">
      <c r="A21" s="219" t="s">
        <v>108</v>
      </c>
      <c r="B21" s="746" t="s">
        <v>102</v>
      </c>
      <c r="C21" s="748"/>
      <c r="D21" s="321"/>
      <c r="E21" s="328"/>
      <c r="F21" s="749" t="s">
        <v>101</v>
      </c>
      <c r="G21" s="750"/>
      <c r="H21" s="750"/>
      <c r="I21" s="750"/>
      <c r="J21" s="750"/>
      <c r="K21" s="750"/>
      <c r="L21" s="750"/>
      <c r="M21" s="751"/>
    </row>
    <row r="22" spans="1:17" ht="13.5" thickBot="1" x14ac:dyDescent="0.25">
      <c r="A22" s="220"/>
      <c r="B22" s="799">
        <f>IF(E20="","",E20)</f>
        <v>0.28111911635496423</v>
      </c>
      <c r="C22" s="800"/>
      <c r="D22" s="322"/>
      <c r="E22" s="329"/>
      <c r="F22" s="801">
        <f>IF(M20="","",M20)</f>
        <v>0.32699459340825116</v>
      </c>
      <c r="G22" s="802"/>
      <c r="H22" s="802"/>
      <c r="I22" s="802"/>
      <c r="J22" s="802"/>
      <c r="K22" s="802"/>
      <c r="L22" s="802"/>
      <c r="M22" s="803"/>
      <c r="Q22" s="274"/>
    </row>
    <row r="23" spans="1:17" ht="13.5" thickTop="1" x14ac:dyDescent="0.2">
      <c r="A23" s="221"/>
      <c r="B23" s="221"/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1"/>
    </row>
    <row r="24" spans="1:17" ht="13.5" thickBot="1" x14ac:dyDescent="0.25">
      <c r="A24" s="222" t="s">
        <v>105</v>
      </c>
      <c r="B24" s="223">
        <f>+(JUILLET!B20+AOUT!B20+SEPT!B20+'OCT 2015'!B20+'NOV 2015'!B20+'DEC 2015'!B20+'JANV 2016'!B20+'FEV 2016'!B18+'MARS 2016'!B18)/(JUILLET!B21+AOUT!B21+SEPT!B21+'OCT 2015'!B21+'NOV 2015'!B21+'DEC 2015'!B21+'JANV 2016'!B21+'FEV 2016'!B19+'MARS 2016'!B19)</f>
        <v>0.38779322969298113</v>
      </c>
      <c r="C24" s="223">
        <f>+(JUILLET!C20+AOUT!C20+SEPT!C20+'OCT 2015'!C20+'NOV 2015'!C20+'DEC 2015'!C20+'JANV 2016'!C20+'FEV 2016'!C18+'MARS 2016'!C18)/(JUILLET!C21+AOUT!C21+SEPT!C21+'OCT 2015'!C21+'NOV 2015'!C21+'DEC 2015'!C21+'JANV 2016'!C21+'FEV 2016'!C19+'MARS 2016'!C19)</f>
        <v>0.33771712450770869</v>
      </c>
      <c r="D24" s="223">
        <f>+(JUILLET!K20+AOUT!K20+SEPT!K20+'OCT 2015'!K20+'NOV 2015'!K20+'DEC 2015'!K20+'JANV 2016'!K20+'FEV 2016'!K18+'MARS 2016'!D18)/(JUILLET!K21+AOUT!K21+SEPT!K21+'OCT 2015'!K21+'NOV 2015'!K21+'DEC 2015'!K21+'JANV 2016'!K21+'FEV 2016'!K19+'MARS 2016'!D19)</f>
        <v>0.45016173213224309</v>
      </c>
      <c r="E24" s="223">
        <f>+(JUILLET!D20+AOUT!D20+SEPT!D20+'OCT 2015'!D20+'NOV 2015'!D20+'DEC 2015'!D20+'JANV 2016'!D20+'FEV 2016'!D18+'MARS 2016'!E18)/(JUILLET!D21+AOUT!D21+SEPT!D21+'OCT 2015'!D21+'NOV 2015'!D21+'DEC 2015'!D21+'JANV 2016'!D21+'FEV 2016'!D19+'MARS 2016'!E19)</f>
        <v>0.37066194552782616</v>
      </c>
      <c r="F24" s="223">
        <f>+(JUILLET!E20+AOUT!E20+SEPT!E20+'OCT 2015'!E20+'NOV 2015'!E20+'DEC 2015'!E20+'JANV 2016'!E20+'FEV 2016'!E18+'MARS 2016'!F18)/(JUILLET!E21+AOUT!E21+SEPT!E21+'OCT 2015'!E21+'NOV 2015'!E21+'DEC 2015'!E21+'JANV 2016'!E21+'FEV 2016'!E19+'MARS 2016'!F19)</f>
        <v>0.38117083642162614</v>
      </c>
      <c r="G24" s="223">
        <f>+(JUILLET!F20+AOUT!F20+SEPT!F20+'OCT 2015'!F20+'NOV 2015'!F20+'DEC 2015'!F20+'JANV 2016'!F20+'FEV 2016'!F18+'MARS 2016'!G18)/(JUILLET!F21+AOUT!F21+SEPT!F21+'OCT 2015'!F21+'NOV 2015'!F21+'DEC 2015'!F21+'JANV 2016'!F21+'FEV 2016'!F19+'MARS 2016'!G19)</f>
        <v>0.51491900719199168</v>
      </c>
      <c r="H24" s="223">
        <f>+(JUILLET!G20+AOUT!G20+SEPT!G20+'OCT 2015'!G20+'NOV 2015'!G20+'DEC 2015'!G20+'JANV 2016'!G20+'FEV 2016'!G18+'MARS 2016'!H18)/(JUILLET!G21+AOUT!G21+SEPT!G21+'OCT 2015'!G21+'NOV 2015'!G21+'DEC 2015'!G21+'JANV 2016'!G21+'FEV 2016'!G19+'MARS 2016'!H19)</f>
        <v>0.35239417880632418</v>
      </c>
      <c r="I24" s="223">
        <f>+(JUILLET!H20+AOUT!H20+SEPT!H20+'OCT 2015'!H20+'NOV 2015'!H20+'DEC 2015'!H20+'JANV 2016'!H20+'FEV 2016'!H18+'MARS 2016'!I18)/(JUILLET!H21+AOUT!H21+SEPT!H21+'OCT 2015'!H21+'NOV 2015'!H21+'DEC 2015'!H21+'JANV 2016'!H21+'FEV 2016'!H19+'MARS 2016'!I19)</f>
        <v>0.18067282805805487</v>
      </c>
      <c r="J24" s="223">
        <f>+(JUILLET!I20+AOUT!I20+SEPT!I20+'OCT 2015'!I20+'NOV 2015'!I20+'DEC 2015'!I20+'JANV 2016'!I20+'FEV 2016'!I18+'MARS 2016'!J18)/(JUILLET!I21+AOUT!I21+SEPT!I21+'OCT 2015'!I21+'NOV 2015'!I21+'DEC 2015'!I21+'JANV 2016'!I21+'FEV 2016'!I19+'MARS 2016'!J19)</f>
        <v>0.29219308141814598</v>
      </c>
      <c r="K24" s="223">
        <f>+(JUILLET!J20+AOUT!J20+SEPT!J20+'OCT 2015'!J20+'NOV 2015'!J20+'DEC 2015'!J20+'JANV 2016'!J20+'FEV 2016'!J18+'MARS 2016'!K18)/(JUILLET!J21+AOUT!J21+SEPT!J21+'OCT 2015'!J21+'NOV 2015'!J21+'DEC 2015'!J21+'JANV 2016'!J21+'FEV 2016'!J19+'MARS 2016'!K19)</f>
        <v>0.30270318129499357</v>
      </c>
      <c r="L24" s="223">
        <f>+(JUILLET!L20+AOUT!L20+SEPT!L20+'OCT 2015'!L20+'NOV 2015'!L20+'DEC 2015'!L20+'JANV 2016'!L20+'FEV 2016'!L18+'MARS 2016'!L18)/(JUILLET!L21+AOUT!L21+SEPT!L21+'OCT 2015'!L21+'NOV 2015'!L21+'DEC 2015'!L21+'JANV 2016'!L21+'FEV 2016'!L19+'MARS 2016'!L19)</f>
        <v>0.16931590254162535</v>
      </c>
      <c r="M24" s="223">
        <f>+(JUILLET!M20+AOUT!M20+SEPT!M20+'OCT 2015'!M20+'NOV 2015'!M20+'DEC 2015'!M20+'JANV 2016'!M20+'FEV 2016'!M18+'MARS 2016'!M18)/(JUILLET!M21+AOUT!M21+SEPT!M21+'OCT 2015'!M21+'NOV 2015'!M21+'DEC 2015'!M21+'JANV 2016'!M21+'FEV 2016'!M19+'MARS 2016'!M19)</f>
        <v>0.30503472949387445</v>
      </c>
    </row>
    <row r="25" spans="1:17" ht="13.5" thickBot="1" x14ac:dyDescent="0.25">
      <c r="A25" s="313" t="s">
        <v>99</v>
      </c>
      <c r="B25" s="314">
        <v>0.31</v>
      </c>
      <c r="C25" s="314">
        <v>0.31</v>
      </c>
      <c r="D25" s="314">
        <v>0.35</v>
      </c>
      <c r="E25" s="314">
        <v>0.31</v>
      </c>
      <c r="F25" s="314">
        <v>0.35</v>
      </c>
      <c r="G25" s="314">
        <v>0.35</v>
      </c>
      <c r="H25" s="314">
        <v>0.3</v>
      </c>
      <c r="I25" s="314">
        <v>0.18</v>
      </c>
      <c r="J25" s="314">
        <v>0.3</v>
      </c>
      <c r="K25" s="314">
        <v>0.21</v>
      </c>
      <c r="L25" s="314">
        <v>0.1</v>
      </c>
      <c r="M25" s="315">
        <v>0.25</v>
      </c>
    </row>
    <row r="26" spans="1:17" x14ac:dyDescent="0.2">
      <c r="A26" s="228" t="s">
        <v>106</v>
      </c>
      <c r="B26" s="229">
        <f>+B20-B25</f>
        <v>-0.15007102884201462</v>
      </c>
      <c r="C26" s="229">
        <f>+C20-C25</f>
        <v>0.2536089974078099</v>
      </c>
      <c r="D26" s="229">
        <f>+D20-D25</f>
        <v>0.11435598732145058</v>
      </c>
      <c r="E26" s="229">
        <f t="shared" ref="E26" si="5">+E20-E25</f>
        <v>-2.8880883645035771E-2</v>
      </c>
      <c r="F26" s="229">
        <f>+F20-F25</f>
        <v>0.27207206774252468</v>
      </c>
      <c r="G26" s="229">
        <f t="shared" ref="G26:M26" si="6">+G20-G25</f>
        <v>4.9216240369055364E-2</v>
      </c>
      <c r="H26" s="229">
        <f t="shared" si="6"/>
        <v>8.1172316170867675E-2</v>
      </c>
      <c r="I26" s="229">
        <f t="shared" si="6"/>
        <v>2.5879043600562646E-3</v>
      </c>
      <c r="J26" s="229">
        <f t="shared" si="6"/>
        <v>2.3101833486768364E-2</v>
      </c>
      <c r="K26" s="229">
        <f t="shared" si="6"/>
        <v>0.16723325062034741</v>
      </c>
      <c r="L26" s="229">
        <f t="shared" si="6"/>
        <v>0.17992980804876588</v>
      </c>
      <c r="M26" s="229">
        <f t="shared" si="6"/>
        <v>7.6994593408251155E-2</v>
      </c>
    </row>
    <row r="27" spans="1:17" x14ac:dyDescent="0.2">
      <c r="A27" s="221"/>
      <c r="B27" s="791" t="s">
        <v>97</v>
      </c>
      <c r="C27" s="792"/>
      <c r="D27" s="792"/>
      <c r="E27" s="792"/>
      <c r="F27" s="792"/>
      <c r="G27" s="792"/>
      <c r="H27" s="792"/>
      <c r="I27" s="792"/>
      <c r="J27" s="792"/>
      <c r="K27" s="792"/>
      <c r="L27" s="792"/>
      <c r="M27" s="793"/>
    </row>
    <row r="28" spans="1:17" ht="23.25" customHeight="1" x14ac:dyDescent="0.2">
      <c r="A28" s="235"/>
      <c r="B28" s="324" t="s">
        <v>3</v>
      </c>
      <c r="C28" s="319" t="s">
        <v>90</v>
      </c>
      <c r="D28" s="330" t="s">
        <v>89</v>
      </c>
      <c r="E28" s="320" t="s">
        <v>93</v>
      </c>
      <c r="F28" s="318" t="s">
        <v>91</v>
      </c>
      <c r="G28" s="318" t="s">
        <v>92</v>
      </c>
      <c r="H28" s="318" t="s">
        <v>83</v>
      </c>
      <c r="I28" s="318" t="s">
        <v>84</v>
      </c>
      <c r="J28" s="318" t="s">
        <v>86</v>
      </c>
      <c r="K28" s="318" t="s">
        <v>85</v>
      </c>
      <c r="L28" s="325" t="s">
        <v>87</v>
      </c>
      <c r="M28" s="316" t="s">
        <v>88</v>
      </c>
    </row>
    <row r="29" spans="1:17" x14ac:dyDescent="0.2">
      <c r="A29" s="236"/>
      <c r="B29" s="324"/>
      <c r="C29" s="319"/>
      <c r="D29" s="330"/>
      <c r="E29" s="320"/>
      <c r="F29" s="318"/>
      <c r="G29" s="318"/>
      <c r="H29" s="318"/>
      <c r="I29" s="318"/>
      <c r="J29" s="318"/>
      <c r="K29" s="318"/>
      <c r="L29" s="325"/>
      <c r="M29" s="316"/>
      <c r="N29" s="311" t="s">
        <v>143</v>
      </c>
      <c r="O29" s="312"/>
      <c r="P29" s="312"/>
    </row>
    <row r="30" spans="1:17" x14ac:dyDescent="0.2">
      <c r="A30" s="237" t="s">
        <v>129</v>
      </c>
      <c r="B30" s="292"/>
      <c r="C30" s="292"/>
      <c r="D30" s="330"/>
      <c r="E30" s="320"/>
      <c r="F30" s="318"/>
      <c r="G30" s="318"/>
      <c r="H30" s="290">
        <v>395.5</v>
      </c>
      <c r="I30" s="318"/>
      <c r="J30" s="318"/>
      <c r="K30" s="290">
        <v>246.5</v>
      </c>
      <c r="L30" s="308">
        <v>0</v>
      </c>
      <c r="M30" s="316"/>
      <c r="N30" s="779" t="s">
        <v>144</v>
      </c>
      <c r="O30" s="780"/>
      <c r="P30" s="323"/>
    </row>
    <row r="31" spans="1:17" x14ac:dyDescent="0.2">
      <c r="A31" s="288" t="s">
        <v>11</v>
      </c>
      <c r="B31" s="293">
        <v>1364.09</v>
      </c>
      <c r="C31" s="294">
        <v>0</v>
      </c>
      <c r="D31" s="330"/>
      <c r="E31" s="295">
        <f>+B31+C31</f>
        <v>1364.09</v>
      </c>
      <c r="F31" s="318"/>
      <c r="G31" s="318"/>
      <c r="H31" s="290">
        <v>0</v>
      </c>
      <c r="I31" s="318"/>
      <c r="J31" s="318"/>
      <c r="K31" s="290">
        <v>0</v>
      </c>
      <c r="L31" s="308">
        <v>0</v>
      </c>
      <c r="M31" s="316"/>
      <c r="O31" s="323"/>
      <c r="P31" s="323"/>
    </row>
    <row r="32" spans="1:17" x14ac:dyDescent="0.2">
      <c r="A32" s="288" t="s">
        <v>15</v>
      </c>
      <c r="B32" s="324">
        <v>1364.09</v>
      </c>
      <c r="C32" s="319">
        <v>0</v>
      </c>
      <c r="D32" s="330"/>
      <c r="E32" s="320">
        <f>+B32+C32</f>
        <v>1364.09</v>
      </c>
      <c r="F32" s="318"/>
      <c r="G32" s="318"/>
      <c r="H32" s="318"/>
      <c r="I32" s="318"/>
      <c r="J32" s="318"/>
      <c r="K32" s="318"/>
      <c r="L32" s="325"/>
      <c r="M32" s="316"/>
      <c r="O32" s="323"/>
      <c r="P32" s="323"/>
    </row>
    <row r="33" spans="1:16" x14ac:dyDescent="0.2">
      <c r="A33" s="288" t="s">
        <v>130</v>
      </c>
      <c r="B33" s="292"/>
      <c r="C33" s="292"/>
      <c r="D33" s="330"/>
      <c r="E33" s="320"/>
      <c r="F33" s="318"/>
      <c r="G33" s="318"/>
      <c r="H33" s="290">
        <v>294</v>
      </c>
      <c r="I33" s="318"/>
      <c r="J33" s="318"/>
      <c r="K33" s="290">
        <v>382.95</v>
      </c>
      <c r="L33" s="325">
        <v>63</v>
      </c>
      <c r="M33" s="316"/>
      <c r="O33" s="323"/>
      <c r="P33" s="323"/>
    </row>
    <row r="34" spans="1:16" x14ac:dyDescent="0.2">
      <c r="A34" s="237" t="s">
        <v>131</v>
      </c>
      <c r="B34" s="238">
        <v>1364.09</v>
      </c>
      <c r="C34" s="238">
        <v>0</v>
      </c>
      <c r="D34" s="331"/>
      <c r="E34" s="239"/>
      <c r="F34" s="242"/>
      <c r="G34" s="242"/>
      <c r="H34" s="289">
        <v>0</v>
      </c>
      <c r="I34" s="242"/>
      <c r="J34" s="242"/>
      <c r="K34" s="242">
        <f>+K31-K33</f>
        <v>-382.95</v>
      </c>
      <c r="L34" s="261"/>
      <c r="M34" s="240"/>
      <c r="N34" s="323"/>
      <c r="O34" s="323"/>
      <c r="P34" s="323"/>
    </row>
    <row r="35" spans="1:16" x14ac:dyDescent="0.2">
      <c r="A35" s="214" t="s">
        <v>27</v>
      </c>
      <c r="B35" s="241">
        <v>6789.09</v>
      </c>
      <c r="C35" s="242">
        <v>0</v>
      </c>
      <c r="D35" s="331"/>
      <c r="E35" s="243">
        <f>IF(SUM(B35:C35)=0,"",SUM(B35:C35))</f>
        <v>6789.09</v>
      </c>
      <c r="F35" s="242"/>
      <c r="G35" s="242"/>
      <c r="H35" s="242">
        <v>0</v>
      </c>
      <c r="I35" s="242"/>
      <c r="J35" s="242"/>
      <c r="K35" s="242">
        <v>0</v>
      </c>
      <c r="L35" s="261">
        <v>1443</v>
      </c>
      <c r="M35" s="243">
        <f>SUM(F35:L35)</f>
        <v>1443</v>
      </c>
      <c r="N35" s="281"/>
      <c r="O35" s="323"/>
      <c r="P35" s="323"/>
    </row>
    <row r="36" spans="1:16" ht="13.5" thickBot="1" x14ac:dyDescent="0.25">
      <c r="A36" s="323"/>
      <c r="B36" s="244">
        <f>+B34/B35</f>
        <v>0.20092383515316484</v>
      </c>
      <c r="C36" s="244" t="e">
        <f>+C34/C35</f>
        <v>#DIV/0!</v>
      </c>
      <c r="D36" s="332"/>
      <c r="E36" s="244" t="str">
        <f>IF(OR(E34="",E35=""),"",E34/E35)</f>
        <v/>
      </c>
      <c r="F36" s="244"/>
      <c r="G36" s="244"/>
      <c r="H36" s="280" t="e">
        <f>+H34/H35</f>
        <v>#DIV/0!</v>
      </c>
      <c r="I36" s="244"/>
      <c r="J36" s="244"/>
      <c r="K36" s="291" t="e">
        <f>+K34/K35</f>
        <v>#DIV/0!</v>
      </c>
      <c r="L36" s="310">
        <f>+L34/L35</f>
        <v>0</v>
      </c>
      <c r="M36" s="245"/>
      <c r="N36" s="281"/>
      <c r="O36" s="323"/>
      <c r="P36" s="323"/>
    </row>
    <row r="37" spans="1:16" ht="13.5" thickTop="1" x14ac:dyDescent="0.2">
      <c r="A37" s="326" t="s">
        <v>94</v>
      </c>
      <c r="B37" s="783" t="s">
        <v>95</v>
      </c>
      <c r="C37" s="784"/>
      <c r="D37" s="333"/>
      <c r="E37" s="317"/>
      <c r="F37" s="787" t="s">
        <v>98</v>
      </c>
      <c r="G37" s="788"/>
      <c r="H37" s="788"/>
      <c r="I37" s="788"/>
      <c r="J37" s="788"/>
      <c r="K37" s="788"/>
      <c r="L37" s="788"/>
      <c r="M37" s="789"/>
      <c r="O37" s="323"/>
    </row>
    <row r="38" spans="1:16" ht="13.5" thickBot="1" x14ac:dyDescent="0.25">
      <c r="A38" s="327"/>
      <c r="B38" s="785">
        <v>0.25</v>
      </c>
      <c r="C38" s="786"/>
      <c r="D38" s="334"/>
      <c r="E38" s="785">
        <f>+M34/M35</f>
        <v>0</v>
      </c>
      <c r="F38" s="790"/>
      <c r="G38" s="790"/>
      <c r="H38" s="790"/>
      <c r="I38" s="790"/>
      <c r="J38" s="790"/>
      <c r="K38" s="790"/>
      <c r="L38" s="790"/>
      <c r="M38" s="786"/>
    </row>
    <row r="39" spans="1:16" ht="13.5" thickTop="1" x14ac:dyDescent="0.2"/>
  </sheetData>
  <mergeCells count="28">
    <mergeCell ref="N7:O7"/>
    <mergeCell ref="K4:K5"/>
    <mergeCell ref="L4:L5"/>
    <mergeCell ref="M4:M5"/>
    <mergeCell ref="B2:M2"/>
    <mergeCell ref="B4:B5"/>
    <mergeCell ref="C4:C5"/>
    <mergeCell ref="D4:D5"/>
    <mergeCell ref="E4:E5"/>
    <mergeCell ref="F4:F5"/>
    <mergeCell ref="G4:G5"/>
    <mergeCell ref="A1:M1"/>
    <mergeCell ref="B3:E3"/>
    <mergeCell ref="F3:M3"/>
    <mergeCell ref="B21:C21"/>
    <mergeCell ref="B22:C22"/>
    <mergeCell ref="F21:M21"/>
    <mergeCell ref="F22:M22"/>
    <mergeCell ref="H4:H5"/>
    <mergeCell ref="I4:I5"/>
    <mergeCell ref="J4:J5"/>
    <mergeCell ref="N30:O30"/>
    <mergeCell ref="N16:O16"/>
    <mergeCell ref="B37:C37"/>
    <mergeCell ref="B38:C38"/>
    <mergeCell ref="F37:M37"/>
    <mergeCell ref="E38:M38"/>
    <mergeCell ref="B27:M27"/>
  </mergeCells>
  <conditionalFormatting sqref="B26:M26">
    <cfRule type="cellIs" dxfId="4" priority="1" operator="greaterThan">
      <formula>0.01</formula>
    </cfRule>
  </conditionalFormatting>
  <pageMargins left="0.7" right="0.7" top="0.75" bottom="0.75" header="0.3" footer="0.3"/>
  <pageSetup paperSize="9" scale="71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pageSetUpPr fitToPage="1"/>
  </sheetPr>
  <dimension ref="A1:P39"/>
  <sheetViews>
    <sheetView workbookViewId="0">
      <selection activeCell="B9" sqref="B9"/>
    </sheetView>
  </sheetViews>
  <sheetFormatPr baseColWidth="10" defaultRowHeight="12.75" x14ac:dyDescent="0.2"/>
  <cols>
    <col min="1" max="1" width="24.140625" style="370" customWidth="1"/>
    <col min="2" max="13" width="12.85546875" customWidth="1"/>
  </cols>
  <sheetData>
    <row r="1" spans="1:16" ht="24.75" customHeight="1" thickBot="1" x14ac:dyDescent="0.25">
      <c r="A1" s="794" t="s">
        <v>145</v>
      </c>
      <c r="B1" s="794"/>
      <c r="C1" s="794"/>
      <c r="D1" s="794"/>
      <c r="E1" s="794"/>
      <c r="F1" s="794"/>
      <c r="G1" s="794"/>
      <c r="H1" s="794"/>
      <c r="I1" s="794"/>
      <c r="J1" s="794"/>
      <c r="K1" s="794"/>
      <c r="L1" s="794"/>
      <c r="M1" s="794"/>
    </row>
    <row r="2" spans="1:16" ht="13.5" thickBot="1" x14ac:dyDescent="0.25">
      <c r="A2" s="359"/>
      <c r="B2" s="371" t="s">
        <v>96</v>
      </c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6" ht="13.5" thickBot="1" x14ac:dyDescent="0.25">
      <c r="A3" s="360"/>
      <c r="B3" s="818" t="s">
        <v>103</v>
      </c>
      <c r="C3" s="819"/>
      <c r="D3" s="819"/>
      <c r="E3" s="820"/>
      <c r="F3" s="821" t="s">
        <v>104</v>
      </c>
      <c r="G3" s="821"/>
      <c r="H3" s="821"/>
      <c r="I3" s="821"/>
      <c r="J3" s="821"/>
      <c r="K3" s="821"/>
      <c r="L3" s="821"/>
      <c r="M3" s="822"/>
    </row>
    <row r="4" spans="1:16" ht="28.5" customHeight="1" thickBot="1" x14ac:dyDescent="0.25">
      <c r="A4" s="360"/>
      <c r="B4" s="384" t="s">
        <v>147</v>
      </c>
      <c r="C4" s="385" t="s">
        <v>148</v>
      </c>
      <c r="D4" s="415" t="s">
        <v>140</v>
      </c>
      <c r="E4" s="429" t="s">
        <v>93</v>
      </c>
      <c r="F4" s="407" t="s">
        <v>91</v>
      </c>
      <c r="G4" s="408" t="s">
        <v>100</v>
      </c>
      <c r="H4" s="408" t="s">
        <v>83</v>
      </c>
      <c r="I4" s="408" t="s">
        <v>84</v>
      </c>
      <c r="J4" s="408" t="s">
        <v>86</v>
      </c>
      <c r="K4" s="408" t="s">
        <v>85</v>
      </c>
      <c r="L4" s="444" t="s">
        <v>87</v>
      </c>
      <c r="M4" s="448" t="s">
        <v>139</v>
      </c>
    </row>
    <row r="5" spans="1:16" ht="18.75" customHeight="1" x14ac:dyDescent="0.2">
      <c r="A5" s="361" t="s">
        <v>9</v>
      </c>
      <c r="B5" s="382"/>
      <c r="C5" s="383"/>
      <c r="D5" s="416"/>
      <c r="E5" s="430"/>
      <c r="F5" s="409"/>
      <c r="G5" s="410"/>
      <c r="H5" s="410"/>
      <c r="I5" s="410"/>
      <c r="J5" s="410"/>
      <c r="K5" s="410"/>
      <c r="L5" s="445"/>
      <c r="M5" s="449"/>
    </row>
    <row r="6" spans="1:16" ht="18.75" customHeight="1" x14ac:dyDescent="0.2">
      <c r="A6" s="362" t="s">
        <v>10</v>
      </c>
      <c r="B6" s="375">
        <v>12158.1</v>
      </c>
      <c r="C6" s="376">
        <v>3695.35</v>
      </c>
      <c r="D6" s="417">
        <v>574.87</v>
      </c>
      <c r="E6" s="431">
        <v>15853.45</v>
      </c>
      <c r="F6" s="411">
        <v>626.9</v>
      </c>
      <c r="G6" s="412">
        <v>1545</v>
      </c>
      <c r="H6" s="412">
        <v>3755.78</v>
      </c>
      <c r="I6" s="412">
        <v>2330.5700000000002</v>
      </c>
      <c r="J6" s="412">
        <v>1639.39</v>
      </c>
      <c r="K6" s="412">
        <v>562.92999999999995</v>
      </c>
      <c r="L6" s="446">
        <v>1940.71</v>
      </c>
      <c r="M6" s="450"/>
      <c r="N6" s="782"/>
      <c r="O6" s="806"/>
    </row>
    <row r="7" spans="1:16" ht="18.75" customHeight="1" x14ac:dyDescent="0.2">
      <c r="A7" s="362" t="s">
        <v>11</v>
      </c>
      <c r="B7" s="374">
        <v>16053.31</v>
      </c>
      <c r="C7" s="377">
        <v>6878</v>
      </c>
      <c r="D7" s="418">
        <v>808.44</v>
      </c>
      <c r="E7" s="431">
        <f>SUM(B7:D7)</f>
        <v>23739.749999999996</v>
      </c>
      <c r="F7" s="413">
        <v>505.57</v>
      </c>
      <c r="G7" s="414">
        <v>3722.7</v>
      </c>
      <c r="H7" s="414">
        <v>3252.66</v>
      </c>
      <c r="I7" s="414">
        <v>2621.1799999999998</v>
      </c>
      <c r="J7" s="414">
        <v>2926.09</v>
      </c>
      <c r="K7" s="414">
        <v>826.33</v>
      </c>
      <c r="L7" s="447">
        <v>1250.52</v>
      </c>
      <c r="M7" s="450">
        <f>+L7+D7+K7+J7+I7+H7+G7+F7</f>
        <v>15913.489999999998</v>
      </c>
    </row>
    <row r="8" spans="1:16" ht="18.75" customHeight="1" x14ac:dyDescent="0.2">
      <c r="A8" s="363" t="s">
        <v>135</v>
      </c>
      <c r="B8" s="343">
        <f>111.6+29.75+59.84</f>
        <v>201.19</v>
      </c>
      <c r="C8" s="344">
        <f>44.33+51.46+42.47</f>
        <v>138.26</v>
      </c>
      <c r="D8" s="419">
        <f>8.6+17.48</f>
        <v>26.08</v>
      </c>
      <c r="E8" s="432">
        <f>+B8+C8</f>
        <v>339.45</v>
      </c>
      <c r="F8" s="566">
        <v>3.5</v>
      </c>
      <c r="G8" s="567">
        <v>288.3</v>
      </c>
      <c r="H8" s="567">
        <v>17.21</v>
      </c>
      <c r="I8" s="567">
        <v>8</v>
      </c>
      <c r="J8" s="567">
        <v>14.96</v>
      </c>
      <c r="K8" s="567">
        <v>1.04</v>
      </c>
      <c r="L8" s="568">
        <v>23.29</v>
      </c>
      <c r="M8" s="569">
        <f>+L8+D8+K8+J8+I8+H8+G8+F8</f>
        <v>382.38</v>
      </c>
      <c r="N8" s="341"/>
    </row>
    <row r="9" spans="1:16" ht="18.75" customHeight="1" thickBot="1" x14ac:dyDescent="0.25">
      <c r="A9" s="464" t="s">
        <v>150</v>
      </c>
      <c r="B9" s="465">
        <f>+B7+0</f>
        <v>16053.31</v>
      </c>
      <c r="C9" s="466">
        <f>+C7+0</f>
        <v>6878</v>
      </c>
      <c r="D9" s="467">
        <f>+D7+0</f>
        <v>808.44</v>
      </c>
      <c r="E9" s="468">
        <f>+B9+C9</f>
        <v>22931.309999999998</v>
      </c>
      <c r="F9" s="469">
        <f>+F7+0</f>
        <v>505.57</v>
      </c>
      <c r="G9" s="470">
        <f t="shared" ref="G9:L9" si="0">+G7+0</f>
        <v>3722.7</v>
      </c>
      <c r="H9" s="470">
        <f t="shared" si="0"/>
        <v>3252.66</v>
      </c>
      <c r="I9" s="470">
        <f t="shared" si="0"/>
        <v>2621.1799999999998</v>
      </c>
      <c r="J9" s="470">
        <f t="shared" si="0"/>
        <v>2926.09</v>
      </c>
      <c r="K9" s="470">
        <f t="shared" si="0"/>
        <v>826.33</v>
      </c>
      <c r="L9" s="471">
        <f t="shared" si="0"/>
        <v>1250.52</v>
      </c>
      <c r="M9" s="472">
        <f>+L9+D9+K9+J9+I9+H9+G9+F9</f>
        <v>15913.489999999998</v>
      </c>
      <c r="O9" s="275"/>
    </row>
    <row r="10" spans="1:16" ht="18.75" customHeight="1" thickBot="1" x14ac:dyDescent="0.25">
      <c r="A10" s="482" t="s">
        <v>16</v>
      </c>
      <c r="B10" s="483">
        <f t="shared" ref="B10:L10" si="1">+B6+B9</f>
        <v>28211.41</v>
      </c>
      <c r="C10" s="484">
        <f>+C6+C9</f>
        <v>10573.35</v>
      </c>
      <c r="D10" s="485">
        <f>+D6+D9</f>
        <v>1383.31</v>
      </c>
      <c r="E10" s="486">
        <f>+E6+E9</f>
        <v>38784.759999999995</v>
      </c>
      <c r="F10" s="502">
        <f t="shared" si="1"/>
        <v>1132.47</v>
      </c>
      <c r="G10" s="484">
        <f t="shared" si="1"/>
        <v>5267.7</v>
      </c>
      <c r="H10" s="484">
        <f t="shared" si="1"/>
        <v>7008.4400000000005</v>
      </c>
      <c r="I10" s="484">
        <f t="shared" si="1"/>
        <v>4951.75</v>
      </c>
      <c r="J10" s="484">
        <f t="shared" si="1"/>
        <v>4565.4800000000005</v>
      </c>
      <c r="K10" s="484">
        <f t="shared" si="1"/>
        <v>1389.26</v>
      </c>
      <c r="L10" s="485">
        <f t="shared" si="1"/>
        <v>3191.23</v>
      </c>
      <c r="M10" s="547">
        <f>+SUM(F10:L10)</f>
        <v>27506.329999999998</v>
      </c>
      <c r="N10" s="275"/>
    </row>
    <row r="11" spans="1:16" ht="18.75" customHeight="1" x14ac:dyDescent="0.2">
      <c r="A11" s="473" t="s">
        <v>151</v>
      </c>
      <c r="B11" s="474"/>
      <c r="C11" s="475"/>
      <c r="D11" s="476"/>
      <c r="E11" s="477"/>
      <c r="F11" s="478"/>
      <c r="G11" s="479"/>
      <c r="H11" s="479"/>
      <c r="I11" s="479"/>
      <c r="J11" s="479"/>
      <c r="K11" s="479"/>
      <c r="L11" s="480"/>
      <c r="M11" s="481"/>
    </row>
    <row r="12" spans="1:16" ht="18.75" customHeight="1" x14ac:dyDescent="0.2">
      <c r="A12" s="362" t="s">
        <v>18</v>
      </c>
      <c r="B12" s="375">
        <v>11507.21</v>
      </c>
      <c r="C12" s="376">
        <v>3874.74</v>
      </c>
      <c r="D12" s="417">
        <v>939.69</v>
      </c>
      <c r="E12" s="431">
        <f>SUM(B12:D12)</f>
        <v>16321.64</v>
      </c>
      <c r="F12" s="411">
        <v>747.78</v>
      </c>
      <c r="G12" s="412">
        <v>1563.9</v>
      </c>
      <c r="H12" s="412">
        <v>4115.78</v>
      </c>
      <c r="I12" s="412">
        <v>3338.83</v>
      </c>
      <c r="J12" s="412">
        <v>2649.9</v>
      </c>
      <c r="K12" s="412">
        <v>790.7</v>
      </c>
      <c r="L12" s="446">
        <v>2187.35</v>
      </c>
      <c r="M12" s="450"/>
      <c r="N12" s="275"/>
    </row>
    <row r="13" spans="1:16" ht="18.75" customHeight="1" x14ac:dyDescent="0.2">
      <c r="A13" s="362" t="s">
        <v>19</v>
      </c>
      <c r="B13" s="375">
        <v>3500</v>
      </c>
      <c r="C13" s="376">
        <v>1000</v>
      </c>
      <c r="D13" s="420"/>
      <c r="E13" s="433"/>
      <c r="F13" s="411"/>
      <c r="G13" s="412"/>
      <c r="H13" s="412"/>
      <c r="I13" s="412"/>
      <c r="J13" s="412"/>
      <c r="K13" s="412"/>
      <c r="L13" s="446"/>
      <c r="M13" s="451"/>
      <c r="N13" s="275"/>
    </row>
    <row r="14" spans="1:16" ht="18.75" customHeight="1" x14ac:dyDescent="0.2">
      <c r="A14" s="362" t="s">
        <v>82</v>
      </c>
      <c r="B14" s="375">
        <f>143*3.52</f>
        <v>503.36</v>
      </c>
      <c r="C14" s="345"/>
      <c r="D14" s="420"/>
      <c r="E14" s="433"/>
      <c r="F14" s="411"/>
      <c r="G14" s="412"/>
      <c r="H14" s="412"/>
      <c r="I14" s="412"/>
      <c r="J14" s="412"/>
      <c r="K14" s="412"/>
      <c r="L14" s="446"/>
      <c r="M14" s="451"/>
    </row>
    <row r="15" spans="1:16" ht="18.75" customHeight="1" thickBot="1" x14ac:dyDescent="0.25">
      <c r="A15" s="487" t="s">
        <v>57</v>
      </c>
      <c r="B15" s="488">
        <f>587+13.5</f>
        <v>600.5</v>
      </c>
      <c r="C15" s="489">
        <v>0</v>
      </c>
      <c r="D15" s="490">
        <v>5</v>
      </c>
      <c r="E15" s="468">
        <f>SUM(B15:D15)</f>
        <v>605.5</v>
      </c>
      <c r="F15" s="491">
        <v>0</v>
      </c>
      <c r="G15" s="492">
        <f>32.4+3.8</f>
        <v>36.199999999999996</v>
      </c>
      <c r="H15" s="492">
        <f>10.4</f>
        <v>10.4</v>
      </c>
      <c r="I15" s="492">
        <f>67.7+38.5</f>
        <v>106.2</v>
      </c>
      <c r="J15" s="492">
        <f>12+49</f>
        <v>61</v>
      </c>
      <c r="K15" s="492">
        <v>0</v>
      </c>
      <c r="L15" s="493">
        <v>28.9</v>
      </c>
      <c r="M15" s="472">
        <f>SUM(F15:L15)</f>
        <v>242.70000000000002</v>
      </c>
      <c r="N15" s="826"/>
      <c r="O15" s="826"/>
      <c r="P15" s="336"/>
    </row>
    <row r="16" spans="1:16" ht="18.75" customHeight="1" thickBot="1" x14ac:dyDescent="0.25">
      <c r="A16" s="482" t="s">
        <v>149</v>
      </c>
      <c r="B16" s="483">
        <f>SUM(B12:B15)</f>
        <v>16111.07</v>
      </c>
      <c r="C16" s="484">
        <f>SUM(C12:C15)</f>
        <v>4874.74</v>
      </c>
      <c r="D16" s="485">
        <f>SUM(D12:D15)</f>
        <v>944.69</v>
      </c>
      <c r="E16" s="486">
        <f t="shared" ref="E16:L16" si="2">SUM(E12:E15)</f>
        <v>16927.14</v>
      </c>
      <c r="F16" s="502">
        <f t="shared" si="2"/>
        <v>747.78</v>
      </c>
      <c r="G16" s="484">
        <f t="shared" si="2"/>
        <v>1600.1000000000001</v>
      </c>
      <c r="H16" s="484">
        <f t="shared" si="2"/>
        <v>4126.1799999999994</v>
      </c>
      <c r="I16" s="484">
        <f t="shared" si="2"/>
        <v>3445.0299999999997</v>
      </c>
      <c r="J16" s="484">
        <f t="shared" si="2"/>
        <v>2710.9</v>
      </c>
      <c r="K16" s="484">
        <f t="shared" si="2"/>
        <v>790.7</v>
      </c>
      <c r="L16" s="485">
        <f t="shared" si="2"/>
        <v>2216.25</v>
      </c>
      <c r="M16" s="486">
        <f>+L16+D16+K16+J16+I16+H16+G16+F16</f>
        <v>16581.63</v>
      </c>
    </row>
    <row r="17" spans="1:16" ht="18.75" customHeight="1" x14ac:dyDescent="0.2">
      <c r="A17" s="494" t="s">
        <v>26</v>
      </c>
      <c r="B17" s="382">
        <f>B10-B16-B35</f>
        <v>10663.34</v>
      </c>
      <c r="C17" s="382">
        <f>C10-C16-C35</f>
        <v>5588.6100000000006</v>
      </c>
      <c r="D17" s="496">
        <f>+D10-D16</f>
        <v>438.61999999999989</v>
      </c>
      <c r="E17" s="497">
        <f>+B17+C17+D17</f>
        <v>16690.57</v>
      </c>
      <c r="F17" s="498">
        <f>F10-F16</f>
        <v>384.69000000000005</v>
      </c>
      <c r="G17" s="499">
        <f t="shared" ref="G17:L17" si="3">+G10-G16</f>
        <v>3667.5999999999995</v>
      </c>
      <c r="H17" s="499">
        <f t="shared" si="3"/>
        <v>2882.2600000000011</v>
      </c>
      <c r="I17" s="499">
        <v>1446</v>
      </c>
      <c r="J17" s="499">
        <v>1651</v>
      </c>
      <c r="K17" s="499">
        <f t="shared" si="3"/>
        <v>598.55999999999995</v>
      </c>
      <c r="L17" s="500">
        <f t="shared" si="3"/>
        <v>974.98</v>
      </c>
      <c r="M17" s="501">
        <f>+F17+G17+H17+I17+J17+K17+L17</f>
        <v>11605.09</v>
      </c>
    </row>
    <row r="18" spans="1:16" ht="18.75" customHeight="1" thickBot="1" x14ac:dyDescent="0.25">
      <c r="A18" s="487" t="s">
        <v>27</v>
      </c>
      <c r="B18" s="503">
        <v>34141</v>
      </c>
      <c r="C18" s="504">
        <v>15299.81</v>
      </c>
      <c r="D18" s="505">
        <v>3390</v>
      </c>
      <c r="E18" s="506">
        <f>+C18+B18</f>
        <v>49440.81</v>
      </c>
      <c r="F18" s="507">
        <v>978</v>
      </c>
      <c r="G18" s="508">
        <v>9172</v>
      </c>
      <c r="H18" s="508">
        <v>9824</v>
      </c>
      <c r="I18" s="508">
        <v>7501</v>
      </c>
      <c r="J18" s="508">
        <v>5891</v>
      </c>
      <c r="K18" s="508">
        <v>2337</v>
      </c>
      <c r="L18" s="509">
        <v>9131</v>
      </c>
      <c r="M18" s="510">
        <f>+F18+G18+H18+I18+J18+K18+L18</f>
        <v>44834</v>
      </c>
      <c r="N18" s="274"/>
    </row>
    <row r="19" spans="1:16" ht="18.75" customHeight="1" thickBot="1" x14ac:dyDescent="0.25">
      <c r="A19" s="482" t="s">
        <v>94</v>
      </c>
      <c r="B19" s="513">
        <f>+B17/B18</f>
        <v>0.31233238628042531</v>
      </c>
      <c r="C19" s="514">
        <f>+C17/C18</f>
        <v>0.36527316352294575</v>
      </c>
      <c r="D19" s="515">
        <f>+D17/D18</f>
        <v>0.12938643067846606</v>
      </c>
      <c r="E19" s="516">
        <f>IF(OR(E17="",E18=""),"",E17/E18)</f>
        <v>0.33758690442167111</v>
      </c>
      <c r="F19" s="517">
        <f t="shared" ref="F19:L19" si="4">+F17/F18</f>
        <v>0.39334355828220863</v>
      </c>
      <c r="G19" s="514">
        <f t="shared" si="4"/>
        <v>0.39986916703009151</v>
      </c>
      <c r="H19" s="514">
        <f t="shared" si="4"/>
        <v>0.29338965798045613</v>
      </c>
      <c r="I19" s="514">
        <f t="shared" si="4"/>
        <v>0.19277429676043195</v>
      </c>
      <c r="J19" s="514">
        <f t="shared" si="4"/>
        <v>0.28025802070955697</v>
      </c>
      <c r="K19" s="514">
        <f t="shared" si="4"/>
        <v>0.25612323491655969</v>
      </c>
      <c r="L19" s="515">
        <f t="shared" si="4"/>
        <v>0.10677691381009748</v>
      </c>
      <c r="M19" s="516">
        <f>IF(OR(M17="",M18=""),"",M17/M18)</f>
        <v>0.2588457420707499</v>
      </c>
    </row>
    <row r="20" spans="1:16" ht="18.75" customHeight="1" x14ac:dyDescent="0.2">
      <c r="A20" s="816" t="s">
        <v>108</v>
      </c>
      <c r="B20" s="827" t="s">
        <v>102</v>
      </c>
      <c r="C20" s="828"/>
      <c r="D20" s="511"/>
      <c r="E20" s="512"/>
      <c r="F20" s="829" t="s">
        <v>101</v>
      </c>
      <c r="G20" s="829"/>
      <c r="H20" s="829"/>
      <c r="I20" s="829"/>
      <c r="J20" s="829"/>
      <c r="K20" s="829"/>
      <c r="L20" s="829"/>
      <c r="M20" s="830"/>
    </row>
    <row r="21" spans="1:16" ht="18.75" customHeight="1" thickBot="1" x14ac:dyDescent="0.25">
      <c r="A21" s="817"/>
      <c r="B21" s="831">
        <f>IF(E19="","",E19)</f>
        <v>0.33758690442167111</v>
      </c>
      <c r="C21" s="832"/>
      <c r="D21" s="421"/>
      <c r="E21" s="434"/>
      <c r="F21" s="833">
        <f>IF(M19="","",M19)</f>
        <v>0.2588457420707499</v>
      </c>
      <c r="G21" s="833"/>
      <c r="H21" s="833"/>
      <c r="I21" s="833"/>
      <c r="J21" s="833"/>
      <c r="K21" s="833"/>
      <c r="L21" s="833"/>
      <c r="M21" s="834"/>
    </row>
    <row r="22" spans="1:16" ht="18.75" customHeight="1" thickTop="1" thickBot="1" x14ac:dyDescent="0.25">
      <c r="A22" s="364"/>
      <c r="B22" s="346"/>
      <c r="C22" s="347"/>
      <c r="D22" s="347"/>
      <c r="E22" s="435"/>
      <c r="F22" s="347"/>
      <c r="G22" s="347"/>
      <c r="H22" s="347"/>
      <c r="I22" s="347"/>
      <c r="J22" s="347"/>
      <c r="K22" s="347"/>
      <c r="L22" s="347"/>
      <c r="M22" s="348"/>
    </row>
    <row r="23" spans="1:16" ht="18.75" customHeight="1" thickBot="1" x14ac:dyDescent="0.25">
      <c r="A23" s="365" t="s">
        <v>105</v>
      </c>
      <c r="B23" s="349">
        <f>+(JUILLET!B20+AOUT!B20+SEPT!B20+'OCT 2015'!B20+'NOV 2015'!B20+'DEC 2015'!B20+'JANV 2016'!B20+'FEV 2016'!B18+'AVRIL 2016 '!B17+'MARS 2016'!B18)/(JUILLET!B21+AOUT!B21+SEPT!B21+'OCT 2015'!B21+'NOV 2015'!B21+'DEC 2015'!B21+'JANV 2016'!B21+'FEV 2016'!B19+'AVRIL 2016 '!B18+'MARS 2016'!C19)</f>
        <v>0.3972710524998726</v>
      </c>
      <c r="C23" s="350">
        <f>+(JUILLET!C20+AOUT!C20+SEPT!C20+'OCT 2015'!C20+'NOV 2015'!C20+'DEC 2015'!C20+'JANV 2016'!C20+'FEV 2016'!C18+'AVRIL 2016 '!C17+'MARS 2016'!C18)/(JUILLET!C21+AOUT!C21+SEPT!C21+'OCT 2015'!C21+'NOV 2015'!C21+'DEC 2015'!C21+'JANV 2016'!C21+'FEV 2016'!C19+'AVRIL 2016 '!C18+'MARS 2016'!D19)</f>
        <v>0.35651864891445395</v>
      </c>
      <c r="D23" s="422">
        <f>+(JUILLET!D20+AOUT!D20+SEPT!D20+'OCT 2015'!D20+'NOV 2015'!D20+'DEC 2015'!D20+'JANV 2016'!D20+'FEV 2016'!D18+'AVRIL 2016 '!D17+'MARS 2016'!D18)/(JUILLET!D21+AOUT!D21+SEPT!D21+'OCT 2015'!D21+'NOV 2015'!D21+'DEC 2015'!D21+'JANV 2016'!D21+'FEV 2016'!D19+'AVRIL 2016 '!D18+'MARS 2016'!E19)</f>
        <v>0.35095211309540941</v>
      </c>
      <c r="E23" s="436">
        <f>+(JUILLET!E20+AOUT!E20+SEPT!E20+'OCT 2015'!E20+'NOV 2015'!E20+'DEC 2015'!E20+'JANV 2016'!E20+'FEV 2016'!E18+'AVRIL 2016 '!E17+'MARS 2016'!E18)/(JUILLET!E21+AOUT!E21+SEPT!E21+'OCT 2015'!E21+'NOV 2015'!E21+'DEC 2015'!E21+'JANV 2016'!E21+'FEV 2016'!E19+'AVRIL 2016 '!E18+'MARS 2016'!F19)</f>
        <v>0.52686397477439828</v>
      </c>
      <c r="F23" s="378">
        <f>+(JUILLET!F20+AOUT!F20+SEPT!F20+'OCT 2015'!F20+'NOV 2015'!F20+'DEC 2015'!F20+'JANV 2016'!F20+'FEV 2016'!F18+'AVRIL 2016 '!F17+'MARS 2016'!F18)/(JUILLET!F21+AOUT!F21+SEPT!F21+'OCT 2015'!F21+'NOV 2015'!F21+'DEC 2015'!F21+'JANV 2016'!F21+'FEV 2016'!F19+'AVRIL 2016 '!F18+'MARS 2016'!G19)</f>
        <v>0.47934030754870877</v>
      </c>
      <c r="G23" s="350">
        <f>+(JUILLET!G20+AOUT!G20+SEPT!G20+'OCT 2015'!G20+'NOV 2015'!G20+'DEC 2015'!G20+'JANV 2016'!G20+'FEV 2016'!G18+'AVRIL 2016 '!G17+'MARS 2016'!G18)/(JUILLET!G21+AOUT!G21+SEPT!G21+'OCT 2015'!G21+'NOV 2015'!G21+'DEC 2015'!G21+'JANV 2016'!G21+'FEV 2016'!G19+'AVRIL 2016 '!G18+'MARS 2016'!H19)</f>
        <v>0.35567077754455562</v>
      </c>
      <c r="H23" s="350">
        <f>+(JUILLET!H20+AOUT!H20+SEPT!H20+'OCT 2015'!H20+'NOV 2015'!H20+'DEC 2015'!H20+'JANV 2016'!H20+'FEV 2016'!H18+'AVRIL 2016 '!H17+'MARS 2016'!H18)/(JUILLET!H21+AOUT!H21+SEPT!H21+'OCT 2015'!H21+'NOV 2015'!H21+'DEC 2015'!H21+'JANV 2016'!H21+'FEV 2016'!H19+'AVRIL 2016 '!H18+'MARS 2016'!I19)</f>
        <v>0.2131791793919077</v>
      </c>
      <c r="I23" s="350">
        <f>+(JUILLET!I20+AOUT!I20+SEPT!I20+'OCT 2015'!I20+'NOV 2015'!I20+'DEC 2015'!I20+'JANV 2016'!I20+'FEV 2016'!I18+'AVRIL 2016 '!I17+'MARS 2016'!I18)/(JUILLET!I21+AOUT!I21+SEPT!I21+'OCT 2015'!I21+'NOV 2015'!I21+'DEC 2015'!I21+'JANV 2016'!I21+'FEV 2016'!I19+'AVRIL 2016 '!I18+'MARS 2016'!J19)</f>
        <v>0.27520354165617789</v>
      </c>
      <c r="J23" s="350">
        <f>+(JUILLET!J20+AOUT!J20+SEPT!J20+'OCT 2015'!J20+'NOV 2015'!J20+'DEC 2015'!J20+'JANV 2016'!J20+'FEV 2016'!J18+'AVRIL 2016 '!J17+'MARS 2016'!J18)/(JUILLET!J21+AOUT!J21+SEPT!J21+'OCT 2015'!J21+'NOV 2015'!J21+'DEC 2015'!J21+'JANV 2016'!J21+'FEV 2016'!J19+'AVRIL 2016 '!J18+'MARS 2016'!K19)</f>
        <v>0.32257545660853204</v>
      </c>
      <c r="K23" s="350">
        <f>+(JUILLET!K20+AOUT!K20+SEPT!K20+'OCT 2015'!K20+'NOV 2015'!K20+'DEC 2015'!K20+'JANV 2016'!K20+'FEV 2016'!K18+'AVRIL 2016 '!K17+'MARS 2016'!K18)/(JUILLET!K21+AOUT!K21+SEPT!K21+'OCT 2015'!K21+'NOV 2015'!K21+'DEC 2015'!K21+'JANV 2016'!K21+'FEV 2016'!K19+'AVRIL 2016 '!K18+'MARS 2016'!L19)</f>
        <v>0.35703864462476698</v>
      </c>
      <c r="L23" s="422">
        <f>+(JUILLET!L20+AOUT!L20+SEPT!L20+'OCT 2015'!L20+'NOV 2015'!L20+'DEC 2015'!L20+'JANV 2016'!L20+'FEV 2016'!L18+'AVRIL 2016 '!L17+'MARS 2016'!L18)/(JUILLET!L21+AOUT!L21+SEPT!L21+'OCT 2015'!L21+'NOV 2015'!L21+'DEC 2015'!L21+'JANV 2016'!L21+'FEV 2016'!L19+'AVRIL 2016 '!L18+'MARS 2016'!M19)</f>
        <v>0.12271576874066807</v>
      </c>
      <c r="M23" s="452">
        <f>+(JUILLET!M20+AOUT!M20+SEPT!M20+'OCT 2015'!M20+'NOV 2015'!M20+'DEC 2015'!M20+'JANV 2016'!M20+'FEV 2016'!M18+'AVRIL 2016 '!M17+'MARS 2016'!M18)/(JUILLET!M21+AOUT!M21+SEPT!M21+'OCT 2015'!M21+'NOV 2015'!M21+'DEC 2015'!M21+'JANV 2016'!M21+'FEV 2016'!M19+'AVRIL 2016 '!M18+'MARS 2016'!N19)</f>
        <v>0.32613793786194306</v>
      </c>
    </row>
    <row r="24" spans="1:16" ht="18.75" customHeight="1" thickBot="1" x14ac:dyDescent="0.25">
      <c r="A24" s="366" t="s">
        <v>99</v>
      </c>
      <c r="B24" s="354">
        <v>0.31</v>
      </c>
      <c r="C24" s="355">
        <v>0.31</v>
      </c>
      <c r="D24" s="423">
        <v>0.35</v>
      </c>
      <c r="E24" s="437">
        <v>0.31</v>
      </c>
      <c r="F24" s="379">
        <v>0.35</v>
      </c>
      <c r="G24" s="355">
        <v>0.35</v>
      </c>
      <c r="H24" s="355">
        <v>0.3</v>
      </c>
      <c r="I24" s="355">
        <v>0.18</v>
      </c>
      <c r="J24" s="355">
        <v>0.3</v>
      </c>
      <c r="K24" s="355">
        <v>0.21</v>
      </c>
      <c r="L24" s="423">
        <v>0.1</v>
      </c>
      <c r="M24" s="453">
        <v>0.25</v>
      </c>
    </row>
    <row r="25" spans="1:16" ht="21.75" customHeight="1" thickBot="1" x14ac:dyDescent="0.25">
      <c r="A25" s="367" t="s">
        <v>106</v>
      </c>
      <c r="B25" s="548">
        <f>+B19-B24</f>
        <v>2.3323862804253137E-3</v>
      </c>
      <c r="C25" s="549">
        <f>+C19-C24</f>
        <v>5.5273163522945756E-2</v>
      </c>
      <c r="D25" s="550">
        <f>+D19-D24</f>
        <v>-0.22061356932153392</v>
      </c>
      <c r="E25" s="551">
        <f>+E19-E24</f>
        <v>2.758690442167111E-2</v>
      </c>
      <c r="F25" s="552">
        <f>+F19-F24</f>
        <v>4.334355828220865E-2</v>
      </c>
      <c r="G25" s="549">
        <f t="shared" ref="G25:M25" si="5">+G19-G24</f>
        <v>4.9869167030091532E-2</v>
      </c>
      <c r="H25" s="549">
        <f t="shared" si="5"/>
        <v>-6.6103420195438578E-3</v>
      </c>
      <c r="I25" s="549">
        <f t="shared" si="5"/>
        <v>1.2774296760431958E-2</v>
      </c>
      <c r="J25" s="549">
        <f t="shared" si="5"/>
        <v>-1.9741979290443024E-2</v>
      </c>
      <c r="K25" s="549">
        <f t="shared" si="5"/>
        <v>4.6123234916559702E-2</v>
      </c>
      <c r="L25" s="553">
        <f t="shared" si="5"/>
        <v>6.7769138100974707E-3</v>
      </c>
      <c r="M25" s="554">
        <f t="shared" si="5"/>
        <v>8.8457420707498957E-3</v>
      </c>
    </row>
    <row r="26" spans="1:16" ht="14.25" customHeight="1" thickBot="1" x14ac:dyDescent="0.25">
      <c r="A26" s="364"/>
      <c r="B26" s="405" t="s">
        <v>97</v>
      </c>
      <c r="C26" s="406"/>
      <c r="D26" s="406"/>
      <c r="E26" s="438"/>
      <c r="F26" s="406"/>
      <c r="G26" s="406"/>
      <c r="H26" s="406"/>
      <c r="I26" s="406"/>
      <c r="J26" s="406"/>
      <c r="K26" s="406"/>
      <c r="L26" s="406"/>
      <c r="M26" s="459"/>
    </row>
    <row r="27" spans="1:16" ht="18.75" customHeight="1" x14ac:dyDescent="0.2">
      <c r="A27" s="368"/>
      <c r="B27" s="386" t="s">
        <v>3</v>
      </c>
      <c r="C27" s="387" t="s">
        <v>90</v>
      </c>
      <c r="D27" s="424" t="s">
        <v>89</v>
      </c>
      <c r="E27" s="439" t="s">
        <v>93</v>
      </c>
      <c r="F27" s="399" t="s">
        <v>91</v>
      </c>
      <c r="G27" s="400" t="s">
        <v>92</v>
      </c>
      <c r="H27" s="400" t="s">
        <v>83</v>
      </c>
      <c r="I27" s="400" t="s">
        <v>84</v>
      </c>
      <c r="J27" s="400" t="s">
        <v>86</v>
      </c>
      <c r="K27" s="400" t="s">
        <v>85</v>
      </c>
      <c r="L27" s="454" t="s">
        <v>87</v>
      </c>
      <c r="M27" s="460" t="s">
        <v>88</v>
      </c>
      <c r="N27" s="823"/>
      <c r="O27" s="824"/>
    </row>
    <row r="28" spans="1:16" ht="18.75" customHeight="1" x14ac:dyDescent="0.2">
      <c r="A28" s="368"/>
      <c r="B28" s="388"/>
      <c r="C28" s="389"/>
      <c r="D28" s="425"/>
      <c r="E28" s="440"/>
      <c r="F28" s="401"/>
      <c r="G28" s="402"/>
      <c r="H28" s="402"/>
      <c r="I28" s="402"/>
      <c r="J28" s="402"/>
      <c r="K28" s="402"/>
      <c r="L28" s="455"/>
      <c r="M28" s="461"/>
      <c r="N28" s="825"/>
      <c r="O28" s="824"/>
      <c r="P28" s="312"/>
    </row>
    <row r="29" spans="1:16" ht="18.75" customHeight="1" x14ac:dyDescent="0.2">
      <c r="A29" s="390" t="s">
        <v>129</v>
      </c>
      <c r="B29" s="351"/>
      <c r="C29" s="352"/>
      <c r="D29" s="425"/>
      <c r="E29" s="440"/>
      <c r="F29" s="401"/>
      <c r="G29" s="402"/>
      <c r="H29" s="402">
        <v>294</v>
      </c>
      <c r="I29" s="402"/>
      <c r="J29" s="402"/>
      <c r="K29" s="402">
        <f>'MARS 2016'!K33</f>
        <v>382.95</v>
      </c>
      <c r="L29" s="455">
        <v>63</v>
      </c>
      <c r="M29" s="461"/>
      <c r="N29" s="825"/>
      <c r="O29" s="824"/>
      <c r="P29" s="338"/>
    </row>
    <row r="30" spans="1:16" ht="18.75" customHeight="1" x14ac:dyDescent="0.2">
      <c r="A30" s="390" t="s">
        <v>152</v>
      </c>
      <c r="B30" s="388"/>
      <c r="C30" s="389"/>
      <c r="D30" s="425"/>
      <c r="E30" s="440">
        <f>+B30+C30</f>
        <v>0</v>
      </c>
      <c r="F30" s="401"/>
      <c r="G30" s="402"/>
      <c r="H30" s="402">
        <v>196.08</v>
      </c>
      <c r="I30" s="402"/>
      <c r="J30" s="402"/>
      <c r="K30" s="402">
        <v>235.12</v>
      </c>
      <c r="L30" s="455">
        <v>372.1</v>
      </c>
      <c r="M30" s="461"/>
      <c r="N30" s="825"/>
      <c r="O30" s="824"/>
      <c r="P30" s="338"/>
    </row>
    <row r="31" spans="1:16" ht="18.75" customHeight="1" thickBot="1" x14ac:dyDescent="0.25">
      <c r="A31" s="518" t="s">
        <v>146</v>
      </c>
      <c r="B31" s="394"/>
      <c r="C31" s="395"/>
      <c r="D31" s="426"/>
      <c r="E31" s="441"/>
      <c r="F31" s="403"/>
      <c r="G31" s="398"/>
      <c r="H31" s="398"/>
      <c r="I31" s="398"/>
      <c r="J31" s="398"/>
      <c r="K31" s="398">
        <v>4.6500000000000004</v>
      </c>
      <c r="L31" s="456"/>
      <c r="M31" s="462"/>
      <c r="N31" s="825"/>
      <c r="O31" s="824"/>
      <c r="P31" s="339"/>
    </row>
    <row r="32" spans="1:16" ht="18.75" customHeight="1" thickBot="1" x14ac:dyDescent="0.25">
      <c r="A32" s="520" t="s">
        <v>16</v>
      </c>
      <c r="B32" s="396"/>
      <c r="C32" s="397"/>
      <c r="D32" s="427"/>
      <c r="E32" s="442">
        <f>+B32+C32</f>
        <v>0</v>
      </c>
      <c r="F32" s="380"/>
      <c r="G32" s="358"/>
      <c r="H32" s="358">
        <f>+H30+H29</f>
        <v>490.08000000000004</v>
      </c>
      <c r="I32" s="358"/>
      <c r="J32" s="358"/>
      <c r="K32" s="358">
        <f>+K29+K30-K31</f>
        <v>613.41999999999996</v>
      </c>
      <c r="L32" s="457">
        <f>+L29+L30-L31</f>
        <v>435.1</v>
      </c>
      <c r="M32" s="463"/>
      <c r="N32" s="825"/>
      <c r="O32" s="824"/>
      <c r="P32" s="338"/>
    </row>
    <row r="33" spans="1:16" ht="18.75" customHeight="1" thickBot="1" x14ac:dyDescent="0.25">
      <c r="A33" s="521" t="s">
        <v>18</v>
      </c>
      <c r="B33" s="522"/>
      <c r="C33" s="523"/>
      <c r="D33" s="524"/>
      <c r="E33" s="525"/>
      <c r="F33" s="526"/>
      <c r="G33" s="527"/>
      <c r="H33" s="527">
        <v>281.35000000000002</v>
      </c>
      <c r="I33" s="527"/>
      <c r="J33" s="527"/>
      <c r="K33" s="527">
        <v>415.52</v>
      </c>
      <c r="L33" s="528">
        <v>0</v>
      </c>
      <c r="M33" s="525"/>
      <c r="N33" s="825"/>
      <c r="O33" s="824"/>
      <c r="P33" s="338"/>
    </row>
    <row r="34" spans="1:16" ht="18.75" customHeight="1" thickBot="1" x14ac:dyDescent="0.25">
      <c r="A34" s="482" t="s">
        <v>149</v>
      </c>
      <c r="B34" s="356"/>
      <c r="C34" s="357"/>
      <c r="D34" s="427"/>
      <c r="E34" s="442"/>
      <c r="F34" s="380"/>
      <c r="G34" s="358"/>
      <c r="H34" s="358">
        <f>+H32-H33</f>
        <v>208.73000000000002</v>
      </c>
      <c r="I34" s="358">
        <f>+I36*I37</f>
        <v>0</v>
      </c>
      <c r="J34" s="358">
        <f>+J36*J37</f>
        <v>0</v>
      </c>
      <c r="K34" s="358">
        <f>+K32-K33</f>
        <v>197.89999999999998</v>
      </c>
      <c r="L34" s="457">
        <f>+L32-L33</f>
        <v>435.1</v>
      </c>
      <c r="M34" s="442"/>
      <c r="N34" s="825"/>
      <c r="O34" s="824"/>
      <c r="P34" s="340"/>
    </row>
    <row r="35" spans="1:16" ht="18.75" customHeight="1" x14ac:dyDescent="0.2">
      <c r="A35" s="519" t="s">
        <v>131</v>
      </c>
      <c r="B35" s="529">
        <v>1437</v>
      </c>
      <c r="C35" s="530">
        <v>110</v>
      </c>
      <c r="D35" s="531"/>
      <c r="E35" s="532"/>
      <c r="F35" s="533"/>
      <c r="G35" s="530"/>
      <c r="H35" s="534"/>
      <c r="I35" s="530"/>
      <c r="J35" s="530"/>
      <c r="K35" s="530"/>
      <c r="L35" s="535"/>
      <c r="M35" s="536"/>
      <c r="N35" s="825"/>
      <c r="O35" s="824"/>
      <c r="P35" s="338"/>
    </row>
    <row r="36" spans="1:16" ht="18.75" customHeight="1" x14ac:dyDescent="0.2">
      <c r="A36" s="391" t="s">
        <v>27</v>
      </c>
      <c r="B36" s="393">
        <v>5748</v>
      </c>
      <c r="C36" s="353">
        <v>440</v>
      </c>
      <c r="D36" s="428"/>
      <c r="E36" s="443">
        <f>IF(SUM(B36:C36)=0,"",SUM(B36:C36))</f>
        <v>6188</v>
      </c>
      <c r="F36" s="404"/>
      <c r="G36" s="353"/>
      <c r="H36" s="353">
        <v>591.25</v>
      </c>
      <c r="I36" s="353">
        <v>280</v>
      </c>
      <c r="J36" s="353">
        <v>618.17999999999995</v>
      </c>
      <c r="K36" s="353">
        <v>883.18</v>
      </c>
      <c r="L36" s="458">
        <v>671.82</v>
      </c>
      <c r="M36" s="443">
        <f>SUM(F36:L36)</f>
        <v>3044.43</v>
      </c>
      <c r="N36" s="825"/>
      <c r="O36" s="824"/>
      <c r="P36" s="338"/>
    </row>
    <row r="37" spans="1:16" ht="18.75" customHeight="1" thickBot="1" x14ac:dyDescent="0.25">
      <c r="A37" s="392"/>
      <c r="B37" s="537">
        <f>+B35/B36</f>
        <v>0.25</v>
      </c>
      <c r="C37" s="538">
        <f>+C35/C36</f>
        <v>0.25</v>
      </c>
      <c r="D37" s="539"/>
      <c r="E37" s="540" t="str">
        <f>IF(OR(E35="",E36=""),"",E35/E36)</f>
        <v/>
      </c>
      <c r="F37" s="541"/>
      <c r="G37" s="538"/>
      <c r="H37" s="538">
        <f>+H34/H36</f>
        <v>0.35303171247357296</v>
      </c>
      <c r="I37" s="538">
        <v>0</v>
      </c>
      <c r="J37" s="538">
        <v>0</v>
      </c>
      <c r="K37" s="538">
        <v>0</v>
      </c>
      <c r="L37" s="542">
        <f>+L34/L36</f>
        <v>0.64764371409008359</v>
      </c>
      <c r="M37" s="543"/>
      <c r="N37" s="825"/>
      <c r="O37" s="824"/>
      <c r="P37" s="338"/>
    </row>
    <row r="38" spans="1:16" ht="18.75" customHeight="1" thickBot="1" x14ac:dyDescent="0.25">
      <c r="A38" s="544" t="s">
        <v>94</v>
      </c>
      <c r="B38" s="835" t="s">
        <v>95</v>
      </c>
      <c r="C38" s="836"/>
      <c r="D38" s="545"/>
      <c r="E38" s="546"/>
      <c r="F38" s="837" t="s">
        <v>98</v>
      </c>
      <c r="G38" s="837"/>
      <c r="H38" s="837"/>
      <c r="I38" s="837"/>
      <c r="J38" s="837"/>
      <c r="K38" s="837"/>
      <c r="L38" s="837"/>
      <c r="M38" s="838"/>
      <c r="N38" s="825"/>
      <c r="O38" s="824"/>
    </row>
    <row r="39" spans="1:16" ht="18.75" customHeight="1" thickBot="1" x14ac:dyDescent="0.25">
      <c r="A39" s="369"/>
      <c r="B39" s="839" t="str">
        <f>IF(D37="","",D37)</f>
        <v/>
      </c>
      <c r="C39" s="840"/>
      <c r="D39" s="381"/>
      <c r="E39" s="841">
        <f>+M35/M36</f>
        <v>0</v>
      </c>
      <c r="F39" s="842"/>
      <c r="G39" s="842"/>
      <c r="H39" s="842"/>
      <c r="I39" s="842"/>
      <c r="J39" s="842"/>
      <c r="K39" s="842"/>
      <c r="L39" s="842"/>
      <c r="M39" s="843"/>
      <c r="N39" s="825"/>
      <c r="O39" s="824"/>
    </row>
  </sheetData>
  <mergeCells count="15">
    <mergeCell ref="A20:A21"/>
    <mergeCell ref="A1:M1"/>
    <mergeCell ref="B3:E3"/>
    <mergeCell ref="F3:M3"/>
    <mergeCell ref="N27:O39"/>
    <mergeCell ref="N6:O6"/>
    <mergeCell ref="N15:O15"/>
    <mergeCell ref="B20:C20"/>
    <mergeCell ref="F20:M20"/>
    <mergeCell ref="B21:C21"/>
    <mergeCell ref="F21:M21"/>
    <mergeCell ref="B38:C38"/>
    <mergeCell ref="F38:M38"/>
    <mergeCell ref="B39:C39"/>
    <mergeCell ref="E39:M39"/>
  </mergeCells>
  <conditionalFormatting sqref="B25:M25">
    <cfRule type="cellIs" dxfId="3" priority="1" operator="greaterThan">
      <formula>0.01</formula>
    </cfRule>
  </conditionalFormatting>
  <printOptions horizontalCentered="1" verticalCentered="1"/>
  <pageMargins left="0.17" right="0.17" top="0.39370078740157483" bottom="0.39370078740157483" header="0.17" footer="0.31496062992125984"/>
  <pageSetup paperSize="9" scale="73" orientation="landscape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pageSetUpPr fitToPage="1"/>
  </sheetPr>
  <dimension ref="A1:P39"/>
  <sheetViews>
    <sheetView workbookViewId="0">
      <selection activeCell="J10" sqref="J10"/>
    </sheetView>
  </sheetViews>
  <sheetFormatPr baseColWidth="10" defaultRowHeight="12.75" x14ac:dyDescent="0.2"/>
  <cols>
    <col min="1" max="1" width="24.140625" style="370" customWidth="1"/>
    <col min="2" max="13" width="12.85546875" customWidth="1"/>
  </cols>
  <sheetData>
    <row r="1" spans="1:16" ht="24.75" customHeight="1" thickBot="1" x14ac:dyDescent="0.25">
      <c r="A1" s="794" t="s">
        <v>153</v>
      </c>
      <c r="B1" s="794"/>
      <c r="C1" s="794"/>
      <c r="D1" s="794"/>
      <c r="E1" s="794"/>
      <c r="F1" s="794"/>
      <c r="G1" s="794"/>
      <c r="H1" s="794"/>
      <c r="I1" s="794"/>
      <c r="J1" s="794"/>
      <c r="K1" s="794"/>
      <c r="L1" s="794"/>
      <c r="M1" s="794"/>
    </row>
    <row r="2" spans="1:16" ht="13.5" thickBot="1" x14ac:dyDescent="0.25">
      <c r="A2" s="359"/>
      <c r="B2" s="371" t="s">
        <v>96</v>
      </c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6" ht="13.5" thickBot="1" x14ac:dyDescent="0.25">
      <c r="A3" s="360"/>
      <c r="B3" s="818" t="s">
        <v>103</v>
      </c>
      <c r="C3" s="819"/>
      <c r="D3" s="819"/>
      <c r="E3" s="820"/>
      <c r="F3" s="821" t="s">
        <v>104</v>
      </c>
      <c r="G3" s="821"/>
      <c r="H3" s="821"/>
      <c r="I3" s="821"/>
      <c r="J3" s="821"/>
      <c r="K3" s="821"/>
      <c r="L3" s="821"/>
      <c r="M3" s="822"/>
    </row>
    <row r="4" spans="1:16" ht="28.5" customHeight="1" thickBot="1" x14ac:dyDescent="0.25">
      <c r="A4" s="360"/>
      <c r="B4" s="384" t="s">
        <v>147</v>
      </c>
      <c r="C4" s="385" t="s">
        <v>148</v>
      </c>
      <c r="D4" s="415" t="s">
        <v>140</v>
      </c>
      <c r="E4" s="429" t="s">
        <v>93</v>
      </c>
      <c r="F4" s="407" t="s">
        <v>91</v>
      </c>
      <c r="G4" s="408" t="s">
        <v>100</v>
      </c>
      <c r="H4" s="408" t="s">
        <v>83</v>
      </c>
      <c r="I4" s="408" t="s">
        <v>84</v>
      </c>
      <c r="J4" s="408" t="s">
        <v>86</v>
      </c>
      <c r="K4" s="408" t="s">
        <v>85</v>
      </c>
      <c r="L4" s="444" t="s">
        <v>87</v>
      </c>
      <c r="M4" s="448" t="s">
        <v>139</v>
      </c>
    </row>
    <row r="5" spans="1:16" ht="18.75" customHeight="1" x14ac:dyDescent="0.2">
      <c r="A5" s="361" t="s">
        <v>9</v>
      </c>
      <c r="B5" s="382"/>
      <c r="C5" s="383"/>
      <c r="D5" s="416"/>
      <c r="E5" s="430"/>
      <c r="F5" s="409"/>
      <c r="G5" s="410"/>
      <c r="H5" s="410"/>
      <c r="I5" s="410"/>
      <c r="J5" s="410"/>
      <c r="K5" s="410"/>
      <c r="L5" s="445"/>
      <c r="M5" s="449"/>
    </row>
    <row r="6" spans="1:16" ht="18.75" customHeight="1" x14ac:dyDescent="0.2">
      <c r="A6" s="362" t="s">
        <v>10</v>
      </c>
      <c r="B6" s="375">
        <f>'AVRIL 2016 '!B12</f>
        <v>11507.21</v>
      </c>
      <c r="C6" s="375">
        <f>'AVRIL 2016 '!C12</f>
        <v>3874.74</v>
      </c>
      <c r="D6" s="375">
        <f>'AVRIL 2016 '!D12</f>
        <v>939.69</v>
      </c>
      <c r="E6" s="555">
        <f>16322-940</f>
        <v>15382</v>
      </c>
      <c r="F6" s="409">
        <f>'AVRIL 2016 '!F12</f>
        <v>747.78</v>
      </c>
      <c r="G6" s="409">
        <f>'AVRIL 2016 '!G12</f>
        <v>1563.9</v>
      </c>
      <c r="H6" s="409">
        <f>'AVRIL 2016 '!H12</f>
        <v>4115.78</v>
      </c>
      <c r="I6" s="409">
        <f>'AVRIL 2016 '!I12</f>
        <v>3338.83</v>
      </c>
      <c r="J6" s="409">
        <f>'AVRIL 2016 '!J12</f>
        <v>2649.9</v>
      </c>
      <c r="K6" s="409">
        <f>'AVRIL 2016 '!K12</f>
        <v>790.7</v>
      </c>
      <c r="L6" s="409">
        <f>'AVRIL 2016 '!L12</f>
        <v>2187.35</v>
      </c>
      <c r="M6" s="450"/>
      <c r="N6" s="782"/>
      <c r="O6" s="806"/>
    </row>
    <row r="7" spans="1:16" ht="18.75" customHeight="1" x14ac:dyDescent="0.2">
      <c r="A7" s="362" t="s">
        <v>11</v>
      </c>
      <c r="B7" s="374">
        <v>16304.03</v>
      </c>
      <c r="C7" s="377">
        <v>10255.030000000001</v>
      </c>
      <c r="D7" s="418">
        <v>1492.29</v>
      </c>
      <c r="E7" s="431">
        <f>B7+C7</f>
        <v>26559.06</v>
      </c>
      <c r="F7" s="413">
        <v>357.2</v>
      </c>
      <c r="G7" s="414">
        <v>3287.6</v>
      </c>
      <c r="H7" s="414">
        <v>2843.03</v>
      </c>
      <c r="I7" s="414">
        <v>1350.82</v>
      </c>
      <c r="J7" s="414">
        <v>1720.15</v>
      </c>
      <c r="K7" s="414">
        <v>488.51</v>
      </c>
      <c r="L7" s="447">
        <v>1140.95</v>
      </c>
      <c r="M7" s="450">
        <f>L7+F7+G7+H7+I7+J7+K7+L7</f>
        <v>12329.210000000001</v>
      </c>
    </row>
    <row r="8" spans="1:16" ht="18.75" customHeight="1" x14ac:dyDescent="0.2">
      <c r="A8" s="363" t="s">
        <v>135</v>
      </c>
      <c r="B8" s="343">
        <v>272.44</v>
      </c>
      <c r="C8" s="344">
        <f>168.01</f>
        <v>168.01</v>
      </c>
      <c r="D8" s="419">
        <f>12.9+22.42</f>
        <v>35.32</v>
      </c>
      <c r="E8" s="432"/>
      <c r="F8" s="557">
        <v>22</v>
      </c>
      <c r="G8" s="559">
        <v>223.8</v>
      </c>
      <c r="H8" s="560">
        <v>21.53</v>
      </c>
      <c r="I8" s="559">
        <v>7.08</v>
      </c>
      <c r="J8" s="560">
        <v>21.81</v>
      </c>
      <c r="K8" s="559">
        <v>2.4500000000000002</v>
      </c>
      <c r="L8" s="558">
        <v>11.3</v>
      </c>
      <c r="M8" s="432"/>
      <c r="N8" s="341"/>
    </row>
    <row r="9" spans="1:16" ht="18.75" customHeight="1" thickBot="1" x14ac:dyDescent="0.25">
      <c r="A9" s="464" t="s">
        <v>150</v>
      </c>
      <c r="B9" s="465">
        <f>+B7+0</f>
        <v>16304.03</v>
      </c>
      <c r="C9" s="466">
        <f>+C7+0</f>
        <v>10255.030000000001</v>
      </c>
      <c r="D9" s="467">
        <f>+D7+0</f>
        <v>1492.29</v>
      </c>
      <c r="E9" s="556">
        <f>+B9+C9</f>
        <v>26559.06</v>
      </c>
      <c r="F9" s="469">
        <f>+F7+0</f>
        <v>357.2</v>
      </c>
      <c r="G9" s="470">
        <f t="shared" ref="G9:L9" si="0">+G7+0</f>
        <v>3287.6</v>
      </c>
      <c r="H9" s="470">
        <f t="shared" si="0"/>
        <v>2843.03</v>
      </c>
      <c r="I9" s="470">
        <f t="shared" si="0"/>
        <v>1350.82</v>
      </c>
      <c r="J9" s="470">
        <f t="shared" si="0"/>
        <v>1720.15</v>
      </c>
      <c r="K9" s="470">
        <f t="shared" si="0"/>
        <v>488.51</v>
      </c>
      <c r="L9" s="471">
        <f t="shared" si="0"/>
        <v>1140.95</v>
      </c>
      <c r="M9" s="472">
        <f>+L9+D9+K9+J9+I9+H9+G9+F9</f>
        <v>12680.550000000001</v>
      </c>
      <c r="O9" s="275"/>
    </row>
    <row r="10" spans="1:16" ht="18.75" customHeight="1" thickBot="1" x14ac:dyDescent="0.25">
      <c r="A10" s="482" t="s">
        <v>16</v>
      </c>
      <c r="B10" s="483">
        <f>+B6+B9</f>
        <v>27811.239999999998</v>
      </c>
      <c r="C10" s="484">
        <f>+C6+C9</f>
        <v>14129.77</v>
      </c>
      <c r="D10" s="485">
        <f>+D6+D9</f>
        <v>2431.98</v>
      </c>
      <c r="E10" s="486">
        <f>+E6+E9</f>
        <v>41941.06</v>
      </c>
      <c r="F10" s="502">
        <f t="shared" ref="F10:L10" si="1">+F6+F9</f>
        <v>1104.98</v>
      </c>
      <c r="G10" s="484">
        <f t="shared" si="1"/>
        <v>4851.5</v>
      </c>
      <c r="H10" s="484">
        <f t="shared" si="1"/>
        <v>6958.8099999999995</v>
      </c>
      <c r="I10" s="484">
        <f t="shared" si="1"/>
        <v>4689.6499999999996</v>
      </c>
      <c r="J10" s="484">
        <f t="shared" si="1"/>
        <v>4370.05</v>
      </c>
      <c r="K10" s="484">
        <f t="shared" si="1"/>
        <v>1279.21</v>
      </c>
      <c r="L10" s="485">
        <f t="shared" si="1"/>
        <v>3328.3</v>
      </c>
      <c r="M10" s="547">
        <f>+SUM(F10:L10)</f>
        <v>26582.499999999996</v>
      </c>
      <c r="N10" s="275"/>
    </row>
    <row r="11" spans="1:16" ht="18.75" customHeight="1" x14ac:dyDescent="0.2">
      <c r="A11" s="473" t="s">
        <v>151</v>
      </c>
      <c r="B11" s="474"/>
      <c r="C11" s="475"/>
      <c r="D11" s="476"/>
      <c r="E11" s="477"/>
      <c r="F11" s="570"/>
      <c r="G11" s="571"/>
      <c r="H11" s="571"/>
      <c r="I11" s="571"/>
      <c r="J11" s="571"/>
      <c r="K11" s="571"/>
      <c r="L11" s="572"/>
      <c r="M11" s="573"/>
    </row>
    <row r="12" spans="1:16" ht="18.75" customHeight="1" x14ac:dyDescent="0.2">
      <c r="A12" s="362" t="s">
        <v>18</v>
      </c>
      <c r="B12" s="375">
        <v>10695.2</v>
      </c>
      <c r="C12" s="376">
        <v>3512.89</v>
      </c>
      <c r="D12" s="417">
        <v>614.28</v>
      </c>
      <c r="E12" s="431">
        <f>+B12+C12</f>
        <v>14208.09</v>
      </c>
      <c r="F12" s="411">
        <v>716.63</v>
      </c>
      <c r="G12" s="412">
        <v>1725.3</v>
      </c>
      <c r="H12" s="412">
        <v>3943.95</v>
      </c>
      <c r="I12" s="412">
        <v>3751.23</v>
      </c>
      <c r="J12" s="412">
        <v>2297.3000000000002</v>
      </c>
      <c r="K12" s="412">
        <v>718.07</v>
      </c>
      <c r="L12" s="446">
        <v>2756.3</v>
      </c>
      <c r="M12" s="450">
        <f>+L12+K12+J12+I12+H12+G12+F12</f>
        <v>15908.779999999997</v>
      </c>
      <c r="N12" s="275"/>
    </row>
    <row r="13" spans="1:16" ht="18.75" customHeight="1" x14ac:dyDescent="0.2">
      <c r="A13" s="362" t="s">
        <v>19</v>
      </c>
      <c r="B13" s="583">
        <f>2270.4*2-1000</f>
        <v>3540.8</v>
      </c>
      <c r="C13" s="376">
        <v>1000</v>
      </c>
      <c r="D13" s="420"/>
      <c r="E13" s="433"/>
      <c r="F13" s="411"/>
      <c r="G13" s="412"/>
      <c r="H13" s="412"/>
      <c r="I13" s="412"/>
      <c r="J13" s="412"/>
      <c r="K13" s="412"/>
      <c r="L13" s="446"/>
      <c r="M13" s="451"/>
      <c r="N13" s="275"/>
    </row>
    <row r="14" spans="1:16" ht="18.75" customHeight="1" x14ac:dyDescent="0.2">
      <c r="A14" s="362" t="s">
        <v>82</v>
      </c>
      <c r="B14" s="375">
        <f>214*3.52</f>
        <v>753.28</v>
      </c>
      <c r="C14" s="345"/>
      <c r="D14" s="420"/>
      <c r="E14" s="433"/>
      <c r="F14" s="411"/>
      <c r="G14" s="412"/>
      <c r="H14" s="412"/>
      <c r="I14" s="412"/>
      <c r="J14" s="412"/>
      <c r="K14" s="412"/>
      <c r="L14" s="446"/>
      <c r="M14" s="451"/>
    </row>
    <row r="15" spans="1:16" ht="18.75" customHeight="1" thickBot="1" x14ac:dyDescent="0.25">
      <c r="A15" s="487" t="s">
        <v>57</v>
      </c>
      <c r="B15" s="488">
        <f>(202+472)*0.25</f>
        <v>168.5</v>
      </c>
      <c r="C15" s="489"/>
      <c r="D15" s="490"/>
      <c r="E15" s="468">
        <v>169</v>
      </c>
      <c r="F15" s="491">
        <v>0</v>
      </c>
      <c r="G15" s="492">
        <v>11.76</v>
      </c>
      <c r="H15" s="492">
        <v>9.3800000000000008</v>
      </c>
      <c r="I15" s="492">
        <f>19.13+4.08</f>
        <v>23.21</v>
      </c>
      <c r="J15" s="492">
        <f>9.5+7</f>
        <v>16.5</v>
      </c>
      <c r="K15" s="492">
        <f>7+0.88</f>
        <v>7.88</v>
      </c>
      <c r="L15" s="493">
        <f>20.7+10.75</f>
        <v>31.45</v>
      </c>
      <c r="M15" s="472">
        <f>SUM(F15:L15)</f>
        <v>100.18</v>
      </c>
      <c r="N15" s="826"/>
      <c r="O15" s="826"/>
      <c r="P15" s="336"/>
    </row>
    <row r="16" spans="1:16" ht="18.75" customHeight="1" thickBot="1" x14ac:dyDescent="0.25">
      <c r="A16" s="482" t="s">
        <v>149</v>
      </c>
      <c r="B16" s="483">
        <f>SUM(B12:B15)</f>
        <v>15157.78</v>
      </c>
      <c r="C16" s="484">
        <f>SUM(C12:C15)</f>
        <v>4512.8899999999994</v>
      </c>
      <c r="D16" s="485">
        <f>SUM(D12:D15)</f>
        <v>614.28</v>
      </c>
      <c r="E16" s="486">
        <f>SUM(E12:E15)</f>
        <v>14377.09</v>
      </c>
      <c r="F16" s="502">
        <f t="shared" ref="F16:L16" si="2">SUM(F12:F15)</f>
        <v>716.63</v>
      </c>
      <c r="G16" s="484">
        <f t="shared" si="2"/>
        <v>1737.06</v>
      </c>
      <c r="H16" s="484">
        <f t="shared" si="2"/>
        <v>3953.33</v>
      </c>
      <c r="I16" s="484">
        <f t="shared" si="2"/>
        <v>3774.44</v>
      </c>
      <c r="J16" s="484">
        <f t="shared" si="2"/>
        <v>2313.8000000000002</v>
      </c>
      <c r="K16" s="484">
        <f t="shared" si="2"/>
        <v>725.95</v>
      </c>
      <c r="L16" s="485">
        <f t="shared" si="2"/>
        <v>2787.75</v>
      </c>
      <c r="M16" s="486">
        <f>+L16+D16+K16+J16+I16+H16+G16+F16</f>
        <v>16623.239999999998</v>
      </c>
    </row>
    <row r="17" spans="1:16" ht="18.75" customHeight="1" x14ac:dyDescent="0.2">
      <c r="A17" s="494" t="s">
        <v>26</v>
      </c>
      <c r="B17" s="382">
        <f>+B10-B16-B35</f>
        <v>10122.459999999997</v>
      </c>
      <c r="C17" s="382">
        <f>+C10-C16-C35</f>
        <v>9177.880000000001</v>
      </c>
      <c r="D17" s="496">
        <f>+D10-D16</f>
        <v>1817.7</v>
      </c>
      <c r="E17" s="497">
        <f>+E10-E16</f>
        <v>27563.969999999998</v>
      </c>
      <c r="F17" s="498">
        <f>F10-F16</f>
        <v>388.35</v>
      </c>
      <c r="G17" s="499">
        <f t="shared" ref="G17:L17" si="3">+G10-G16</f>
        <v>3114.44</v>
      </c>
      <c r="H17" s="499">
        <f>+H10-H16-H35</f>
        <v>2709.7999999999997</v>
      </c>
      <c r="I17" s="499">
        <f>+I10-I16-I34</f>
        <v>915.20999999999958</v>
      </c>
      <c r="J17" s="499">
        <f>+J10-J16-J34</f>
        <v>2056.25</v>
      </c>
      <c r="K17" s="499">
        <f t="shared" si="3"/>
        <v>553.26</v>
      </c>
      <c r="L17" s="500">
        <f t="shared" si="3"/>
        <v>540.55000000000018</v>
      </c>
      <c r="M17" s="501">
        <f>+F17+G17+H17+I17+J17+K17+L17</f>
        <v>10277.86</v>
      </c>
    </row>
    <row r="18" spans="1:16" ht="18.75" customHeight="1" thickBot="1" x14ac:dyDescent="0.25">
      <c r="A18" s="382" t="s">
        <v>27</v>
      </c>
      <c r="B18" s="495">
        <v>42343</v>
      </c>
      <c r="C18" s="496">
        <v>21618</v>
      </c>
      <c r="D18" s="497">
        <v>3355.82</v>
      </c>
      <c r="E18" s="382">
        <f>+B18+C18</f>
        <v>63961</v>
      </c>
      <c r="F18" s="498">
        <v>874.17</v>
      </c>
      <c r="G18" s="499">
        <v>8718.2900000000009</v>
      </c>
      <c r="H18" s="499">
        <v>7737</v>
      </c>
      <c r="I18" s="499">
        <v>8405</v>
      </c>
      <c r="J18" s="499">
        <v>6636</v>
      </c>
      <c r="K18" s="499">
        <v>3050</v>
      </c>
      <c r="L18" s="500">
        <v>8002</v>
      </c>
      <c r="M18" s="501">
        <f>+F18+G18+H18+I18+J18+K18+L18</f>
        <v>43422.46</v>
      </c>
      <c r="N18" s="274"/>
    </row>
    <row r="19" spans="1:16" ht="18.75" customHeight="1" thickBot="1" x14ac:dyDescent="0.25">
      <c r="A19" s="482" t="s">
        <v>94</v>
      </c>
      <c r="B19" s="513">
        <f>+B17/B18</f>
        <v>0.23905864015303585</v>
      </c>
      <c r="C19" s="514">
        <f>+C17/C18</f>
        <v>0.42454806180035159</v>
      </c>
      <c r="D19" s="515">
        <f>+D17/D18</f>
        <v>0.54165598870022824</v>
      </c>
      <c r="E19" s="516">
        <f>IF(OR(E17="",E18=""),"",E17/E18)</f>
        <v>0.43094964118759865</v>
      </c>
      <c r="F19" s="517">
        <f t="shared" ref="F19:K19" si="4">+F17/F18</f>
        <v>0.44424997426129936</v>
      </c>
      <c r="G19" s="514">
        <f>+G17/G18</f>
        <v>0.35723060370783716</v>
      </c>
      <c r="H19" s="514">
        <f>+H17/H18</f>
        <v>0.35023911076644693</v>
      </c>
      <c r="I19" s="514">
        <f t="shared" si="4"/>
        <v>0.10888875669244492</v>
      </c>
      <c r="J19" s="514">
        <f t="shared" si="4"/>
        <v>0.30986286919831224</v>
      </c>
      <c r="K19" s="514">
        <f t="shared" si="4"/>
        <v>0.18139672131147541</v>
      </c>
      <c r="L19" s="515">
        <f>+L17/L18</f>
        <v>6.75518620344914E-2</v>
      </c>
      <c r="M19" s="516">
        <f>IF(OR(M17="",M18=""),"",M17/M18)</f>
        <v>0.23669455853030899</v>
      </c>
    </row>
    <row r="20" spans="1:16" ht="18.75" customHeight="1" x14ac:dyDescent="0.2">
      <c r="A20" s="816" t="s">
        <v>108</v>
      </c>
      <c r="B20" s="827" t="s">
        <v>102</v>
      </c>
      <c r="C20" s="828"/>
      <c r="D20" s="511"/>
      <c r="E20" s="512"/>
      <c r="F20" s="829" t="s">
        <v>101</v>
      </c>
      <c r="G20" s="829"/>
      <c r="H20" s="829"/>
      <c r="I20" s="829"/>
      <c r="J20" s="829"/>
      <c r="K20" s="829"/>
      <c r="L20" s="829"/>
      <c r="M20" s="830"/>
    </row>
    <row r="21" spans="1:16" ht="18.75" customHeight="1" thickBot="1" x14ac:dyDescent="0.25">
      <c r="A21" s="817"/>
      <c r="B21" s="844">
        <f>IF(E19="","",E19)</f>
        <v>0.43094964118759865</v>
      </c>
      <c r="C21" s="845"/>
      <c r="D21" s="421"/>
      <c r="E21" s="434"/>
      <c r="F21" s="831">
        <f>IF(M19="","",M19)</f>
        <v>0.23669455853030899</v>
      </c>
      <c r="G21" s="833"/>
      <c r="H21" s="833"/>
      <c r="I21" s="833"/>
      <c r="J21" s="833"/>
      <c r="K21" s="833"/>
      <c r="L21" s="833"/>
      <c r="M21" s="834"/>
    </row>
    <row r="22" spans="1:16" ht="18.75" customHeight="1" thickTop="1" x14ac:dyDescent="0.2">
      <c r="A22" s="364"/>
      <c r="B22" s="346"/>
      <c r="C22" s="347"/>
      <c r="D22" s="347"/>
      <c r="E22" s="435"/>
      <c r="F22" s="347"/>
      <c r="G22" s="347"/>
      <c r="H22" s="347"/>
      <c r="I22" s="347"/>
      <c r="J22" s="347"/>
      <c r="K22" s="347"/>
      <c r="L22" s="347"/>
      <c r="M22" s="348"/>
    </row>
    <row r="23" spans="1:16" ht="18.75" customHeight="1" thickBot="1" x14ac:dyDescent="0.25">
      <c r="A23" s="365" t="s">
        <v>105</v>
      </c>
      <c r="B23" s="349">
        <f>+(JUILLET!B20+AOUT!B20+SEPT!B20+'OCT 2015'!B20+'NOV 2015'!B20+'DEC 2015'!B20+'JANV 2016'!B20+'FEV 2016'!B18+'MARS 2016'!B18+'AVRIL 2016 '!B17+'MAI 2016'!B17)/+(JUILLET!B21+AOUT!B21+SEPT!B21+'OCT 2015'!B21+'NOV 2015'!B21+'DEC 2015'!B21+'JANV 2016'!B21+'FEV 2016'!B19+'MARS 2016'!B19+'AVRIL 2016 '!B18+'MAI 2016'!B18)</f>
        <v>0.36751832729778261</v>
      </c>
      <c r="C23" s="349">
        <f>+(JUILLET!C20+AOUT!C20+SEPT!C20+'OCT 2015'!C20+'NOV 2015'!C20+'DEC 2015'!C20+'JANV 2016'!C20+'FEV 2016'!C18+'MARS 2016'!C18+'AVRIL 2016 '!C17+'MAI 2016'!C17)/+(JUILLET!C21+AOUT!C21+SEPT!C21+'OCT 2015'!C21+'NOV 2015'!C21+'DEC 2015'!C21+'JANV 2016'!C21+'FEV 2016'!C19+'MARS 2016'!C19+'AVRIL 2016 '!C18+'MAI 2016'!C18)</f>
        <v>0.34794517012753512</v>
      </c>
      <c r="D23" s="349">
        <f>+(JUILLET!D20+AOUT!D20+SEPT!D20+'OCT 2015'!D20+'NOV 2015'!D20+'DEC 2015'!D20+'JANV 2016'!D20+'FEV 2016'!D18+'MARS 2016'!D18+'AVRIL 2016 '!D17+'MAI 2016'!D17)/+(JUILLET!D21+AOUT!D21+SEPT!D21+'OCT 2015'!D21+'NOV 2015'!D21+'DEC 2015'!D21+'JANV 2016'!D21+'FEV 2016'!D19+'MARS 2016'!D19+'AVRIL 2016 '!D18+'MAI 2016'!D18)</f>
        <v>0.37751111092591771</v>
      </c>
      <c r="E23" s="349">
        <f>+(JUILLET!E20+AOUT!E20+SEPT!E20+'OCT 2015'!E20+'NOV 2015'!E20+'DEC 2015'!E20+'JANV 2016'!E20+'FEV 2016'!E18+'MARS 2016'!E18+'AVRIL 2016 '!E17+'MAI 2016'!E17)/+(JUILLET!E21+AOUT!E21+SEPT!E21+'OCT 2015'!E21+'NOV 2015'!E21+'DEC 2015'!E21+'JANV 2016'!E21+'FEV 2016'!E19+'MARS 2016'!E19+'AVRIL 2016 '!E18+'MAI 2016'!E18)</f>
        <v>0.36117457435324901</v>
      </c>
      <c r="F23" s="349">
        <f>+(JUILLET!F20+AOUT!F20+SEPT!F20+'OCT 2015'!F20+'NOV 2015'!F20+'DEC 2015'!F20+'JANV 2016'!F20+'FEV 2016'!F18+'MARS 2016'!F18+'AVRIL 2016 '!F17+'MAI 2016'!F17)/+(JUILLET!F21+AOUT!F21+SEPT!F21+'OCT 2015'!F21+'NOV 2015'!F21+'DEC 2015'!F21+'JANV 2016'!F21+'FEV 2016'!F19+'MARS 2016'!F19+'AVRIL 2016 '!F18+'MAI 2016'!F18)</f>
        <v>0.5276495169252351</v>
      </c>
      <c r="G23" s="349">
        <f>+(JUILLET!G20+AOUT!G20+SEPT!G20+'OCT 2015'!G20+'NOV 2015'!G20+'DEC 2015'!G20+'JANV 2016'!G20+'FEV 2016'!G18+'MARS 2016'!G18+'AVRIL 2016 '!G17+'MAI 2016'!G17)/+(JUILLET!G21+AOUT!G21+SEPT!G21+'OCT 2015'!G21+'NOV 2015'!G21+'DEC 2015'!G21+'JANV 2016'!G21+'FEV 2016'!G19+'MARS 2016'!G19+'AVRIL 2016 '!G18+'MAI 2016'!G18)</f>
        <v>0.35813198014276937</v>
      </c>
      <c r="H23" s="349">
        <f>+(JUILLET!H20+AOUT!H20+SEPT!H20+'OCT 2015'!H20+'NOV 2015'!H20+'DEC 2015'!H20+'JANV 2016'!H20+'FEV 2016'!H18+'MARS 2016'!H18+'AVRIL 2016 '!H17+'MAI 2016'!H17)/+(JUILLET!H21+AOUT!H21+SEPT!H21+'OCT 2015'!H21+'NOV 2015'!H21+'DEC 2015'!H21+'JANV 2016'!H21+'FEV 2016'!H19+'MARS 2016'!H19+'AVRIL 2016 '!H18+'MAI 2016'!H18)</f>
        <v>0.22061602534829489</v>
      </c>
      <c r="I23" s="349">
        <f>+(JUILLET!I20+AOUT!I20+SEPT!I20+'OCT 2015'!I20+'NOV 2015'!I20+'DEC 2015'!I20+'JANV 2016'!I20+'FEV 2016'!I18+'MARS 2016'!I18+'AVRIL 2016 '!I17+'MAI 2016'!I17)/+(JUILLET!I21+AOUT!I21+SEPT!I21+'OCT 2015'!I21+'NOV 2015'!I21+'DEC 2015'!I21+'JANV 2016'!I21+'FEV 2016'!I19+'MARS 2016'!I19+'AVRIL 2016 '!I18+'MAI 2016'!I18)</f>
        <v>0.24827451922798527</v>
      </c>
      <c r="J23" s="349">
        <f>+(JUILLET!J20+AOUT!J20+SEPT!J20+'OCT 2015'!J20+'NOV 2015'!J20+'DEC 2015'!J20+'JANV 2016'!J20+'FEV 2016'!J18+'MARS 2016'!J18+'AVRIL 2016 '!J17+'MAI 2016'!J17)/+(JUILLET!J21+AOUT!J21+SEPT!J21+'OCT 2015'!J21+'NOV 2015'!J21+'DEC 2015'!J21+'JANV 2016'!J21+'FEV 2016'!J19+'MARS 2016'!J19+'AVRIL 2016 '!J18+'MAI 2016'!J18)</f>
        <v>0.29937159074854269</v>
      </c>
      <c r="K23" s="349">
        <f>+(JUILLET!K20+AOUT!K20+SEPT!K20+'OCT 2015'!K20+'NOV 2015'!K20+'DEC 2015'!K20+'JANV 2016'!K20+'FEV 2016'!K18+'MARS 2016'!K18+'AVRIL 2016 '!K17+'MAI 2016'!K17)/+(JUILLET!K21+AOUT!K21+SEPT!K21+'OCT 2015'!K21+'NOV 2015'!K21+'DEC 2015'!K21+'JANV 2016'!K21+'FEV 2016'!K19+'MARS 2016'!K19+'AVRIL 2016 '!K18+'MAI 2016'!K18)</f>
        <v>0.41257118562171768</v>
      </c>
      <c r="L23" s="349">
        <f>+(JUILLET!L20+AOUT!L20+SEPT!L20+'OCT 2015'!L20+'NOV 2015'!L20+'DEC 2015'!L20+'JANV 2016'!L20+'FEV 2016'!L18+'MARS 2016'!L18+'AVRIL 2016 '!L17+'MAI 2016'!L17)/+(JUILLET!L21+AOUT!L21+SEPT!L21+'OCT 2015'!L21+'NOV 2015'!L21+'DEC 2015'!L21+'JANV 2016'!L21+'FEV 2016'!L19+'MARS 2016'!L19+'AVRIL 2016 '!L18+'MAI 2016'!L18)</f>
        <v>0.15381966951809151</v>
      </c>
      <c r="M23" s="349">
        <f>+(JUILLET!M20+AOUT!M20+SEPT!M20+'OCT 2015'!M20+'NOV 2015'!M20+'DEC 2015'!M20+'JANV 2016'!M20+'FEV 2016'!M18+'MARS 2016'!M18+'AVRIL 2016 '!M17+'MAI 2016'!M17)/+(JUILLET!M21+AOUT!M21+SEPT!M21+'OCT 2015'!M21+'NOV 2015'!M21+'DEC 2015'!M21+'JANV 2016'!M21+'FEV 2016'!M19+'MARS 2016'!M19+'AVRIL 2016 '!M18+'MAI 2016'!M18)</f>
        <v>0.29475896409069141</v>
      </c>
    </row>
    <row r="24" spans="1:16" ht="18.75" customHeight="1" thickBot="1" x14ac:dyDescent="0.25">
      <c r="A24" s="366" t="s">
        <v>99</v>
      </c>
      <c r="B24" s="354">
        <v>0.31</v>
      </c>
      <c r="C24" s="355">
        <v>0.31</v>
      </c>
      <c r="D24" s="423">
        <v>0.35</v>
      </c>
      <c r="E24" s="437">
        <v>0.31</v>
      </c>
      <c r="F24" s="379">
        <v>0.35</v>
      </c>
      <c r="G24" s="355">
        <v>0.35</v>
      </c>
      <c r="H24" s="355">
        <v>0.3</v>
      </c>
      <c r="I24" s="355">
        <v>0.18</v>
      </c>
      <c r="J24" s="355">
        <v>0.3</v>
      </c>
      <c r="K24" s="355">
        <v>0.21</v>
      </c>
      <c r="L24" s="423">
        <v>0.1</v>
      </c>
      <c r="M24" s="453">
        <v>0.25</v>
      </c>
    </row>
    <row r="25" spans="1:16" ht="21.75" customHeight="1" thickBot="1" x14ac:dyDescent="0.25">
      <c r="A25" s="367" t="s">
        <v>106</v>
      </c>
      <c r="B25" s="561">
        <f t="shared" ref="B25:M25" si="5">+B19-B24</f>
        <v>-7.0941359846964147E-2</v>
      </c>
      <c r="C25" s="562">
        <f t="shared" si="5"/>
        <v>0.1145480618003516</v>
      </c>
      <c r="D25" s="550">
        <f t="shared" si="5"/>
        <v>0.19165598870022826</v>
      </c>
      <c r="E25" s="563">
        <f t="shared" si="5"/>
        <v>0.12094964118759866</v>
      </c>
      <c r="F25" s="564">
        <f t="shared" si="5"/>
        <v>9.4249974261299385E-2</v>
      </c>
      <c r="G25" s="562">
        <f t="shared" si="5"/>
        <v>7.2306037078371799E-3</v>
      </c>
      <c r="H25" s="562">
        <f t="shared" si="5"/>
        <v>5.0239110766446937E-2</v>
      </c>
      <c r="I25" s="562">
        <f t="shared" si="5"/>
        <v>-7.1111243307555069E-2</v>
      </c>
      <c r="J25" s="562">
        <f t="shared" si="5"/>
        <v>9.8628691983122518E-3</v>
      </c>
      <c r="K25" s="562">
        <f t="shared" si="5"/>
        <v>-2.860327868852458E-2</v>
      </c>
      <c r="L25" s="550">
        <f t="shared" si="5"/>
        <v>-3.2448137965508606E-2</v>
      </c>
      <c r="M25" s="565">
        <f t="shared" si="5"/>
        <v>-1.3305441469691009E-2</v>
      </c>
    </row>
    <row r="26" spans="1:16" ht="14.25" customHeight="1" thickBot="1" x14ac:dyDescent="0.25">
      <c r="A26" s="364"/>
      <c r="B26" s="405" t="s">
        <v>97</v>
      </c>
      <c r="C26" s="406"/>
      <c r="D26" s="406"/>
      <c r="E26" s="438"/>
      <c r="F26" s="406"/>
      <c r="G26" s="406"/>
      <c r="H26" s="406"/>
      <c r="I26" s="406"/>
      <c r="J26" s="406"/>
      <c r="K26" s="406"/>
      <c r="L26" s="406"/>
      <c r="M26" s="459"/>
    </row>
    <row r="27" spans="1:16" ht="18.75" customHeight="1" x14ac:dyDescent="0.2">
      <c r="A27" s="368"/>
      <c r="B27" s="386" t="s">
        <v>3</v>
      </c>
      <c r="C27" s="387" t="s">
        <v>90</v>
      </c>
      <c r="D27" s="424" t="s">
        <v>89</v>
      </c>
      <c r="E27" s="439" t="s">
        <v>93</v>
      </c>
      <c r="F27" s="399" t="s">
        <v>91</v>
      </c>
      <c r="G27" s="400" t="s">
        <v>92</v>
      </c>
      <c r="H27" s="400" t="s">
        <v>83</v>
      </c>
      <c r="I27" s="400" t="s">
        <v>84</v>
      </c>
      <c r="J27" s="400" t="s">
        <v>86</v>
      </c>
      <c r="K27" s="400" t="s">
        <v>85</v>
      </c>
      <c r="L27" s="454" t="s">
        <v>87</v>
      </c>
      <c r="M27" s="460" t="s">
        <v>88</v>
      </c>
      <c r="N27" s="823"/>
      <c r="O27" s="824"/>
    </row>
    <row r="28" spans="1:16" ht="18.75" customHeight="1" x14ac:dyDescent="0.2">
      <c r="A28" s="368"/>
      <c r="B28" s="388"/>
      <c r="C28" s="389"/>
      <c r="D28" s="425"/>
      <c r="E28" s="440"/>
      <c r="F28" s="401"/>
      <c r="G28" s="402"/>
      <c r="H28" s="402"/>
      <c r="I28" s="402"/>
      <c r="J28" s="402"/>
      <c r="K28" s="402"/>
      <c r="L28" s="455"/>
      <c r="M28" s="461"/>
      <c r="N28" s="825"/>
      <c r="O28" s="824"/>
      <c r="P28" s="312"/>
    </row>
    <row r="29" spans="1:16" ht="18.75" customHeight="1" x14ac:dyDescent="0.2">
      <c r="A29" s="390" t="s">
        <v>129</v>
      </c>
      <c r="B29" s="351"/>
      <c r="C29" s="352"/>
      <c r="D29" s="425"/>
      <c r="E29" s="440"/>
      <c r="F29" s="401"/>
      <c r="G29" s="402"/>
      <c r="H29" s="402">
        <v>281.35000000000002</v>
      </c>
      <c r="I29" s="402">
        <f>'AVRIL 2016 '!I33</f>
        <v>0</v>
      </c>
      <c r="J29" s="402">
        <f>'AVRIL 2016 '!J33</f>
        <v>0</v>
      </c>
      <c r="K29" s="402">
        <v>415.52</v>
      </c>
      <c r="L29" s="402">
        <f>'AVRIL 2016 '!L33</f>
        <v>0</v>
      </c>
      <c r="M29" s="585">
        <f>+F29+G29+H29+I29+J29+K29+L29</f>
        <v>696.87</v>
      </c>
      <c r="N29" s="825"/>
      <c r="O29" s="824"/>
      <c r="P29" s="342"/>
    </row>
    <row r="30" spans="1:16" ht="18.75" customHeight="1" x14ac:dyDescent="0.2">
      <c r="A30" s="390" t="s">
        <v>152</v>
      </c>
      <c r="B30" s="388">
        <v>2530.25</v>
      </c>
      <c r="C30" s="584">
        <v>438.75</v>
      </c>
      <c r="D30" s="425"/>
      <c r="E30" s="440">
        <f>+B30+C30</f>
        <v>2969</v>
      </c>
      <c r="F30" s="401"/>
      <c r="G30" s="402"/>
      <c r="H30" s="402">
        <v>524.26</v>
      </c>
      <c r="I30" s="402"/>
      <c r="J30" s="402"/>
      <c r="K30" s="402">
        <v>211.21</v>
      </c>
      <c r="L30" s="455">
        <v>171.24</v>
      </c>
      <c r="M30" s="585">
        <f>+F30+G30+H30+I30+J30+K30+L30</f>
        <v>906.71</v>
      </c>
      <c r="N30" s="825"/>
      <c r="O30" s="824"/>
      <c r="P30" s="342"/>
    </row>
    <row r="31" spans="1:16" ht="18.75" customHeight="1" thickBot="1" x14ac:dyDescent="0.25">
      <c r="A31" s="574" t="s">
        <v>146</v>
      </c>
      <c r="B31" s="575"/>
      <c r="C31" s="576"/>
      <c r="D31" s="426"/>
      <c r="E31" s="578"/>
      <c r="F31" s="579"/>
      <c r="G31" s="580"/>
      <c r="H31" s="580">
        <v>5.29</v>
      </c>
      <c r="I31" s="580"/>
      <c r="J31" s="580"/>
      <c r="K31" s="580">
        <v>8.16</v>
      </c>
      <c r="L31" s="577"/>
      <c r="M31" s="581"/>
      <c r="N31" s="825"/>
      <c r="O31" s="824"/>
      <c r="P31" s="342"/>
    </row>
    <row r="32" spans="1:16" ht="18.75" customHeight="1" thickBot="1" x14ac:dyDescent="0.25">
      <c r="A32" s="520" t="s">
        <v>16</v>
      </c>
      <c r="B32" s="396"/>
      <c r="C32" s="397"/>
      <c r="D32" s="427"/>
      <c r="E32" s="442">
        <f>+B32+C32</f>
        <v>0</v>
      </c>
      <c r="F32" s="380"/>
      <c r="G32" s="358"/>
      <c r="H32" s="358">
        <f>+H30+H29</f>
        <v>805.61</v>
      </c>
      <c r="I32" s="358"/>
      <c r="J32" s="358"/>
      <c r="K32" s="358">
        <f>+K29+K30-K31</f>
        <v>618.57000000000005</v>
      </c>
      <c r="L32" s="457">
        <f>+L29+L30-L31</f>
        <v>171.24</v>
      </c>
      <c r="M32" s="463"/>
      <c r="N32" s="825"/>
      <c r="O32" s="824"/>
      <c r="P32" s="342"/>
    </row>
    <row r="33" spans="1:16" ht="18.75" customHeight="1" thickBot="1" x14ac:dyDescent="0.25">
      <c r="A33" s="521" t="s">
        <v>18</v>
      </c>
      <c r="B33" s="522"/>
      <c r="C33" s="523"/>
      <c r="D33" s="524"/>
      <c r="E33" s="525"/>
      <c r="F33" s="526"/>
      <c r="G33" s="527"/>
      <c r="H33" s="527">
        <v>509.93</v>
      </c>
      <c r="I33" s="527"/>
      <c r="J33" s="527"/>
      <c r="K33" s="527">
        <v>135.5</v>
      </c>
      <c r="L33" s="528">
        <v>0</v>
      </c>
      <c r="M33" s="443">
        <f>+F33+G33+H33+I33+J33+K33+L33</f>
        <v>645.43000000000006</v>
      </c>
      <c r="N33" s="825"/>
      <c r="O33" s="824"/>
      <c r="P33" s="342"/>
    </row>
    <row r="34" spans="1:16" ht="18.75" customHeight="1" thickBot="1" x14ac:dyDescent="0.25">
      <c r="A34" s="482" t="s">
        <v>149</v>
      </c>
      <c r="B34" s="356"/>
      <c r="C34" s="357"/>
      <c r="D34" s="427"/>
      <c r="E34" s="442"/>
      <c r="F34" s="380"/>
      <c r="G34" s="358"/>
      <c r="H34" s="358">
        <f>+H32-H33</f>
        <v>295.68</v>
      </c>
      <c r="I34" s="358">
        <v>0</v>
      </c>
      <c r="J34" s="358">
        <v>0</v>
      </c>
      <c r="K34" s="358">
        <f>+K32-K33</f>
        <v>483.07000000000005</v>
      </c>
      <c r="L34" s="457">
        <v>171.21</v>
      </c>
      <c r="M34" s="442"/>
      <c r="N34" s="825"/>
      <c r="O34" s="824"/>
      <c r="P34" s="342"/>
    </row>
    <row r="35" spans="1:16" ht="18.75" customHeight="1" x14ac:dyDescent="0.2">
      <c r="A35" s="519" t="s">
        <v>131</v>
      </c>
      <c r="B35" s="529">
        <v>2531</v>
      </c>
      <c r="C35" s="530">
        <v>439</v>
      </c>
      <c r="D35" s="531"/>
      <c r="E35" s="532"/>
      <c r="F35" s="533"/>
      <c r="G35" s="530"/>
      <c r="H35" s="534">
        <f>+H34</f>
        <v>295.68</v>
      </c>
      <c r="I35" s="530"/>
      <c r="J35" s="530"/>
      <c r="K35" s="530">
        <f>+K34</f>
        <v>483.07000000000005</v>
      </c>
      <c r="L35" s="535">
        <v>363</v>
      </c>
      <c r="M35" s="443">
        <f>+F35+G35+H35+I35+J35+K35+L35</f>
        <v>1141.75</v>
      </c>
      <c r="N35" s="825"/>
      <c r="O35" s="824"/>
      <c r="P35" s="342"/>
    </row>
    <row r="36" spans="1:16" ht="18.75" customHeight="1" x14ac:dyDescent="0.2">
      <c r="A36" s="391" t="s">
        <v>27</v>
      </c>
      <c r="B36" s="393">
        <v>10122</v>
      </c>
      <c r="C36" s="353">
        <v>1754</v>
      </c>
      <c r="D36" s="428"/>
      <c r="E36" s="443">
        <f>IF(SUM(B36:C36)=0,"",SUM(B36:C36))</f>
        <v>11876</v>
      </c>
      <c r="F36" s="404"/>
      <c r="G36" s="353"/>
      <c r="H36" s="353">
        <v>1475</v>
      </c>
      <c r="I36" s="353"/>
      <c r="J36" s="353"/>
      <c r="K36" s="353">
        <v>1174</v>
      </c>
      <c r="L36" s="458">
        <v>795</v>
      </c>
      <c r="M36" s="443">
        <f>+F36+G36+H36+I36+J36+K36+L36</f>
        <v>3444</v>
      </c>
      <c r="N36" s="825"/>
      <c r="O36" s="824"/>
      <c r="P36" s="342"/>
    </row>
    <row r="37" spans="1:16" ht="18.75" customHeight="1" thickBot="1" x14ac:dyDescent="0.25">
      <c r="A37" s="392"/>
      <c r="B37" s="537">
        <f>+B35/B36</f>
        <v>0.25004939735230192</v>
      </c>
      <c r="C37" s="538">
        <f>+C35/C36</f>
        <v>0.25028506271379702</v>
      </c>
      <c r="D37" s="539"/>
      <c r="E37" s="540">
        <f>+E35/E36</f>
        <v>0</v>
      </c>
      <c r="F37" s="541"/>
      <c r="G37" s="538"/>
      <c r="H37" s="538">
        <f>+H35/H36</f>
        <v>0.20046101694915255</v>
      </c>
      <c r="I37" s="538"/>
      <c r="J37" s="538"/>
      <c r="K37" s="538">
        <f>+K35/K36</f>
        <v>0.41147359454855198</v>
      </c>
      <c r="L37" s="542">
        <f>+L34/L36</f>
        <v>0.21535849056603776</v>
      </c>
      <c r="M37" s="582">
        <f>IF(OR(M35="",M36=""),"",M35/M36)</f>
        <v>0.33151858304297327</v>
      </c>
      <c r="N37" s="825"/>
      <c r="O37" s="824"/>
      <c r="P37" s="342"/>
    </row>
    <row r="38" spans="1:16" ht="18.75" customHeight="1" thickBot="1" x14ac:dyDescent="0.25">
      <c r="A38" s="544"/>
      <c r="B38" s="846" t="s">
        <v>95</v>
      </c>
      <c r="C38" s="836"/>
      <c r="D38" s="545"/>
      <c r="E38" s="586"/>
      <c r="F38" s="837" t="s">
        <v>98</v>
      </c>
      <c r="G38" s="837"/>
      <c r="H38" s="837"/>
      <c r="I38" s="837"/>
      <c r="J38" s="837"/>
      <c r="K38" s="837"/>
      <c r="L38" s="837"/>
      <c r="M38" s="838"/>
      <c r="N38" s="825"/>
      <c r="O38" s="824"/>
    </row>
    <row r="39" spans="1:16" ht="18.75" customHeight="1" thickBot="1" x14ac:dyDescent="0.25">
      <c r="A39" s="369"/>
      <c r="B39" s="839">
        <v>0.25</v>
      </c>
      <c r="C39" s="840"/>
      <c r="D39" s="381"/>
      <c r="E39" s="841">
        <f>IF(M37="","",M37)</f>
        <v>0.33151858304297327</v>
      </c>
      <c r="F39" s="842" t="str">
        <f t="shared" ref="F39:M39" si="6">IF(OR(F37="",F38=""),"",F37/F38)</f>
        <v/>
      </c>
      <c r="G39" s="842" t="str">
        <f t="shared" si="6"/>
        <v/>
      </c>
      <c r="H39" s="842" t="str">
        <f t="shared" si="6"/>
        <v/>
      </c>
      <c r="I39" s="842" t="str">
        <f t="shared" si="6"/>
        <v/>
      </c>
      <c r="J39" s="842" t="str">
        <f t="shared" si="6"/>
        <v/>
      </c>
      <c r="K39" s="842" t="str">
        <f t="shared" si="6"/>
        <v/>
      </c>
      <c r="L39" s="842" t="str">
        <f t="shared" si="6"/>
        <v/>
      </c>
      <c r="M39" s="843" t="str">
        <f t="shared" si="6"/>
        <v/>
      </c>
      <c r="N39" s="825"/>
      <c r="O39" s="824"/>
    </row>
  </sheetData>
  <mergeCells count="15">
    <mergeCell ref="N6:O6"/>
    <mergeCell ref="N15:O15"/>
    <mergeCell ref="N27:O39"/>
    <mergeCell ref="B38:C38"/>
    <mergeCell ref="F38:M38"/>
    <mergeCell ref="B39:C39"/>
    <mergeCell ref="E39:M39"/>
    <mergeCell ref="A20:A21"/>
    <mergeCell ref="B20:C20"/>
    <mergeCell ref="F20:M20"/>
    <mergeCell ref="A1:M1"/>
    <mergeCell ref="B3:E3"/>
    <mergeCell ref="F3:M3"/>
    <mergeCell ref="B21:C21"/>
    <mergeCell ref="F21:M21"/>
  </mergeCells>
  <conditionalFormatting sqref="B25:M25">
    <cfRule type="cellIs" dxfId="2" priority="1" operator="greaterThan">
      <formula>0.01</formula>
    </cfRule>
  </conditionalFormatting>
  <printOptions horizontalCentered="1" verticalCentered="1"/>
  <pageMargins left="0.17" right="0.17" top="0.39370078740157483" bottom="0.39370078740157483" header="0.17" footer="0.31496062992125984"/>
  <pageSetup paperSize="9" scale="73" orientation="landscape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>
    <pageSetUpPr fitToPage="1"/>
  </sheetPr>
  <dimension ref="A1:P39"/>
  <sheetViews>
    <sheetView workbookViewId="0">
      <selection sqref="A1:M1"/>
    </sheetView>
  </sheetViews>
  <sheetFormatPr baseColWidth="10" defaultRowHeight="12.75" x14ac:dyDescent="0.2"/>
  <cols>
    <col min="1" max="1" width="24.140625" style="370" customWidth="1"/>
    <col min="2" max="13" width="12.85546875" customWidth="1"/>
  </cols>
  <sheetData>
    <row r="1" spans="1:16" ht="24.75" customHeight="1" thickBot="1" x14ac:dyDescent="0.25">
      <c r="A1" s="794" t="s">
        <v>153</v>
      </c>
      <c r="B1" s="794"/>
      <c r="C1" s="794"/>
      <c r="D1" s="794"/>
      <c r="E1" s="794"/>
      <c r="F1" s="794"/>
      <c r="G1" s="794"/>
      <c r="H1" s="794"/>
      <c r="I1" s="794"/>
      <c r="J1" s="794"/>
      <c r="K1" s="794"/>
      <c r="L1" s="794"/>
      <c r="M1" s="794"/>
    </row>
    <row r="2" spans="1:16" ht="13.5" thickBot="1" x14ac:dyDescent="0.25">
      <c r="A2" s="359"/>
      <c r="B2" s="371" t="s">
        <v>96</v>
      </c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6" ht="13.5" thickBot="1" x14ac:dyDescent="0.25">
      <c r="A3" s="360"/>
      <c r="B3" s="818" t="s">
        <v>103</v>
      </c>
      <c r="C3" s="819"/>
      <c r="D3" s="819"/>
      <c r="E3" s="820"/>
      <c r="F3" s="821" t="s">
        <v>104</v>
      </c>
      <c r="G3" s="821"/>
      <c r="H3" s="821"/>
      <c r="I3" s="821"/>
      <c r="J3" s="821"/>
      <c r="K3" s="821"/>
      <c r="L3" s="821"/>
      <c r="M3" s="822"/>
    </row>
    <row r="4" spans="1:16" ht="28.5" customHeight="1" thickBot="1" x14ac:dyDescent="0.25">
      <c r="A4" s="360"/>
      <c r="B4" s="384" t="s">
        <v>147</v>
      </c>
      <c r="C4" s="385" t="s">
        <v>148</v>
      </c>
      <c r="D4" s="415" t="s">
        <v>140</v>
      </c>
      <c r="E4" s="429" t="s">
        <v>93</v>
      </c>
      <c r="F4" s="407" t="s">
        <v>91</v>
      </c>
      <c r="G4" s="408" t="s">
        <v>100</v>
      </c>
      <c r="H4" s="408" t="s">
        <v>83</v>
      </c>
      <c r="I4" s="408" t="s">
        <v>84</v>
      </c>
      <c r="J4" s="408" t="s">
        <v>86</v>
      </c>
      <c r="K4" s="408" t="s">
        <v>85</v>
      </c>
      <c r="L4" s="444" t="s">
        <v>87</v>
      </c>
      <c r="M4" s="448" t="s">
        <v>139</v>
      </c>
    </row>
    <row r="5" spans="1:16" ht="18.75" customHeight="1" x14ac:dyDescent="0.2">
      <c r="A5" s="361" t="s">
        <v>9</v>
      </c>
      <c r="B5" s="382"/>
      <c r="C5" s="383"/>
      <c r="D5" s="416"/>
      <c r="E5" s="430"/>
      <c r="F5" s="409"/>
      <c r="G5" s="410"/>
      <c r="H5" s="410"/>
      <c r="I5" s="410"/>
      <c r="J5" s="410"/>
      <c r="K5" s="410"/>
      <c r="L5" s="445"/>
      <c r="M5" s="449"/>
    </row>
    <row r="6" spans="1:16" ht="18.75" customHeight="1" x14ac:dyDescent="0.2">
      <c r="A6" s="362" t="s">
        <v>10</v>
      </c>
      <c r="B6" s="375">
        <f>'AVRIL 2016 '!B12</f>
        <v>11507.21</v>
      </c>
      <c r="C6" s="375">
        <f>'AVRIL 2016 '!C12</f>
        <v>3874.74</v>
      </c>
      <c r="D6" s="375">
        <f>'AVRIL 2016 '!D12</f>
        <v>939.69</v>
      </c>
      <c r="E6" s="555">
        <f>16322-940</f>
        <v>15382</v>
      </c>
      <c r="F6" s="409">
        <f>'AVRIL 2016 '!F12</f>
        <v>747.78</v>
      </c>
      <c r="G6" s="409">
        <f>'AVRIL 2016 '!G12</f>
        <v>1563.9</v>
      </c>
      <c r="H6" s="409">
        <f>'AVRIL 2016 '!H12</f>
        <v>4115.78</v>
      </c>
      <c r="I6" s="409">
        <f>'AVRIL 2016 '!I12</f>
        <v>3338.83</v>
      </c>
      <c r="J6" s="409">
        <f>'AVRIL 2016 '!J12</f>
        <v>2649.9</v>
      </c>
      <c r="K6" s="409">
        <f>'AVRIL 2016 '!K12</f>
        <v>790.7</v>
      </c>
      <c r="L6" s="409">
        <f>'AVRIL 2016 '!L12</f>
        <v>2187.35</v>
      </c>
      <c r="M6" s="450"/>
      <c r="N6" s="782"/>
      <c r="O6" s="806"/>
    </row>
    <row r="7" spans="1:16" ht="18.75" customHeight="1" x14ac:dyDescent="0.2">
      <c r="A7" s="362" t="s">
        <v>11</v>
      </c>
      <c r="B7" s="374">
        <v>16304.03</v>
      </c>
      <c r="C7" s="377">
        <v>10255.030000000001</v>
      </c>
      <c r="D7" s="418">
        <v>1492.29</v>
      </c>
      <c r="E7" s="431">
        <f>B7+C7</f>
        <v>26559.06</v>
      </c>
      <c r="F7" s="413">
        <v>357.2</v>
      </c>
      <c r="G7" s="414">
        <v>3287.6</v>
      </c>
      <c r="H7" s="414">
        <v>2843.03</v>
      </c>
      <c r="I7" s="414">
        <v>1350.82</v>
      </c>
      <c r="J7" s="414">
        <v>1720.15</v>
      </c>
      <c r="K7" s="414">
        <v>488.51</v>
      </c>
      <c r="L7" s="447">
        <v>1140.95</v>
      </c>
      <c r="M7" s="450">
        <f>L7+F7+G7+H7+I7+J7+K7+L7</f>
        <v>12329.210000000001</v>
      </c>
    </row>
    <row r="8" spans="1:16" ht="18.75" customHeight="1" x14ac:dyDescent="0.2">
      <c r="A8" s="363" t="s">
        <v>135</v>
      </c>
      <c r="B8" s="343">
        <v>272.44</v>
      </c>
      <c r="C8" s="344">
        <f>168.01</f>
        <v>168.01</v>
      </c>
      <c r="D8" s="419">
        <f>12.9+22.42</f>
        <v>35.32</v>
      </c>
      <c r="E8" s="432"/>
      <c r="F8" s="557">
        <v>22</v>
      </c>
      <c r="G8" s="559">
        <v>223.8</v>
      </c>
      <c r="H8" s="560">
        <v>21.53</v>
      </c>
      <c r="I8" s="559">
        <v>7.08</v>
      </c>
      <c r="J8" s="560">
        <v>21.81</v>
      </c>
      <c r="K8" s="559">
        <v>2.4500000000000002</v>
      </c>
      <c r="L8" s="558">
        <v>11.3</v>
      </c>
      <c r="M8" s="432"/>
      <c r="N8" s="341"/>
    </row>
    <row r="9" spans="1:16" ht="18.75" customHeight="1" thickBot="1" x14ac:dyDescent="0.25">
      <c r="A9" s="464" t="s">
        <v>150</v>
      </c>
      <c r="B9" s="465">
        <f>+B7+0</f>
        <v>16304.03</v>
      </c>
      <c r="C9" s="466">
        <f>+C7+0</f>
        <v>10255.030000000001</v>
      </c>
      <c r="D9" s="467">
        <f>+D7+0</f>
        <v>1492.29</v>
      </c>
      <c r="E9" s="556">
        <f>+B9+C9</f>
        <v>26559.06</v>
      </c>
      <c r="F9" s="469">
        <f>+F7+0</f>
        <v>357.2</v>
      </c>
      <c r="G9" s="470">
        <f t="shared" ref="G9:L9" si="0">+G7+0</f>
        <v>3287.6</v>
      </c>
      <c r="H9" s="470">
        <f t="shared" si="0"/>
        <v>2843.03</v>
      </c>
      <c r="I9" s="470">
        <f t="shared" si="0"/>
        <v>1350.82</v>
      </c>
      <c r="J9" s="470">
        <f t="shared" si="0"/>
        <v>1720.15</v>
      </c>
      <c r="K9" s="470">
        <f t="shared" si="0"/>
        <v>488.51</v>
      </c>
      <c r="L9" s="471">
        <f t="shared" si="0"/>
        <v>1140.95</v>
      </c>
      <c r="M9" s="472">
        <f>+L9+D9+K9+J9+I9+H9+G9+F9</f>
        <v>12680.550000000001</v>
      </c>
      <c r="O9" s="275"/>
    </row>
    <row r="10" spans="1:16" ht="18.75" customHeight="1" thickBot="1" x14ac:dyDescent="0.25">
      <c r="A10" s="482" t="s">
        <v>16</v>
      </c>
      <c r="B10" s="483">
        <f>+B6+B9</f>
        <v>27811.239999999998</v>
      </c>
      <c r="C10" s="484">
        <f>+C6+C9</f>
        <v>14129.77</v>
      </c>
      <c r="D10" s="485">
        <f>+D6+D9</f>
        <v>2431.98</v>
      </c>
      <c r="E10" s="486">
        <f>+E6+E9</f>
        <v>41941.06</v>
      </c>
      <c r="F10" s="502">
        <f t="shared" ref="F10:L10" si="1">+F6+F9</f>
        <v>1104.98</v>
      </c>
      <c r="G10" s="484">
        <f t="shared" si="1"/>
        <v>4851.5</v>
      </c>
      <c r="H10" s="484">
        <f t="shared" si="1"/>
        <v>6958.8099999999995</v>
      </c>
      <c r="I10" s="484">
        <f t="shared" si="1"/>
        <v>4689.6499999999996</v>
      </c>
      <c r="J10" s="484">
        <f t="shared" si="1"/>
        <v>4370.05</v>
      </c>
      <c r="K10" s="484">
        <f t="shared" si="1"/>
        <v>1279.21</v>
      </c>
      <c r="L10" s="485">
        <f t="shared" si="1"/>
        <v>3328.3</v>
      </c>
      <c r="M10" s="547">
        <f>+SUM(F10:L10)</f>
        <v>26582.499999999996</v>
      </c>
      <c r="N10" s="275"/>
    </row>
    <row r="11" spans="1:16" ht="18.75" customHeight="1" x14ac:dyDescent="0.2">
      <c r="A11" s="473" t="s">
        <v>151</v>
      </c>
      <c r="B11" s="474"/>
      <c r="C11" s="475"/>
      <c r="D11" s="476"/>
      <c r="E11" s="477"/>
      <c r="F11" s="570"/>
      <c r="G11" s="571"/>
      <c r="H11" s="571"/>
      <c r="I11" s="571"/>
      <c r="J11" s="571"/>
      <c r="K11" s="571"/>
      <c r="L11" s="572"/>
      <c r="M11" s="573"/>
    </row>
    <row r="12" spans="1:16" ht="18.75" customHeight="1" x14ac:dyDescent="0.2">
      <c r="A12" s="362" t="s">
        <v>18</v>
      </c>
      <c r="B12" s="375">
        <v>10695.2</v>
      </c>
      <c r="C12" s="376">
        <v>3512.89</v>
      </c>
      <c r="D12" s="417">
        <v>614.28</v>
      </c>
      <c r="E12" s="431">
        <f>+B12+C12</f>
        <v>14208.09</v>
      </c>
      <c r="F12" s="411">
        <v>716.63</v>
      </c>
      <c r="G12" s="412">
        <v>1725.3</v>
      </c>
      <c r="H12" s="412">
        <v>3943.95</v>
      </c>
      <c r="I12" s="412">
        <v>3751.23</v>
      </c>
      <c r="J12" s="412">
        <v>2297.3000000000002</v>
      </c>
      <c r="K12" s="412">
        <v>718.07</v>
      </c>
      <c r="L12" s="446">
        <v>2756.3</v>
      </c>
      <c r="M12" s="450">
        <f>+L12+K12+J12+I12+H12+G12+F12</f>
        <v>15908.779999999997</v>
      </c>
      <c r="N12" s="275"/>
    </row>
    <row r="13" spans="1:16" ht="18.75" customHeight="1" x14ac:dyDescent="0.2">
      <c r="A13" s="362" t="s">
        <v>19</v>
      </c>
      <c r="B13" s="583">
        <f>2270.4*2-1000</f>
        <v>3540.8</v>
      </c>
      <c r="C13" s="376">
        <v>1000</v>
      </c>
      <c r="D13" s="420"/>
      <c r="E13" s="433"/>
      <c r="F13" s="411"/>
      <c r="G13" s="412"/>
      <c r="H13" s="412"/>
      <c r="I13" s="412"/>
      <c r="J13" s="412"/>
      <c r="K13" s="412"/>
      <c r="L13" s="446"/>
      <c r="M13" s="451"/>
      <c r="N13" s="275"/>
    </row>
    <row r="14" spans="1:16" ht="18.75" customHeight="1" x14ac:dyDescent="0.2">
      <c r="A14" s="362" t="s">
        <v>82</v>
      </c>
      <c r="B14" s="375">
        <f>214*3.52</f>
        <v>753.28</v>
      </c>
      <c r="C14" s="345"/>
      <c r="D14" s="420"/>
      <c r="E14" s="433"/>
      <c r="F14" s="411"/>
      <c r="G14" s="412"/>
      <c r="H14" s="412"/>
      <c r="I14" s="412"/>
      <c r="J14" s="412"/>
      <c r="K14" s="412"/>
      <c r="L14" s="446"/>
      <c r="M14" s="451"/>
    </row>
    <row r="15" spans="1:16" ht="18.75" customHeight="1" thickBot="1" x14ac:dyDescent="0.25">
      <c r="A15" s="487" t="s">
        <v>57</v>
      </c>
      <c r="B15" s="488">
        <f>(202+472)*0.25</f>
        <v>168.5</v>
      </c>
      <c r="C15" s="489"/>
      <c r="D15" s="490"/>
      <c r="E15" s="468">
        <v>169</v>
      </c>
      <c r="F15" s="491">
        <v>0</v>
      </c>
      <c r="G15" s="492">
        <v>11.76</v>
      </c>
      <c r="H15" s="492">
        <v>9.3800000000000008</v>
      </c>
      <c r="I15" s="492">
        <f>19.13+4.08</f>
        <v>23.21</v>
      </c>
      <c r="J15" s="492">
        <f>9.5+7</f>
        <v>16.5</v>
      </c>
      <c r="K15" s="492">
        <f>7+0.88</f>
        <v>7.88</v>
      </c>
      <c r="L15" s="493">
        <f>20.7+10.75</f>
        <v>31.45</v>
      </c>
      <c r="M15" s="472">
        <f>SUM(F15:L15)</f>
        <v>100.18</v>
      </c>
      <c r="N15" s="826"/>
      <c r="O15" s="826"/>
      <c r="P15" s="336"/>
    </row>
    <row r="16" spans="1:16" ht="18.75" customHeight="1" thickBot="1" x14ac:dyDescent="0.25">
      <c r="A16" s="482" t="s">
        <v>149</v>
      </c>
      <c r="B16" s="483">
        <f>SUM(B12:B15)</f>
        <v>15157.78</v>
      </c>
      <c r="C16" s="484">
        <f>SUM(C12:C15)</f>
        <v>4512.8899999999994</v>
      </c>
      <c r="D16" s="485">
        <f>SUM(D12:D15)</f>
        <v>614.28</v>
      </c>
      <c r="E16" s="486">
        <f>SUM(E12:E15)</f>
        <v>14377.09</v>
      </c>
      <c r="F16" s="502">
        <f t="shared" ref="F16:L16" si="2">SUM(F12:F15)</f>
        <v>716.63</v>
      </c>
      <c r="G16" s="484">
        <f t="shared" si="2"/>
        <v>1737.06</v>
      </c>
      <c r="H16" s="484">
        <f t="shared" si="2"/>
        <v>3953.33</v>
      </c>
      <c r="I16" s="484">
        <f t="shared" si="2"/>
        <v>3774.44</v>
      </c>
      <c r="J16" s="484">
        <f t="shared" si="2"/>
        <v>2313.8000000000002</v>
      </c>
      <c r="K16" s="484">
        <f t="shared" si="2"/>
        <v>725.95</v>
      </c>
      <c r="L16" s="485">
        <f t="shared" si="2"/>
        <v>2787.75</v>
      </c>
      <c r="M16" s="486">
        <f>+L16+D16+K16+J16+I16+H16+G16+F16</f>
        <v>16623.239999999998</v>
      </c>
    </row>
    <row r="17" spans="1:16" ht="18.75" customHeight="1" x14ac:dyDescent="0.2">
      <c r="A17" s="494" t="s">
        <v>26</v>
      </c>
      <c r="B17" s="382">
        <f>+B10-B16-B35</f>
        <v>10122.459999999997</v>
      </c>
      <c r="C17" s="382">
        <f>+C10-C16-C35</f>
        <v>9177.880000000001</v>
      </c>
      <c r="D17" s="496">
        <f>+D10-D16</f>
        <v>1817.7</v>
      </c>
      <c r="E17" s="497">
        <f>+E10-E16</f>
        <v>27563.969999999998</v>
      </c>
      <c r="F17" s="498">
        <f>F10-F16</f>
        <v>388.35</v>
      </c>
      <c r="G17" s="499">
        <f t="shared" ref="G17:L17" si="3">+G10-G16</f>
        <v>3114.44</v>
      </c>
      <c r="H17" s="499">
        <f>+H10-H16-H35</f>
        <v>2709.7999999999997</v>
      </c>
      <c r="I17" s="499">
        <f>+I10-I16-I34</f>
        <v>915.20999999999958</v>
      </c>
      <c r="J17" s="499">
        <f>+J10-J16-J34</f>
        <v>2056.25</v>
      </c>
      <c r="K17" s="499">
        <f t="shared" si="3"/>
        <v>553.26</v>
      </c>
      <c r="L17" s="500">
        <f t="shared" si="3"/>
        <v>540.55000000000018</v>
      </c>
      <c r="M17" s="501">
        <f>+F17+G17+H17+I17+J17+K17+L17</f>
        <v>10277.86</v>
      </c>
    </row>
    <row r="18" spans="1:16" ht="18.75" customHeight="1" thickBot="1" x14ac:dyDescent="0.25">
      <c r="A18" s="382" t="s">
        <v>27</v>
      </c>
      <c r="B18" s="495">
        <v>42343</v>
      </c>
      <c r="C18" s="496">
        <v>21618</v>
      </c>
      <c r="D18" s="497">
        <v>3355.82</v>
      </c>
      <c r="E18" s="382">
        <f>+B18+C18</f>
        <v>63961</v>
      </c>
      <c r="F18" s="498">
        <v>874.17</v>
      </c>
      <c r="G18" s="499">
        <v>8718.2900000000009</v>
      </c>
      <c r="H18" s="499">
        <v>7737</v>
      </c>
      <c r="I18" s="499">
        <v>8405</v>
      </c>
      <c r="J18" s="499">
        <v>6636</v>
      </c>
      <c r="K18" s="499">
        <v>3050</v>
      </c>
      <c r="L18" s="500">
        <v>8002</v>
      </c>
      <c r="M18" s="501">
        <f>+F18+G18+H18+I18+J18+K18+L18</f>
        <v>43422.46</v>
      </c>
      <c r="N18" s="274"/>
    </row>
    <row r="19" spans="1:16" ht="18.75" customHeight="1" thickBot="1" x14ac:dyDescent="0.25">
      <c r="A19" s="482" t="s">
        <v>94</v>
      </c>
      <c r="B19" s="513">
        <f>+B17/B18</f>
        <v>0.23905864015303585</v>
      </c>
      <c r="C19" s="514">
        <f>+C17/C18</f>
        <v>0.42454806180035159</v>
      </c>
      <c r="D19" s="515">
        <f>+D17/D18</f>
        <v>0.54165598870022824</v>
      </c>
      <c r="E19" s="516">
        <f>IF(OR(E17="",E18=""),"",E17/E18)</f>
        <v>0.43094964118759865</v>
      </c>
      <c r="F19" s="517">
        <f t="shared" ref="F19:K19" si="4">+F17/F18</f>
        <v>0.44424997426129936</v>
      </c>
      <c r="G19" s="514">
        <f>+G17/G18</f>
        <v>0.35723060370783716</v>
      </c>
      <c r="H19" s="514">
        <f>+H17/H18</f>
        <v>0.35023911076644693</v>
      </c>
      <c r="I19" s="514">
        <f t="shared" si="4"/>
        <v>0.10888875669244492</v>
      </c>
      <c r="J19" s="514">
        <f t="shared" si="4"/>
        <v>0.30986286919831224</v>
      </c>
      <c r="K19" s="514">
        <f t="shared" si="4"/>
        <v>0.18139672131147541</v>
      </c>
      <c r="L19" s="515">
        <f>+L17/L18</f>
        <v>6.75518620344914E-2</v>
      </c>
      <c r="M19" s="516">
        <f>IF(OR(M17="",M18=""),"",M17/M18)</f>
        <v>0.23669455853030899</v>
      </c>
    </row>
    <row r="20" spans="1:16" ht="18.75" customHeight="1" x14ac:dyDescent="0.2">
      <c r="A20" s="816" t="s">
        <v>108</v>
      </c>
      <c r="B20" s="827" t="s">
        <v>102</v>
      </c>
      <c r="C20" s="828"/>
      <c r="D20" s="511"/>
      <c r="E20" s="512"/>
      <c r="F20" s="829" t="s">
        <v>101</v>
      </c>
      <c r="G20" s="829"/>
      <c r="H20" s="829"/>
      <c r="I20" s="829"/>
      <c r="J20" s="829"/>
      <c r="K20" s="829"/>
      <c r="L20" s="829"/>
      <c r="M20" s="830"/>
    </row>
    <row r="21" spans="1:16" ht="18.75" customHeight="1" thickBot="1" x14ac:dyDescent="0.25">
      <c r="A21" s="817"/>
      <c r="B21" s="844">
        <f>IF(E19="","",E19)</f>
        <v>0.43094964118759865</v>
      </c>
      <c r="C21" s="845"/>
      <c r="D21" s="421"/>
      <c r="E21" s="434"/>
      <c r="F21" s="831">
        <f>IF(M19="","",M19)</f>
        <v>0.23669455853030899</v>
      </c>
      <c r="G21" s="833"/>
      <c r="H21" s="833"/>
      <c r="I21" s="833"/>
      <c r="J21" s="833"/>
      <c r="K21" s="833"/>
      <c r="L21" s="833"/>
      <c r="M21" s="834"/>
    </row>
    <row r="22" spans="1:16" ht="18.75" customHeight="1" thickTop="1" x14ac:dyDescent="0.2">
      <c r="A22" s="364"/>
      <c r="B22" s="346"/>
      <c r="C22" s="347"/>
      <c r="D22" s="347"/>
      <c r="E22" s="435"/>
      <c r="F22" s="347"/>
      <c r="G22" s="347"/>
      <c r="H22" s="347"/>
      <c r="I22" s="347"/>
      <c r="J22" s="347"/>
      <c r="K22" s="347"/>
      <c r="L22" s="347"/>
      <c r="M22" s="348"/>
    </row>
    <row r="23" spans="1:16" ht="18.75" customHeight="1" thickBot="1" x14ac:dyDescent="0.25">
      <c r="A23" s="365" t="s">
        <v>105</v>
      </c>
      <c r="B23" s="349">
        <f>+(JUILLET!B20+AOUT!B20+SEPT!B20+'OCT 2015'!B20+'NOV 2015'!B20+'DEC 2015'!B20+'JANV 2016'!B20+'FEV 2016'!B18+'MARS 2016'!B18+'AVRIL 2016 '!B17+'JUIN 2016'!B17)/+(JUILLET!B21+AOUT!B21+SEPT!B21+'OCT 2015'!B21+'NOV 2015'!B21+'DEC 2015'!B21+'JANV 2016'!B21+'FEV 2016'!B19+'MARS 2016'!B19+'AVRIL 2016 '!B18+'JUIN 2016'!B18)</f>
        <v>0.36751832729778261</v>
      </c>
      <c r="C23" s="349">
        <f>+(JUILLET!C20+AOUT!C20+SEPT!C20+'OCT 2015'!C20+'NOV 2015'!C20+'DEC 2015'!C20+'JANV 2016'!C20+'FEV 2016'!C18+'MARS 2016'!C18+'AVRIL 2016 '!C17+'JUIN 2016'!C17)/+(JUILLET!C21+AOUT!C21+SEPT!C21+'OCT 2015'!C21+'NOV 2015'!C21+'DEC 2015'!C21+'JANV 2016'!C21+'FEV 2016'!C19+'MARS 2016'!C19+'AVRIL 2016 '!C18+'JUIN 2016'!C18)</f>
        <v>0.34794517012753512</v>
      </c>
      <c r="D23" s="349">
        <f>+(JUILLET!D20+AOUT!D20+SEPT!D20+'OCT 2015'!D20+'NOV 2015'!D20+'DEC 2015'!D20+'JANV 2016'!D20+'FEV 2016'!D18+'MARS 2016'!D18+'AVRIL 2016 '!D17+'JUIN 2016'!D17)/+(JUILLET!D21+AOUT!D21+SEPT!D21+'OCT 2015'!D21+'NOV 2015'!D21+'DEC 2015'!D21+'JANV 2016'!D21+'FEV 2016'!D19+'MARS 2016'!D19+'AVRIL 2016 '!D18+'JUIN 2016'!D18)</f>
        <v>0.37751111092591771</v>
      </c>
      <c r="E23" s="349">
        <f>+(JUILLET!E20+AOUT!E20+SEPT!E20+'OCT 2015'!E20+'NOV 2015'!E20+'DEC 2015'!E20+'JANV 2016'!E20+'FEV 2016'!E18+'MARS 2016'!E18+'AVRIL 2016 '!E17+'JUIN 2016'!E17)/+(JUILLET!E21+AOUT!E21+SEPT!E21+'OCT 2015'!E21+'NOV 2015'!E21+'DEC 2015'!E21+'JANV 2016'!E21+'FEV 2016'!E19+'MARS 2016'!E19+'AVRIL 2016 '!E18+'JUIN 2016'!E18)</f>
        <v>0.36117457435324901</v>
      </c>
      <c r="F23" s="349">
        <f>+(JUILLET!F20+AOUT!F20+SEPT!F20+'OCT 2015'!F20+'NOV 2015'!F20+'DEC 2015'!F20+'JANV 2016'!F20+'FEV 2016'!F18+'MARS 2016'!F18+'AVRIL 2016 '!F17+'JUIN 2016'!F17)/+(JUILLET!F21+AOUT!F21+SEPT!F21+'OCT 2015'!F21+'NOV 2015'!F21+'DEC 2015'!F21+'JANV 2016'!F21+'FEV 2016'!F19+'MARS 2016'!F19+'AVRIL 2016 '!F18+'JUIN 2016'!F18)</f>
        <v>0.5276495169252351</v>
      </c>
      <c r="G23" s="349">
        <f>+(JUILLET!G20+AOUT!G20+SEPT!G20+'OCT 2015'!G20+'NOV 2015'!G20+'DEC 2015'!G20+'JANV 2016'!G20+'FEV 2016'!G18+'MARS 2016'!G18+'AVRIL 2016 '!G17+'JUIN 2016'!G17)/+(JUILLET!G21+AOUT!G21+SEPT!G21+'OCT 2015'!G21+'NOV 2015'!G21+'DEC 2015'!G21+'JANV 2016'!G21+'FEV 2016'!G19+'MARS 2016'!G19+'AVRIL 2016 '!G18+'JUIN 2016'!G18)</f>
        <v>0.35813198014276937</v>
      </c>
      <c r="H23" s="349">
        <f>+(JUILLET!H20+AOUT!H20+SEPT!H20+'OCT 2015'!H20+'NOV 2015'!H20+'DEC 2015'!H20+'JANV 2016'!H20+'FEV 2016'!H18+'MARS 2016'!H18+'AVRIL 2016 '!H17+'JUIN 2016'!H17)/+(JUILLET!H21+AOUT!H21+SEPT!H21+'OCT 2015'!H21+'NOV 2015'!H21+'DEC 2015'!H21+'JANV 2016'!H21+'FEV 2016'!H19+'MARS 2016'!H19+'AVRIL 2016 '!H18+'JUIN 2016'!H18)</f>
        <v>0.22061602534829489</v>
      </c>
      <c r="I23" s="349">
        <f>+(JUILLET!I20+AOUT!I20+SEPT!I20+'OCT 2015'!I20+'NOV 2015'!I20+'DEC 2015'!I20+'JANV 2016'!I20+'FEV 2016'!I18+'MARS 2016'!I18+'AVRIL 2016 '!I17+'JUIN 2016'!I17)/+(JUILLET!I21+AOUT!I21+SEPT!I21+'OCT 2015'!I21+'NOV 2015'!I21+'DEC 2015'!I21+'JANV 2016'!I21+'FEV 2016'!I19+'MARS 2016'!I19+'AVRIL 2016 '!I18+'JUIN 2016'!I18)</f>
        <v>0.24827451922798527</v>
      </c>
      <c r="J23" s="349">
        <f>+(JUILLET!J20+AOUT!J20+SEPT!J20+'OCT 2015'!J20+'NOV 2015'!J20+'DEC 2015'!J20+'JANV 2016'!J20+'FEV 2016'!J18+'MARS 2016'!J18+'AVRIL 2016 '!J17+'JUIN 2016'!J17)/+(JUILLET!J21+AOUT!J21+SEPT!J21+'OCT 2015'!J21+'NOV 2015'!J21+'DEC 2015'!J21+'JANV 2016'!J21+'FEV 2016'!J19+'MARS 2016'!J19+'AVRIL 2016 '!J18+'JUIN 2016'!J18)</f>
        <v>0.29937159074854269</v>
      </c>
      <c r="K23" s="349">
        <f>+(JUILLET!K20+AOUT!K20+SEPT!K20+'OCT 2015'!K20+'NOV 2015'!K20+'DEC 2015'!K20+'JANV 2016'!K20+'FEV 2016'!K18+'MARS 2016'!K18+'AVRIL 2016 '!K17+'JUIN 2016'!K17)/+(JUILLET!K21+AOUT!K21+SEPT!K21+'OCT 2015'!K21+'NOV 2015'!K21+'DEC 2015'!K21+'JANV 2016'!K21+'FEV 2016'!K19+'MARS 2016'!K19+'AVRIL 2016 '!K18+'JUIN 2016'!K18)</f>
        <v>0.41257118562171768</v>
      </c>
      <c r="L23" s="349">
        <f>+(JUILLET!L20+AOUT!L20+SEPT!L20+'OCT 2015'!L20+'NOV 2015'!L20+'DEC 2015'!L20+'JANV 2016'!L20+'FEV 2016'!L18+'MARS 2016'!L18+'AVRIL 2016 '!L17+'JUIN 2016'!L17)/+(JUILLET!L21+AOUT!L21+SEPT!L21+'OCT 2015'!L21+'NOV 2015'!L21+'DEC 2015'!L21+'JANV 2016'!L21+'FEV 2016'!L19+'MARS 2016'!L19+'AVRIL 2016 '!L18+'JUIN 2016'!L18)</f>
        <v>0.15381966951809151</v>
      </c>
      <c r="M23" s="349">
        <f>+(JUILLET!M20+AOUT!M20+SEPT!M20+'OCT 2015'!M20+'NOV 2015'!M20+'DEC 2015'!M20+'JANV 2016'!M20+'FEV 2016'!M18+'MARS 2016'!M18+'AVRIL 2016 '!M17+'JUIN 2016'!M17)/+(JUILLET!M21+AOUT!M21+SEPT!M21+'OCT 2015'!M21+'NOV 2015'!M21+'DEC 2015'!M21+'JANV 2016'!M21+'FEV 2016'!M19+'MARS 2016'!M19+'AVRIL 2016 '!M18+'JUIN 2016'!M18)</f>
        <v>0.29475896409069141</v>
      </c>
    </row>
    <row r="24" spans="1:16" ht="18.75" customHeight="1" thickBot="1" x14ac:dyDescent="0.25">
      <c r="A24" s="366" t="s">
        <v>99</v>
      </c>
      <c r="B24" s="354">
        <v>0.31</v>
      </c>
      <c r="C24" s="355">
        <v>0.31</v>
      </c>
      <c r="D24" s="423">
        <v>0.35</v>
      </c>
      <c r="E24" s="437">
        <v>0.31</v>
      </c>
      <c r="F24" s="379">
        <v>0.35</v>
      </c>
      <c r="G24" s="355">
        <v>0.35</v>
      </c>
      <c r="H24" s="355">
        <v>0.3</v>
      </c>
      <c r="I24" s="355">
        <v>0.18</v>
      </c>
      <c r="J24" s="355">
        <v>0.3</v>
      </c>
      <c r="K24" s="355">
        <v>0.21</v>
      </c>
      <c r="L24" s="423">
        <v>0.1</v>
      </c>
      <c r="M24" s="453">
        <v>0.25</v>
      </c>
    </row>
    <row r="25" spans="1:16" ht="21.75" customHeight="1" thickBot="1" x14ac:dyDescent="0.25">
      <c r="A25" s="367" t="s">
        <v>106</v>
      </c>
      <c r="B25" s="561">
        <f t="shared" ref="B25:M25" si="5">+B19-B24</f>
        <v>-7.0941359846964147E-2</v>
      </c>
      <c r="C25" s="562">
        <f t="shared" si="5"/>
        <v>0.1145480618003516</v>
      </c>
      <c r="D25" s="550">
        <f t="shared" si="5"/>
        <v>0.19165598870022826</v>
      </c>
      <c r="E25" s="563">
        <f t="shared" si="5"/>
        <v>0.12094964118759866</v>
      </c>
      <c r="F25" s="564">
        <f t="shared" si="5"/>
        <v>9.4249974261299385E-2</v>
      </c>
      <c r="G25" s="562">
        <f t="shared" si="5"/>
        <v>7.2306037078371799E-3</v>
      </c>
      <c r="H25" s="562">
        <f t="shared" si="5"/>
        <v>5.0239110766446937E-2</v>
      </c>
      <c r="I25" s="562">
        <f t="shared" si="5"/>
        <v>-7.1111243307555069E-2</v>
      </c>
      <c r="J25" s="562">
        <f t="shared" si="5"/>
        <v>9.8628691983122518E-3</v>
      </c>
      <c r="K25" s="562">
        <f t="shared" si="5"/>
        <v>-2.860327868852458E-2</v>
      </c>
      <c r="L25" s="550">
        <f t="shared" si="5"/>
        <v>-3.2448137965508606E-2</v>
      </c>
      <c r="M25" s="565">
        <f t="shared" si="5"/>
        <v>-1.3305441469691009E-2</v>
      </c>
    </row>
    <row r="26" spans="1:16" ht="14.25" customHeight="1" thickBot="1" x14ac:dyDescent="0.25">
      <c r="A26" s="364"/>
      <c r="B26" s="405" t="s">
        <v>97</v>
      </c>
      <c r="C26" s="406"/>
      <c r="D26" s="406"/>
      <c r="E26" s="438"/>
      <c r="F26" s="406"/>
      <c r="G26" s="406"/>
      <c r="H26" s="406"/>
      <c r="I26" s="406"/>
      <c r="J26" s="406"/>
      <c r="K26" s="406"/>
      <c r="L26" s="406"/>
      <c r="M26" s="459"/>
    </row>
    <row r="27" spans="1:16" ht="18.75" customHeight="1" x14ac:dyDescent="0.2">
      <c r="A27" s="368"/>
      <c r="B27" s="386" t="s">
        <v>3</v>
      </c>
      <c r="C27" s="387" t="s">
        <v>90</v>
      </c>
      <c r="D27" s="424" t="s">
        <v>89</v>
      </c>
      <c r="E27" s="439" t="s">
        <v>93</v>
      </c>
      <c r="F27" s="399" t="s">
        <v>91</v>
      </c>
      <c r="G27" s="400" t="s">
        <v>92</v>
      </c>
      <c r="H27" s="400" t="s">
        <v>83</v>
      </c>
      <c r="I27" s="400" t="s">
        <v>84</v>
      </c>
      <c r="J27" s="400" t="s">
        <v>86</v>
      </c>
      <c r="K27" s="400" t="s">
        <v>85</v>
      </c>
      <c r="L27" s="454" t="s">
        <v>87</v>
      </c>
      <c r="M27" s="460" t="s">
        <v>88</v>
      </c>
      <c r="N27" s="823"/>
      <c r="O27" s="824"/>
    </row>
    <row r="28" spans="1:16" ht="18.75" customHeight="1" x14ac:dyDescent="0.2">
      <c r="A28" s="368"/>
      <c r="B28" s="388"/>
      <c r="C28" s="389"/>
      <c r="D28" s="425"/>
      <c r="E28" s="440"/>
      <c r="F28" s="401"/>
      <c r="G28" s="402"/>
      <c r="H28" s="402"/>
      <c r="I28" s="402"/>
      <c r="J28" s="402"/>
      <c r="K28" s="402"/>
      <c r="L28" s="455"/>
      <c r="M28" s="461"/>
      <c r="N28" s="825"/>
      <c r="O28" s="824"/>
      <c r="P28" s="312"/>
    </row>
    <row r="29" spans="1:16" ht="18.75" customHeight="1" x14ac:dyDescent="0.2">
      <c r="A29" s="390" t="s">
        <v>129</v>
      </c>
      <c r="B29" s="351"/>
      <c r="C29" s="352"/>
      <c r="D29" s="425"/>
      <c r="E29" s="440"/>
      <c r="F29" s="401"/>
      <c r="G29" s="402"/>
      <c r="H29" s="402">
        <v>281.35000000000002</v>
      </c>
      <c r="I29" s="402">
        <f>'AVRIL 2016 '!I33</f>
        <v>0</v>
      </c>
      <c r="J29" s="402">
        <f>'AVRIL 2016 '!J33</f>
        <v>0</v>
      </c>
      <c r="K29" s="402">
        <v>415.52</v>
      </c>
      <c r="L29" s="402">
        <f>'AVRIL 2016 '!L33</f>
        <v>0</v>
      </c>
      <c r="M29" s="585">
        <f>+F29+G29+H29+I29+J29+K29+L29</f>
        <v>696.87</v>
      </c>
      <c r="N29" s="825"/>
      <c r="O29" s="824"/>
      <c r="P29" s="587"/>
    </row>
    <row r="30" spans="1:16" ht="18.75" customHeight="1" x14ac:dyDescent="0.2">
      <c r="A30" s="390" t="s">
        <v>152</v>
      </c>
      <c r="B30" s="388">
        <v>2530.25</v>
      </c>
      <c r="C30" s="584">
        <v>438.75</v>
      </c>
      <c r="D30" s="425"/>
      <c r="E30" s="440">
        <f>+B30+C30</f>
        <v>2969</v>
      </c>
      <c r="F30" s="401"/>
      <c r="G30" s="402"/>
      <c r="H30" s="402">
        <v>524.26</v>
      </c>
      <c r="I30" s="402"/>
      <c r="J30" s="402"/>
      <c r="K30" s="402">
        <v>211.21</v>
      </c>
      <c r="L30" s="455">
        <v>171.24</v>
      </c>
      <c r="M30" s="585">
        <f>+F30+G30+H30+I30+J30+K30+L30</f>
        <v>906.71</v>
      </c>
      <c r="N30" s="825"/>
      <c r="O30" s="824"/>
      <c r="P30" s="587"/>
    </row>
    <row r="31" spans="1:16" ht="18.75" customHeight="1" thickBot="1" x14ac:dyDescent="0.25">
      <c r="A31" s="574" t="s">
        <v>146</v>
      </c>
      <c r="B31" s="575"/>
      <c r="C31" s="576"/>
      <c r="D31" s="426"/>
      <c r="E31" s="578"/>
      <c r="F31" s="579"/>
      <c r="G31" s="580"/>
      <c r="H31" s="580">
        <v>5.29</v>
      </c>
      <c r="I31" s="580"/>
      <c r="J31" s="580"/>
      <c r="K31" s="580">
        <v>8.16</v>
      </c>
      <c r="L31" s="577"/>
      <c r="M31" s="581"/>
      <c r="N31" s="825"/>
      <c r="O31" s="824"/>
      <c r="P31" s="587"/>
    </row>
    <row r="32" spans="1:16" ht="18.75" customHeight="1" thickBot="1" x14ac:dyDescent="0.25">
      <c r="A32" s="520" t="s">
        <v>16</v>
      </c>
      <c r="B32" s="396"/>
      <c r="C32" s="397"/>
      <c r="D32" s="427"/>
      <c r="E32" s="442">
        <f>+B32+C32</f>
        <v>0</v>
      </c>
      <c r="F32" s="380"/>
      <c r="G32" s="358"/>
      <c r="H32" s="358">
        <f>+H30+H29</f>
        <v>805.61</v>
      </c>
      <c r="I32" s="358"/>
      <c r="J32" s="358"/>
      <c r="K32" s="358">
        <f>+K29+K30-K31</f>
        <v>618.57000000000005</v>
      </c>
      <c r="L32" s="457">
        <f>+L29+L30-L31</f>
        <v>171.24</v>
      </c>
      <c r="M32" s="463"/>
      <c r="N32" s="825"/>
      <c r="O32" s="824"/>
      <c r="P32" s="587"/>
    </row>
    <row r="33" spans="1:16" ht="18.75" customHeight="1" thickBot="1" x14ac:dyDescent="0.25">
      <c r="A33" s="521" t="s">
        <v>18</v>
      </c>
      <c r="B33" s="522"/>
      <c r="C33" s="523"/>
      <c r="D33" s="524"/>
      <c r="E33" s="525"/>
      <c r="F33" s="526"/>
      <c r="G33" s="527"/>
      <c r="H33" s="527">
        <v>509.93</v>
      </c>
      <c r="I33" s="527"/>
      <c r="J33" s="527"/>
      <c r="K33" s="527">
        <v>135.5</v>
      </c>
      <c r="L33" s="528">
        <v>0</v>
      </c>
      <c r="M33" s="443">
        <f>+F33+G33+H33+I33+J33+K33+L33</f>
        <v>645.43000000000006</v>
      </c>
      <c r="N33" s="825"/>
      <c r="O33" s="824"/>
      <c r="P33" s="587"/>
    </row>
    <row r="34" spans="1:16" ht="18.75" customHeight="1" thickBot="1" x14ac:dyDescent="0.25">
      <c r="A34" s="482" t="s">
        <v>149</v>
      </c>
      <c r="B34" s="356"/>
      <c r="C34" s="357"/>
      <c r="D34" s="427"/>
      <c r="E34" s="442"/>
      <c r="F34" s="380"/>
      <c r="G34" s="358"/>
      <c r="H34" s="358">
        <f>+H32-H33</f>
        <v>295.68</v>
      </c>
      <c r="I34" s="358">
        <v>0</v>
      </c>
      <c r="J34" s="358">
        <v>0</v>
      </c>
      <c r="K34" s="358">
        <f>+K32-K33</f>
        <v>483.07000000000005</v>
      </c>
      <c r="L34" s="457">
        <v>171.21</v>
      </c>
      <c r="M34" s="442"/>
      <c r="N34" s="825"/>
      <c r="O34" s="824"/>
      <c r="P34" s="587"/>
    </row>
    <row r="35" spans="1:16" ht="18.75" customHeight="1" x14ac:dyDescent="0.2">
      <c r="A35" s="519" t="s">
        <v>131</v>
      </c>
      <c r="B35" s="529">
        <v>2531</v>
      </c>
      <c r="C35" s="530">
        <v>439</v>
      </c>
      <c r="D35" s="531"/>
      <c r="E35" s="532"/>
      <c r="F35" s="533"/>
      <c r="G35" s="530"/>
      <c r="H35" s="534">
        <f>+H34</f>
        <v>295.68</v>
      </c>
      <c r="I35" s="530"/>
      <c r="J35" s="530"/>
      <c r="K35" s="530">
        <f>+K34</f>
        <v>483.07000000000005</v>
      </c>
      <c r="L35" s="535">
        <v>363</v>
      </c>
      <c r="M35" s="443">
        <f>+F35+G35+H35+I35+J35+K35+L35</f>
        <v>1141.75</v>
      </c>
      <c r="N35" s="825"/>
      <c r="O35" s="824"/>
      <c r="P35" s="587"/>
    </row>
    <row r="36" spans="1:16" ht="18.75" customHeight="1" x14ac:dyDescent="0.2">
      <c r="A36" s="391" t="s">
        <v>27</v>
      </c>
      <c r="B36" s="393">
        <v>10122</v>
      </c>
      <c r="C36" s="353">
        <v>1754</v>
      </c>
      <c r="D36" s="428"/>
      <c r="E36" s="443">
        <f>IF(SUM(B36:C36)=0,"",SUM(B36:C36))</f>
        <v>11876</v>
      </c>
      <c r="F36" s="404"/>
      <c r="G36" s="353"/>
      <c r="H36" s="353">
        <v>1475</v>
      </c>
      <c r="I36" s="353"/>
      <c r="J36" s="353"/>
      <c r="K36" s="353">
        <v>1174</v>
      </c>
      <c r="L36" s="458">
        <v>795</v>
      </c>
      <c r="M36" s="443">
        <f>+F36+G36+H36+I36+J36+K36+L36</f>
        <v>3444</v>
      </c>
      <c r="N36" s="825"/>
      <c r="O36" s="824"/>
      <c r="P36" s="587"/>
    </row>
    <row r="37" spans="1:16" ht="18.75" customHeight="1" thickBot="1" x14ac:dyDescent="0.25">
      <c r="A37" s="392"/>
      <c r="B37" s="537">
        <f>+B35/B36</f>
        <v>0.25004939735230192</v>
      </c>
      <c r="C37" s="538">
        <f>+C35/C36</f>
        <v>0.25028506271379702</v>
      </c>
      <c r="D37" s="539"/>
      <c r="E37" s="540">
        <f>+E35/E36</f>
        <v>0</v>
      </c>
      <c r="F37" s="541"/>
      <c r="G37" s="538"/>
      <c r="H37" s="538">
        <f>+H35/H36</f>
        <v>0.20046101694915255</v>
      </c>
      <c r="I37" s="538"/>
      <c r="J37" s="538"/>
      <c r="K37" s="538">
        <f>+K35/K36</f>
        <v>0.41147359454855198</v>
      </c>
      <c r="L37" s="542">
        <f>+L34/L36</f>
        <v>0.21535849056603776</v>
      </c>
      <c r="M37" s="582">
        <f>IF(OR(M35="",M36=""),"",M35/M36)</f>
        <v>0.33151858304297327</v>
      </c>
      <c r="N37" s="825"/>
      <c r="O37" s="824"/>
      <c r="P37" s="587"/>
    </row>
    <row r="38" spans="1:16" ht="18.75" customHeight="1" thickBot="1" x14ac:dyDescent="0.25">
      <c r="A38" s="544"/>
      <c r="B38" s="846" t="s">
        <v>95</v>
      </c>
      <c r="C38" s="836"/>
      <c r="D38" s="545"/>
      <c r="E38" s="586"/>
      <c r="F38" s="837" t="s">
        <v>98</v>
      </c>
      <c r="G38" s="837"/>
      <c r="H38" s="837"/>
      <c r="I38" s="837"/>
      <c r="J38" s="837"/>
      <c r="K38" s="837"/>
      <c r="L38" s="837"/>
      <c r="M38" s="838"/>
      <c r="N38" s="825"/>
      <c r="O38" s="824"/>
    </row>
    <row r="39" spans="1:16" ht="18.75" customHeight="1" thickBot="1" x14ac:dyDescent="0.25">
      <c r="A39" s="369"/>
      <c r="B39" s="839">
        <v>0.25</v>
      </c>
      <c r="C39" s="840"/>
      <c r="D39" s="381"/>
      <c r="E39" s="841">
        <f>IF(M37="","",M37)</f>
        <v>0.33151858304297327</v>
      </c>
      <c r="F39" s="842" t="str">
        <f t="shared" ref="F39:M39" si="6">IF(OR(F37="",F38=""),"",F37/F38)</f>
        <v/>
      </c>
      <c r="G39" s="842" t="str">
        <f t="shared" si="6"/>
        <v/>
      </c>
      <c r="H39" s="842" t="str">
        <f t="shared" si="6"/>
        <v/>
      </c>
      <c r="I39" s="842" t="str">
        <f t="shared" si="6"/>
        <v/>
      </c>
      <c r="J39" s="842" t="str">
        <f t="shared" si="6"/>
        <v/>
      </c>
      <c r="K39" s="842" t="str">
        <f t="shared" si="6"/>
        <v/>
      </c>
      <c r="L39" s="842" t="str">
        <f t="shared" si="6"/>
        <v/>
      </c>
      <c r="M39" s="843" t="str">
        <f t="shared" si="6"/>
        <v/>
      </c>
      <c r="N39" s="825"/>
      <c r="O39" s="824"/>
    </row>
  </sheetData>
  <mergeCells count="15">
    <mergeCell ref="N27:O39"/>
    <mergeCell ref="B38:C38"/>
    <mergeCell ref="F38:M38"/>
    <mergeCell ref="B39:C39"/>
    <mergeCell ref="E39:M39"/>
    <mergeCell ref="A1:M1"/>
    <mergeCell ref="B3:E3"/>
    <mergeCell ref="F3:M3"/>
    <mergeCell ref="N6:O6"/>
    <mergeCell ref="N15:O15"/>
    <mergeCell ref="A20:A21"/>
    <mergeCell ref="B20:C20"/>
    <mergeCell ref="F20:M20"/>
    <mergeCell ref="B21:C21"/>
    <mergeCell ref="F21:M21"/>
  </mergeCells>
  <conditionalFormatting sqref="B25:M25">
    <cfRule type="cellIs" dxfId="1" priority="1" operator="greaterThan">
      <formula>0.01</formula>
    </cfRule>
  </conditionalFormatting>
  <printOptions horizontalCentered="1" verticalCentered="1"/>
  <pageMargins left="0.17" right="0.17" top="0.39370078740157483" bottom="0.39370078740157483" header="0.17" footer="0.31496062992125984"/>
  <pageSetup paperSize="9" scale="73" orientation="landscape"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pageSetUpPr fitToPage="1"/>
  </sheetPr>
  <dimension ref="A1:P39"/>
  <sheetViews>
    <sheetView topLeftCell="A4" workbookViewId="0">
      <selection activeCell="B12" sqref="B12"/>
    </sheetView>
  </sheetViews>
  <sheetFormatPr baseColWidth="10" defaultRowHeight="12.75" x14ac:dyDescent="0.2"/>
  <cols>
    <col min="1" max="1" width="24.140625" style="370" customWidth="1"/>
    <col min="2" max="13" width="12.85546875" customWidth="1"/>
  </cols>
  <sheetData>
    <row r="1" spans="1:16" ht="24.75" customHeight="1" thickBot="1" x14ac:dyDescent="0.25">
      <c r="A1" s="794" t="s">
        <v>155</v>
      </c>
      <c r="B1" s="794"/>
      <c r="C1" s="794"/>
      <c r="D1" s="794"/>
      <c r="E1" s="794"/>
      <c r="F1" s="794"/>
      <c r="G1" s="794"/>
      <c r="H1" s="794"/>
      <c r="I1" s="794"/>
      <c r="J1" s="794"/>
      <c r="K1" s="794"/>
      <c r="L1" s="794"/>
      <c r="M1" s="794"/>
    </row>
    <row r="2" spans="1:16" ht="13.5" thickBot="1" x14ac:dyDescent="0.25">
      <c r="A2" s="359"/>
      <c r="B2" s="371" t="s">
        <v>96</v>
      </c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3"/>
    </row>
    <row r="3" spans="1:16" ht="13.5" thickBot="1" x14ac:dyDescent="0.25">
      <c r="A3" s="360"/>
      <c r="B3" s="818" t="s">
        <v>103</v>
      </c>
      <c r="C3" s="819"/>
      <c r="D3" s="819"/>
      <c r="E3" s="820"/>
      <c r="F3" s="821" t="s">
        <v>104</v>
      </c>
      <c r="G3" s="821"/>
      <c r="H3" s="821"/>
      <c r="I3" s="821"/>
      <c r="J3" s="821"/>
      <c r="K3" s="821"/>
      <c r="L3" s="821"/>
      <c r="M3" s="822"/>
    </row>
    <row r="4" spans="1:16" ht="28.5" customHeight="1" thickBot="1" x14ac:dyDescent="0.25">
      <c r="A4" s="360"/>
      <c r="B4" s="384" t="s">
        <v>147</v>
      </c>
      <c r="C4" s="385" t="s">
        <v>148</v>
      </c>
      <c r="D4" s="415" t="s">
        <v>140</v>
      </c>
      <c r="E4" s="429" t="s">
        <v>93</v>
      </c>
      <c r="F4" s="407" t="s">
        <v>91</v>
      </c>
      <c r="G4" s="408" t="s">
        <v>100</v>
      </c>
      <c r="H4" s="408" t="s">
        <v>83</v>
      </c>
      <c r="I4" s="408" t="s">
        <v>84</v>
      </c>
      <c r="J4" s="408" t="s">
        <v>86</v>
      </c>
      <c r="K4" s="408" t="s">
        <v>85</v>
      </c>
      <c r="L4" s="444" t="s">
        <v>87</v>
      </c>
      <c r="M4" s="448" t="s">
        <v>139</v>
      </c>
    </row>
    <row r="5" spans="1:16" ht="18.75" customHeight="1" x14ac:dyDescent="0.2">
      <c r="A5" s="361" t="s">
        <v>9</v>
      </c>
      <c r="B5" s="382"/>
      <c r="C5" s="383"/>
      <c r="D5" s="416"/>
      <c r="E5" s="430"/>
      <c r="F5" s="409"/>
      <c r="G5" s="410"/>
      <c r="H5" s="410"/>
      <c r="I5" s="410"/>
      <c r="J5" s="410"/>
      <c r="K5" s="410"/>
      <c r="L5" s="445"/>
      <c r="M5" s="449"/>
    </row>
    <row r="6" spans="1:16" ht="18.75" customHeight="1" x14ac:dyDescent="0.2">
      <c r="A6" s="362" t="s">
        <v>10</v>
      </c>
      <c r="B6" s="375">
        <f>'JUIN 2016'!B12</f>
        <v>10695.2</v>
      </c>
      <c r="C6" s="375">
        <f>'JUIN 2016'!C12</f>
        <v>3512.89</v>
      </c>
      <c r="D6" s="375">
        <f>'JUIN 2016'!D12</f>
        <v>614.28</v>
      </c>
      <c r="E6" s="555">
        <f>16322-940</f>
        <v>15382</v>
      </c>
      <c r="F6" s="409">
        <f>'JUIN 2016'!F12</f>
        <v>716.63</v>
      </c>
      <c r="G6" s="409">
        <f>'JUIN 2016'!G12</f>
        <v>1725.3</v>
      </c>
      <c r="H6" s="409">
        <f>'JUIN 2016'!H12</f>
        <v>3943.95</v>
      </c>
      <c r="I6" s="409">
        <f>'JUIN 2016'!I12</f>
        <v>3751.23</v>
      </c>
      <c r="J6" s="409">
        <f>'JUIN 2016'!J12</f>
        <v>2297.3000000000002</v>
      </c>
      <c r="K6" s="409">
        <f>'JUIN 2016'!K12</f>
        <v>718.07</v>
      </c>
      <c r="L6" s="409">
        <f>'JUIN 2016'!L12</f>
        <v>2756.3</v>
      </c>
      <c r="M6" s="450"/>
      <c r="N6" s="782"/>
      <c r="O6" s="806"/>
    </row>
    <row r="7" spans="1:16" ht="18.75" customHeight="1" x14ac:dyDescent="0.2">
      <c r="A7" s="362" t="s">
        <v>11</v>
      </c>
      <c r="B7" s="374">
        <v>16304.03</v>
      </c>
      <c r="C7" s="377">
        <v>10255.030000000001</v>
      </c>
      <c r="D7" s="418">
        <v>1492.29</v>
      </c>
      <c r="E7" s="431">
        <f>B7+C7</f>
        <v>26559.06</v>
      </c>
      <c r="F7" s="413">
        <v>357.2</v>
      </c>
      <c r="G7" s="414">
        <v>3287.6</v>
      </c>
      <c r="H7" s="414">
        <v>2843.03</v>
      </c>
      <c r="I7" s="414">
        <v>1350.82</v>
      </c>
      <c r="J7" s="414">
        <v>1720.15</v>
      </c>
      <c r="K7" s="414">
        <v>488.51</v>
      </c>
      <c r="L7" s="447">
        <v>1140.95</v>
      </c>
      <c r="M7" s="450">
        <f>L7+F7+G7+H7+I7+J7+K7+L7</f>
        <v>12329.210000000001</v>
      </c>
    </row>
    <row r="8" spans="1:16" ht="18.75" customHeight="1" x14ac:dyDescent="0.2">
      <c r="A8" s="363" t="s">
        <v>135</v>
      </c>
      <c r="B8" s="343">
        <v>272.44</v>
      </c>
      <c r="C8" s="344">
        <f>168.01</f>
        <v>168.01</v>
      </c>
      <c r="D8" s="419">
        <f>12.9+22.42</f>
        <v>35.32</v>
      </c>
      <c r="E8" s="432"/>
      <c r="F8" s="557">
        <v>22</v>
      </c>
      <c r="G8" s="559">
        <v>223.8</v>
      </c>
      <c r="H8" s="560">
        <v>21.53</v>
      </c>
      <c r="I8" s="559">
        <v>7.08</v>
      </c>
      <c r="J8" s="560">
        <v>21.81</v>
      </c>
      <c r="K8" s="559">
        <v>2.4500000000000002</v>
      </c>
      <c r="L8" s="558">
        <v>11.3</v>
      </c>
      <c r="M8" s="432"/>
      <c r="N8" s="341"/>
    </row>
    <row r="9" spans="1:16" ht="18.75" customHeight="1" thickBot="1" x14ac:dyDescent="0.25">
      <c r="A9" s="464" t="s">
        <v>150</v>
      </c>
      <c r="B9" s="465">
        <f>+B7+0</f>
        <v>16304.03</v>
      </c>
      <c r="C9" s="466">
        <f>+C7+0</f>
        <v>10255.030000000001</v>
      </c>
      <c r="D9" s="467">
        <f>+D7+0</f>
        <v>1492.29</v>
      </c>
      <c r="E9" s="556">
        <f>+B9+C9</f>
        <v>26559.06</v>
      </c>
      <c r="F9" s="469">
        <f>+F7+0</f>
        <v>357.2</v>
      </c>
      <c r="G9" s="470">
        <f t="shared" ref="G9:L9" si="0">+G7+0</f>
        <v>3287.6</v>
      </c>
      <c r="H9" s="470">
        <f t="shared" si="0"/>
        <v>2843.03</v>
      </c>
      <c r="I9" s="470">
        <f t="shared" si="0"/>
        <v>1350.82</v>
      </c>
      <c r="J9" s="470">
        <f t="shared" si="0"/>
        <v>1720.15</v>
      </c>
      <c r="K9" s="470">
        <f t="shared" si="0"/>
        <v>488.51</v>
      </c>
      <c r="L9" s="471">
        <f t="shared" si="0"/>
        <v>1140.95</v>
      </c>
      <c r="M9" s="472">
        <f>+L9+D9+K9+J9+I9+H9+G9+F9</f>
        <v>12680.550000000001</v>
      </c>
      <c r="O9" s="275"/>
    </row>
    <row r="10" spans="1:16" ht="18.75" customHeight="1" thickBot="1" x14ac:dyDescent="0.25">
      <c r="A10" s="482" t="s">
        <v>16</v>
      </c>
      <c r="B10" s="483">
        <f>+B6+B9</f>
        <v>26999.230000000003</v>
      </c>
      <c r="C10" s="484">
        <f>+C6+C9</f>
        <v>13767.92</v>
      </c>
      <c r="D10" s="485">
        <f>+D6+D9</f>
        <v>2106.5699999999997</v>
      </c>
      <c r="E10" s="486">
        <f>+E6+E9</f>
        <v>41941.06</v>
      </c>
      <c r="F10" s="502">
        <f t="shared" ref="F10:L10" si="1">+F6+F9</f>
        <v>1073.83</v>
      </c>
      <c r="G10" s="484">
        <f t="shared" si="1"/>
        <v>5012.8999999999996</v>
      </c>
      <c r="H10" s="484">
        <f t="shared" si="1"/>
        <v>6786.98</v>
      </c>
      <c r="I10" s="484">
        <f t="shared" si="1"/>
        <v>5102.05</v>
      </c>
      <c r="J10" s="484">
        <f t="shared" si="1"/>
        <v>4017.4500000000003</v>
      </c>
      <c r="K10" s="484">
        <f t="shared" si="1"/>
        <v>1206.58</v>
      </c>
      <c r="L10" s="485">
        <f t="shared" si="1"/>
        <v>3897.25</v>
      </c>
      <c r="M10" s="547">
        <f>+SUM(F10:L10)</f>
        <v>27097.040000000001</v>
      </c>
      <c r="N10" s="275"/>
    </row>
    <row r="11" spans="1:16" ht="18.75" customHeight="1" x14ac:dyDescent="0.2">
      <c r="A11" s="473" t="s">
        <v>151</v>
      </c>
      <c r="B11" s="474"/>
      <c r="C11" s="475"/>
      <c r="D11" s="476"/>
      <c r="E11" s="477"/>
      <c r="F11" s="570"/>
      <c r="G11" s="571"/>
      <c r="H11" s="571"/>
      <c r="I11" s="571"/>
      <c r="J11" s="571"/>
      <c r="K11" s="571"/>
      <c r="L11" s="572"/>
      <c r="M11" s="573"/>
    </row>
    <row r="12" spans="1:16" ht="18.75" customHeight="1" x14ac:dyDescent="0.2">
      <c r="A12" s="362" t="s">
        <v>18</v>
      </c>
      <c r="B12" s="375">
        <v>10695.2</v>
      </c>
      <c r="C12" s="376">
        <v>3512.89</v>
      </c>
      <c r="D12" s="417">
        <v>614.28</v>
      </c>
      <c r="E12" s="431">
        <f>+B12+C12</f>
        <v>14208.09</v>
      </c>
      <c r="F12" s="411">
        <v>716.63</v>
      </c>
      <c r="G12" s="412">
        <v>1725.3</v>
      </c>
      <c r="H12" s="412">
        <v>3943.95</v>
      </c>
      <c r="I12" s="412">
        <v>3751.23</v>
      </c>
      <c r="J12" s="412">
        <v>2297.3000000000002</v>
      </c>
      <c r="K12" s="412">
        <v>718.07</v>
      </c>
      <c r="L12" s="446">
        <v>2756.3</v>
      </c>
      <c r="M12" s="450">
        <f>+L12+K12+J12+I12+H12+G12+F12</f>
        <v>15908.779999999997</v>
      </c>
      <c r="N12" s="275"/>
    </row>
    <row r="13" spans="1:16" ht="18.75" customHeight="1" x14ac:dyDescent="0.2">
      <c r="A13" s="362" t="s">
        <v>19</v>
      </c>
      <c r="B13" s="583">
        <f>2270.4*2-1000</f>
        <v>3540.8</v>
      </c>
      <c r="C13" s="376">
        <v>1000</v>
      </c>
      <c r="D13" s="420"/>
      <c r="E13" s="433"/>
      <c r="F13" s="411"/>
      <c r="G13" s="412"/>
      <c r="H13" s="412"/>
      <c r="I13" s="412"/>
      <c r="J13" s="412"/>
      <c r="K13" s="412"/>
      <c r="L13" s="446"/>
      <c r="M13" s="451"/>
      <c r="N13" s="275"/>
    </row>
    <row r="14" spans="1:16" ht="18.75" customHeight="1" x14ac:dyDescent="0.2">
      <c r="A14" s="362" t="s">
        <v>82</v>
      </c>
      <c r="B14" s="375">
        <f>214*3.52</f>
        <v>753.28</v>
      </c>
      <c r="C14" s="345"/>
      <c r="D14" s="420"/>
      <c r="E14" s="433"/>
      <c r="F14" s="411"/>
      <c r="G14" s="412"/>
      <c r="H14" s="412"/>
      <c r="I14" s="412"/>
      <c r="J14" s="412"/>
      <c r="K14" s="412"/>
      <c r="L14" s="446"/>
      <c r="M14" s="451"/>
    </row>
    <row r="15" spans="1:16" ht="18.75" customHeight="1" thickBot="1" x14ac:dyDescent="0.25">
      <c r="A15" s="487" t="s">
        <v>57</v>
      </c>
      <c r="B15" s="488">
        <f>(202+472)*0.25</f>
        <v>168.5</v>
      </c>
      <c r="C15" s="489"/>
      <c r="D15" s="490"/>
      <c r="E15" s="468">
        <v>169</v>
      </c>
      <c r="F15" s="491">
        <v>0</v>
      </c>
      <c r="G15" s="492">
        <v>11.76</v>
      </c>
      <c r="H15" s="492">
        <v>9.3800000000000008</v>
      </c>
      <c r="I15" s="492">
        <f>19.13+4.08</f>
        <v>23.21</v>
      </c>
      <c r="J15" s="492">
        <f>9.5+7</f>
        <v>16.5</v>
      </c>
      <c r="K15" s="492">
        <f>7+0.88</f>
        <v>7.88</v>
      </c>
      <c r="L15" s="493">
        <f>20.7+10.75</f>
        <v>31.45</v>
      </c>
      <c r="M15" s="472">
        <f>SUM(F15:L15)</f>
        <v>100.18</v>
      </c>
      <c r="N15" s="826"/>
      <c r="O15" s="826"/>
      <c r="P15" s="336"/>
    </row>
    <row r="16" spans="1:16" ht="18.75" customHeight="1" thickBot="1" x14ac:dyDescent="0.25">
      <c r="A16" s="482" t="s">
        <v>149</v>
      </c>
      <c r="B16" s="483">
        <f>SUM(B12:B15)</f>
        <v>15157.78</v>
      </c>
      <c r="C16" s="484">
        <f>SUM(C12:C15)</f>
        <v>4512.8899999999994</v>
      </c>
      <c r="D16" s="485">
        <f>SUM(D12:D15)</f>
        <v>614.28</v>
      </c>
      <c r="E16" s="486">
        <f>SUM(E12:E15)</f>
        <v>14377.09</v>
      </c>
      <c r="F16" s="502">
        <f t="shared" ref="F16:L16" si="2">SUM(F12:F15)</f>
        <v>716.63</v>
      </c>
      <c r="G16" s="484">
        <f t="shared" si="2"/>
        <v>1737.06</v>
      </c>
      <c r="H16" s="484">
        <f t="shared" si="2"/>
        <v>3953.33</v>
      </c>
      <c r="I16" s="484">
        <f t="shared" si="2"/>
        <v>3774.44</v>
      </c>
      <c r="J16" s="484">
        <f t="shared" si="2"/>
        <v>2313.8000000000002</v>
      </c>
      <c r="K16" s="484">
        <f t="shared" si="2"/>
        <v>725.95</v>
      </c>
      <c r="L16" s="485">
        <f t="shared" si="2"/>
        <v>2787.75</v>
      </c>
      <c r="M16" s="486">
        <f>+L16+D16+K16+J16+I16+H16+G16+F16</f>
        <v>16623.239999999998</v>
      </c>
    </row>
    <row r="17" spans="1:16" ht="18.75" customHeight="1" x14ac:dyDescent="0.2">
      <c r="A17" s="494" t="s">
        <v>26</v>
      </c>
      <c r="B17" s="382">
        <f>+B10-B16-B35</f>
        <v>9310.4500000000025</v>
      </c>
      <c r="C17" s="382">
        <f>+C10-C16-C35</f>
        <v>8816.0300000000007</v>
      </c>
      <c r="D17" s="496">
        <f>+D10-D16</f>
        <v>1492.2899999999997</v>
      </c>
      <c r="E17" s="497">
        <f>+E10-E16</f>
        <v>27563.969999999998</v>
      </c>
      <c r="F17" s="498">
        <f>F10-F16</f>
        <v>357.19999999999993</v>
      </c>
      <c r="G17" s="499">
        <f t="shared" ref="G17:L17" si="3">+G10-G16</f>
        <v>3275.8399999999997</v>
      </c>
      <c r="H17" s="499">
        <f>+H10-H16-H35</f>
        <v>2537.9699999999998</v>
      </c>
      <c r="I17" s="499">
        <f>+I10-I16-I34</f>
        <v>1327.6100000000001</v>
      </c>
      <c r="J17" s="499">
        <f>+J10-J16-J34</f>
        <v>1703.65</v>
      </c>
      <c r="K17" s="499">
        <f t="shared" si="3"/>
        <v>480.62999999999988</v>
      </c>
      <c r="L17" s="500">
        <f t="shared" si="3"/>
        <v>1109.5</v>
      </c>
      <c r="M17" s="501">
        <f>+F17+G17+H17+I17+J17+K17+L17</f>
        <v>10792.399999999998</v>
      </c>
    </row>
    <row r="18" spans="1:16" ht="18.75" customHeight="1" thickBot="1" x14ac:dyDescent="0.25">
      <c r="A18" s="382" t="s">
        <v>27</v>
      </c>
      <c r="B18" s="495">
        <v>42343</v>
      </c>
      <c r="C18" s="496">
        <v>21618</v>
      </c>
      <c r="D18" s="497">
        <v>3355.82</v>
      </c>
      <c r="E18" s="382">
        <f>+B18+C18</f>
        <v>63961</v>
      </c>
      <c r="F18" s="498">
        <v>874.17</v>
      </c>
      <c r="G18" s="499">
        <v>8718.2900000000009</v>
      </c>
      <c r="H18" s="499">
        <v>7737</v>
      </c>
      <c r="I18" s="499">
        <v>8405</v>
      </c>
      <c r="J18" s="499">
        <v>6636</v>
      </c>
      <c r="K18" s="499">
        <v>3050</v>
      </c>
      <c r="L18" s="500">
        <v>8002</v>
      </c>
      <c r="M18" s="501">
        <f>+F18+G18+H18+I18+J18+K18+L18</f>
        <v>43422.46</v>
      </c>
      <c r="N18" s="274"/>
    </row>
    <row r="19" spans="1:16" ht="18.75" customHeight="1" thickBot="1" x14ac:dyDescent="0.25">
      <c r="A19" s="482" t="s">
        <v>94</v>
      </c>
      <c r="B19" s="513">
        <f>+B17/B18</f>
        <v>0.21988168056113178</v>
      </c>
      <c r="C19" s="514">
        <f>+C17/C18</f>
        <v>0.40780969562401703</v>
      </c>
      <c r="D19" s="515">
        <f>+D17/D18</f>
        <v>0.44468714054985059</v>
      </c>
      <c r="E19" s="516">
        <f>IF(OR(E17="",E18=""),"",E17/E18)</f>
        <v>0.43094964118759865</v>
      </c>
      <c r="F19" s="517">
        <f t="shared" ref="F19:K19" si="4">+F17/F18</f>
        <v>0.40861617305558412</v>
      </c>
      <c r="G19" s="514">
        <f>+G17/G18</f>
        <v>0.37574340839774767</v>
      </c>
      <c r="H19" s="514">
        <f>+H17/H18</f>
        <v>0.32803024428072897</v>
      </c>
      <c r="I19" s="514">
        <f t="shared" si="4"/>
        <v>0.15795478881618086</v>
      </c>
      <c r="J19" s="514">
        <f t="shared" si="4"/>
        <v>0.25672845087402052</v>
      </c>
      <c r="K19" s="514">
        <f t="shared" si="4"/>
        <v>0.15758360655737702</v>
      </c>
      <c r="L19" s="515">
        <f>+L17/L18</f>
        <v>0.13865283679080229</v>
      </c>
      <c r="M19" s="516">
        <f>IF(OR(M17="",M18=""),"",M17/M18)</f>
        <v>0.24854418657994037</v>
      </c>
    </row>
    <row r="20" spans="1:16" ht="18.75" customHeight="1" x14ac:dyDescent="0.2">
      <c r="A20" s="816" t="s">
        <v>108</v>
      </c>
      <c r="B20" s="827" t="s">
        <v>102</v>
      </c>
      <c r="C20" s="828"/>
      <c r="D20" s="511"/>
      <c r="E20" s="512"/>
      <c r="F20" s="829" t="s">
        <v>101</v>
      </c>
      <c r="G20" s="829"/>
      <c r="H20" s="829"/>
      <c r="I20" s="829"/>
      <c r="J20" s="829"/>
      <c r="K20" s="829"/>
      <c r="L20" s="829"/>
      <c r="M20" s="830"/>
    </row>
    <row r="21" spans="1:16" ht="18.75" customHeight="1" thickBot="1" x14ac:dyDescent="0.25">
      <c r="A21" s="817"/>
      <c r="B21" s="844">
        <f>IF(E19="","",E19)</f>
        <v>0.43094964118759865</v>
      </c>
      <c r="C21" s="845"/>
      <c r="D21" s="421"/>
      <c r="E21" s="434"/>
      <c r="F21" s="831">
        <f>IF(M19="","",M19)</f>
        <v>0.24854418657994037</v>
      </c>
      <c r="G21" s="833"/>
      <c r="H21" s="833"/>
      <c r="I21" s="833"/>
      <c r="J21" s="833"/>
      <c r="K21" s="833"/>
      <c r="L21" s="833"/>
      <c r="M21" s="834"/>
    </row>
    <row r="22" spans="1:16" ht="18.75" customHeight="1" thickTop="1" x14ac:dyDescent="0.2">
      <c r="A22" s="364"/>
      <c r="B22" s="346"/>
      <c r="C22" s="347"/>
      <c r="D22" s="347"/>
      <c r="E22" s="435"/>
      <c r="F22" s="347"/>
      <c r="G22" s="347"/>
      <c r="H22" s="347"/>
      <c r="I22" s="347"/>
      <c r="J22" s="347"/>
      <c r="K22" s="347"/>
      <c r="L22" s="347"/>
      <c r="M22" s="348"/>
    </row>
    <row r="23" spans="1:16" ht="18.75" customHeight="1" thickBot="1" x14ac:dyDescent="0.25">
      <c r="A23" s="365" t="s">
        <v>105</v>
      </c>
      <c r="B23" s="349">
        <f>+(JUILLET!B20+AOUT!B20+SEPT!B20+'OCT 2015'!B20+'NOV 2015'!B20+'DEC 2015'!B20+'JANV 2016'!B20+'FEV 2016'!B18+'MARS 2016'!B18+'AVRIL 2016 '!B17+'JUILLET 2016'!B17)/+(JUILLET!B21+AOUT!B21+SEPT!B21+'OCT 2015'!B21+'NOV 2015'!B21+'DEC 2015'!B21+'JANV 2016'!B21+'FEV 2016'!B19+'MARS 2016'!B19+'AVRIL 2016 '!B18+'JUILLET 2016'!B18)</f>
        <v>0.36566312170640808</v>
      </c>
      <c r="C23" s="349">
        <f>+(JUILLET!C20+AOUT!C20+SEPT!C20+'OCT 2015'!C20+'NOV 2015'!C20+'DEC 2015'!C20+'JANV 2016'!C20+'FEV 2016'!C18+'MARS 2016'!C18+'AVRIL 2016 '!C17+'JUILLET 2016'!C17)/+(JUILLET!C21+AOUT!C21+SEPT!C21+'OCT 2015'!C21+'NOV 2015'!C21+'DEC 2015'!C21+'JANV 2016'!C21+'FEV 2016'!C19+'MARS 2016'!C19+'AVRIL 2016 '!C18+'JUILLET 2016'!C18)</f>
        <v>0.3463351310656782</v>
      </c>
      <c r="D23" s="349">
        <f>+(JUILLET!D20+AOUT!D20+SEPT!D20+'OCT 2015'!D20+'NOV 2015'!D20+'DEC 2015'!D20+'JANV 2016'!D20+'FEV 2016'!D18+'MARS 2016'!D18+'AVRIL 2016 '!D17+'JUILLET 2016'!D17)/+(JUILLET!D21+AOUT!D21+SEPT!D21+'OCT 2015'!D21+'NOV 2015'!D21+'DEC 2015'!D21+'JANV 2016'!D21+'FEV 2016'!D19+'MARS 2016'!D19+'AVRIL 2016 '!D18+'JUILLET 2016'!D18)</f>
        <v>0.37688336333658534</v>
      </c>
      <c r="E23" s="349">
        <f>+(JUILLET!E20+AOUT!E20+SEPT!E20+'OCT 2015'!E20+'NOV 2015'!E20+'DEC 2015'!E20+'JANV 2016'!E20+'FEV 2016'!E18+'MARS 2016'!E18+'AVRIL 2016 '!E17+'JUILLET 2016'!E17)/+(JUILLET!E21+AOUT!E21+SEPT!E21+'OCT 2015'!E21+'NOV 2015'!E21+'DEC 2015'!E21+'JANV 2016'!E21+'FEV 2016'!E19+'MARS 2016'!E19+'AVRIL 2016 '!E18+'JUILLET 2016'!E18)</f>
        <v>0.36117457435324901</v>
      </c>
      <c r="F23" s="349">
        <f>+(JUILLET!F20+AOUT!F20+SEPT!F20+'OCT 2015'!F20+'NOV 2015'!F20+'DEC 2015'!F20+'JANV 2016'!F20+'FEV 2016'!F18+'MARS 2016'!F18+'AVRIL 2016 '!F17+'JUILLET 2016'!F17)/+(JUILLET!F21+AOUT!F21+SEPT!F21+'OCT 2015'!F21+'NOV 2015'!F21+'DEC 2015'!F21+'JANV 2016'!F21+'FEV 2016'!F19+'MARS 2016'!F19+'AVRIL 2016 '!F18+'JUILLET 2016'!F18)</f>
        <v>0.52708079630380877</v>
      </c>
      <c r="G23" s="349">
        <f>+(JUILLET!G20+AOUT!G20+SEPT!G20+'OCT 2015'!G20+'NOV 2015'!G20+'DEC 2015'!G20+'JANV 2016'!G20+'FEV 2016'!G18+'MARS 2016'!G18+'AVRIL 2016 '!G17+'JUILLET 2016'!G17)/+(JUILLET!G21+AOUT!G21+SEPT!G21+'OCT 2015'!G21+'NOV 2015'!G21+'DEC 2015'!G21+'JANV 2016'!G21+'FEV 2016'!G19+'MARS 2016'!G19+'AVRIL 2016 '!G18+'JUILLET 2016'!G18)</f>
        <v>0.35973372185328456</v>
      </c>
      <c r="H23" s="349">
        <f>+(JUILLET!H20+AOUT!H20+SEPT!H20+'OCT 2015'!H20+'NOV 2015'!H20+'DEC 2015'!H20+'JANV 2016'!H20+'FEV 2016'!H18+'MARS 2016'!H18+'AVRIL 2016 '!H17+'JUILLET 2016'!H17)/+(JUILLET!H21+AOUT!H21+SEPT!H21+'OCT 2015'!H21+'NOV 2015'!H21+'DEC 2015'!H21+'JANV 2016'!H21+'FEV 2016'!H19+'MARS 2016'!H19+'AVRIL 2016 '!H18+'JUILLET 2016'!H18)</f>
        <v>0.21884193792748641</v>
      </c>
      <c r="I23" s="349">
        <f>+(JUILLET!I20+AOUT!I20+SEPT!I20+'OCT 2015'!I20+'NOV 2015'!I20+'DEC 2015'!I20+'JANV 2016'!I20+'FEV 2016'!I18+'MARS 2016'!I18+'AVRIL 2016 '!I17+'JUILLET 2016'!I17)/+(JUILLET!I21+AOUT!I21+SEPT!I21+'OCT 2015'!I21+'NOV 2015'!I21+'DEC 2015'!I21+'JANV 2016'!I21+'FEV 2016'!I19+'MARS 2016'!I19+'AVRIL 2016 '!I18+'JUILLET 2016'!I18)</f>
        <v>0.25424472033863954</v>
      </c>
      <c r="J23" s="349">
        <f>+(JUILLET!J20+AOUT!J20+SEPT!J20+'OCT 2015'!J20+'NOV 2015'!J20+'DEC 2015'!J20+'JANV 2016'!J20+'FEV 2016'!J18+'MARS 2016'!J18+'AVRIL 2016 '!J17+'JUILLET 2016'!J17)/+(JUILLET!J21+AOUT!J21+SEPT!J21+'OCT 2015'!J21+'NOV 2015'!J21+'DEC 2015'!J21+'JANV 2016'!J21+'FEV 2016'!J19+'MARS 2016'!J19+'AVRIL 2016 '!J18+'JUILLET 2016'!J18)</f>
        <v>0.28982825790058592</v>
      </c>
      <c r="K23" s="349">
        <f>+(JUILLET!K20+AOUT!K20+SEPT!K20+'OCT 2015'!K20+'NOV 2015'!K20+'DEC 2015'!K20+'JANV 2016'!K20+'FEV 2016'!K18+'MARS 2016'!K18+'AVRIL 2016 '!K17+'JUILLET 2016'!K17)/+(JUILLET!K21+AOUT!K21+SEPT!K21+'OCT 2015'!K21+'NOV 2015'!K21+'DEC 2015'!K21+'JANV 2016'!K21+'FEV 2016'!K19+'MARS 2016'!K19+'AVRIL 2016 '!K18+'JUILLET 2016'!K18)</f>
        <v>0.41065558291502879</v>
      </c>
      <c r="L23" s="349">
        <f>+(JUILLET!L20+AOUT!L20+SEPT!L20+'OCT 2015'!L20+'NOV 2015'!L20+'DEC 2015'!L20+'JANV 2016'!L20+'FEV 2016'!L18+'MARS 2016'!L18+'AVRIL 2016 '!L17+'JUILLET 2016'!L17)/+(JUILLET!L21+AOUT!L21+SEPT!L21+'OCT 2015'!L21+'NOV 2015'!L21+'DEC 2015'!L21+'JANV 2016'!L21+'FEV 2016'!L19+'MARS 2016'!L19+'AVRIL 2016 '!L18+'JUILLET 2016'!L18)</f>
        <v>0.16018378127455618</v>
      </c>
      <c r="M23" s="349">
        <f>+(JUILLET!M20+AOUT!M20+SEPT!M20+'OCT 2015'!M20+'NOV 2015'!M20+'DEC 2015'!M20+'JANV 2016'!M20+'FEV 2016'!M18+'MARS 2016'!M18+'AVRIL 2016 '!M17+'JUILLET 2016'!M17)/+(JUILLET!M21+AOUT!M21+SEPT!M21+'OCT 2015'!M21+'NOV 2015'!M21+'DEC 2015'!M21+'JANV 2016'!M21+'FEV 2016'!M19+'MARS 2016'!M19+'AVRIL 2016 '!M18+'JUILLET 2016'!M18)</f>
        <v>0.29580837662647824</v>
      </c>
    </row>
    <row r="24" spans="1:16" ht="18.75" customHeight="1" thickBot="1" x14ac:dyDescent="0.25">
      <c r="A24" s="366" t="s">
        <v>99</v>
      </c>
      <c r="B24" s="354">
        <v>0.31</v>
      </c>
      <c r="C24" s="355">
        <v>0.31</v>
      </c>
      <c r="D24" s="423">
        <v>0.35</v>
      </c>
      <c r="E24" s="437">
        <v>0.31</v>
      </c>
      <c r="F24" s="379">
        <v>0.35</v>
      </c>
      <c r="G24" s="355">
        <v>0.35</v>
      </c>
      <c r="H24" s="355">
        <v>0.3</v>
      </c>
      <c r="I24" s="355">
        <v>0.18</v>
      </c>
      <c r="J24" s="355">
        <v>0.3</v>
      </c>
      <c r="K24" s="355">
        <v>0.21</v>
      </c>
      <c r="L24" s="423">
        <v>0.1</v>
      </c>
      <c r="M24" s="453">
        <v>0.25</v>
      </c>
    </row>
    <row r="25" spans="1:16" ht="21.75" customHeight="1" thickBot="1" x14ac:dyDescent="0.25">
      <c r="A25" s="367" t="s">
        <v>106</v>
      </c>
      <c r="B25" s="561">
        <f t="shared" ref="B25:M25" si="5">+B19-B24</f>
        <v>-9.0118319438868222E-2</v>
      </c>
      <c r="C25" s="562">
        <f t="shared" si="5"/>
        <v>9.7809695624017035E-2</v>
      </c>
      <c r="D25" s="550">
        <f t="shared" si="5"/>
        <v>9.4687140549850612E-2</v>
      </c>
      <c r="E25" s="563">
        <f t="shared" si="5"/>
        <v>0.12094964118759866</v>
      </c>
      <c r="F25" s="564">
        <f t="shared" si="5"/>
        <v>5.8616173055584142E-2</v>
      </c>
      <c r="G25" s="562">
        <f t="shared" si="5"/>
        <v>2.5743408397747691E-2</v>
      </c>
      <c r="H25" s="562">
        <f t="shared" si="5"/>
        <v>2.8030244280728978E-2</v>
      </c>
      <c r="I25" s="562">
        <f t="shared" si="5"/>
        <v>-2.2045211183819136E-2</v>
      </c>
      <c r="J25" s="562">
        <f t="shared" si="5"/>
        <v>-4.3271549125979469E-2</v>
      </c>
      <c r="K25" s="562">
        <f t="shared" si="5"/>
        <v>-5.2416393442622972E-2</v>
      </c>
      <c r="L25" s="550">
        <f t="shared" si="5"/>
        <v>3.8652836790802281E-2</v>
      </c>
      <c r="M25" s="565">
        <f t="shared" si="5"/>
        <v>-1.4558134200596262E-3</v>
      </c>
    </row>
    <row r="26" spans="1:16" ht="14.25" customHeight="1" thickBot="1" x14ac:dyDescent="0.25">
      <c r="A26" s="364"/>
      <c r="B26" s="405" t="s">
        <v>97</v>
      </c>
      <c r="C26" s="406"/>
      <c r="D26" s="406"/>
      <c r="E26" s="438"/>
      <c r="F26" s="406"/>
      <c r="G26" s="406"/>
      <c r="H26" s="406"/>
      <c r="I26" s="406"/>
      <c r="J26" s="406"/>
      <c r="K26" s="406"/>
      <c r="L26" s="406"/>
      <c r="M26" s="459"/>
    </row>
    <row r="27" spans="1:16" ht="18.75" customHeight="1" x14ac:dyDescent="0.2">
      <c r="A27" s="368"/>
      <c r="B27" s="386" t="s">
        <v>3</v>
      </c>
      <c r="C27" s="387" t="s">
        <v>90</v>
      </c>
      <c r="D27" s="424" t="s">
        <v>89</v>
      </c>
      <c r="E27" s="439" t="s">
        <v>93</v>
      </c>
      <c r="F27" s="399" t="s">
        <v>91</v>
      </c>
      <c r="G27" s="400" t="s">
        <v>92</v>
      </c>
      <c r="H27" s="400" t="s">
        <v>83</v>
      </c>
      <c r="I27" s="400" t="s">
        <v>84</v>
      </c>
      <c r="J27" s="400" t="s">
        <v>86</v>
      </c>
      <c r="K27" s="400" t="s">
        <v>85</v>
      </c>
      <c r="L27" s="454" t="s">
        <v>87</v>
      </c>
      <c r="M27" s="460" t="s">
        <v>88</v>
      </c>
      <c r="N27" s="823"/>
      <c r="O27" s="824"/>
    </row>
    <row r="28" spans="1:16" ht="18.75" customHeight="1" x14ac:dyDescent="0.2">
      <c r="A28" s="368"/>
      <c r="B28" s="388"/>
      <c r="C28" s="389"/>
      <c r="D28" s="425"/>
      <c r="E28" s="440"/>
      <c r="F28" s="401"/>
      <c r="G28" s="402"/>
      <c r="H28" s="402"/>
      <c r="I28" s="402"/>
      <c r="J28" s="402"/>
      <c r="K28" s="402"/>
      <c r="L28" s="455"/>
      <c r="M28" s="461"/>
      <c r="N28" s="825"/>
      <c r="O28" s="824"/>
      <c r="P28" s="312"/>
    </row>
    <row r="29" spans="1:16" ht="18.75" customHeight="1" x14ac:dyDescent="0.2">
      <c r="A29" s="390" t="s">
        <v>129</v>
      </c>
      <c r="B29" s="351"/>
      <c r="C29" s="352"/>
      <c r="D29" s="425"/>
      <c r="E29" s="440"/>
      <c r="F29" s="401"/>
      <c r="G29" s="402"/>
      <c r="H29" s="402">
        <v>281.35000000000002</v>
      </c>
      <c r="I29" s="402">
        <f>'AVRIL 2016 '!I33</f>
        <v>0</v>
      </c>
      <c r="J29" s="402">
        <f>'AVRIL 2016 '!J33</f>
        <v>0</v>
      </c>
      <c r="K29" s="402">
        <v>415.52</v>
      </c>
      <c r="L29" s="402">
        <f>'AVRIL 2016 '!L33</f>
        <v>0</v>
      </c>
      <c r="M29" s="585">
        <f>+F29+G29+H29+I29+J29+K29+L29</f>
        <v>696.87</v>
      </c>
      <c r="N29" s="825"/>
      <c r="O29" s="824"/>
      <c r="P29" s="587"/>
    </row>
    <row r="30" spans="1:16" ht="18.75" customHeight="1" x14ac:dyDescent="0.2">
      <c r="A30" s="390" t="s">
        <v>152</v>
      </c>
      <c r="B30" s="388">
        <v>2530.25</v>
      </c>
      <c r="C30" s="584">
        <v>438.75</v>
      </c>
      <c r="D30" s="425"/>
      <c r="E30" s="440">
        <f>+B30+C30</f>
        <v>2969</v>
      </c>
      <c r="F30" s="401"/>
      <c r="G30" s="402"/>
      <c r="H30" s="402">
        <v>524.26</v>
      </c>
      <c r="I30" s="402"/>
      <c r="J30" s="402"/>
      <c r="K30" s="402">
        <v>211.21</v>
      </c>
      <c r="L30" s="455">
        <v>171.24</v>
      </c>
      <c r="M30" s="585">
        <f>+F30+G30+H30+I30+J30+K30+L30</f>
        <v>906.71</v>
      </c>
      <c r="N30" s="825"/>
      <c r="O30" s="824"/>
      <c r="P30" s="587"/>
    </row>
    <row r="31" spans="1:16" ht="18.75" customHeight="1" thickBot="1" x14ac:dyDescent="0.25">
      <c r="A31" s="574" t="s">
        <v>146</v>
      </c>
      <c r="B31" s="575"/>
      <c r="C31" s="576"/>
      <c r="D31" s="426"/>
      <c r="E31" s="578"/>
      <c r="F31" s="579"/>
      <c r="G31" s="580"/>
      <c r="H31" s="580">
        <v>5.29</v>
      </c>
      <c r="I31" s="580"/>
      <c r="J31" s="580"/>
      <c r="K31" s="580">
        <v>8.16</v>
      </c>
      <c r="L31" s="577"/>
      <c r="M31" s="581"/>
      <c r="N31" s="825"/>
      <c r="O31" s="824"/>
      <c r="P31" s="587"/>
    </row>
    <row r="32" spans="1:16" ht="18.75" customHeight="1" thickBot="1" x14ac:dyDescent="0.25">
      <c r="A32" s="520" t="s">
        <v>16</v>
      </c>
      <c r="B32" s="396"/>
      <c r="C32" s="397"/>
      <c r="D32" s="427"/>
      <c r="E32" s="442">
        <f>+B32+C32</f>
        <v>0</v>
      </c>
      <c r="F32" s="380"/>
      <c r="G32" s="358"/>
      <c r="H32" s="358">
        <f>+H30+H29</f>
        <v>805.61</v>
      </c>
      <c r="I32" s="358"/>
      <c r="J32" s="358"/>
      <c r="K32" s="358">
        <f>+K29+K30-K31</f>
        <v>618.57000000000005</v>
      </c>
      <c r="L32" s="457">
        <f>+L29+L30-L31</f>
        <v>171.24</v>
      </c>
      <c r="M32" s="463"/>
      <c r="N32" s="825"/>
      <c r="O32" s="824"/>
      <c r="P32" s="587"/>
    </row>
    <row r="33" spans="1:16" ht="18.75" customHeight="1" thickBot="1" x14ac:dyDescent="0.25">
      <c r="A33" s="521" t="s">
        <v>18</v>
      </c>
      <c r="B33" s="522"/>
      <c r="C33" s="523"/>
      <c r="D33" s="524"/>
      <c r="E33" s="525"/>
      <c r="F33" s="526"/>
      <c r="G33" s="527"/>
      <c r="H33" s="527">
        <v>509.93</v>
      </c>
      <c r="I33" s="527"/>
      <c r="J33" s="527"/>
      <c r="K33" s="527">
        <v>135.5</v>
      </c>
      <c r="L33" s="528">
        <v>0</v>
      </c>
      <c r="M33" s="443">
        <f>+F33+G33+H33+I33+J33+K33+L33</f>
        <v>645.43000000000006</v>
      </c>
      <c r="N33" s="825"/>
      <c r="O33" s="824"/>
      <c r="P33" s="587"/>
    </row>
    <row r="34" spans="1:16" ht="18.75" customHeight="1" thickBot="1" x14ac:dyDescent="0.25">
      <c r="A34" s="482" t="s">
        <v>149</v>
      </c>
      <c r="B34" s="356"/>
      <c r="C34" s="357"/>
      <c r="D34" s="427"/>
      <c r="E34" s="442"/>
      <c r="F34" s="380"/>
      <c r="G34" s="358"/>
      <c r="H34" s="358">
        <f>+H32-H33</f>
        <v>295.68</v>
      </c>
      <c r="I34" s="358">
        <v>0</v>
      </c>
      <c r="J34" s="358">
        <v>0</v>
      </c>
      <c r="K34" s="358">
        <f>+K32-K33</f>
        <v>483.07000000000005</v>
      </c>
      <c r="L34" s="457">
        <v>171.21</v>
      </c>
      <c r="M34" s="442"/>
      <c r="N34" s="825"/>
      <c r="O34" s="824"/>
      <c r="P34" s="587"/>
    </row>
    <row r="35" spans="1:16" ht="18.75" customHeight="1" x14ac:dyDescent="0.2">
      <c r="A35" s="519" t="s">
        <v>131</v>
      </c>
      <c r="B35" s="529">
        <v>2531</v>
      </c>
      <c r="C35" s="530">
        <v>439</v>
      </c>
      <c r="D35" s="531"/>
      <c r="E35" s="532"/>
      <c r="F35" s="533"/>
      <c r="G35" s="530"/>
      <c r="H35" s="534">
        <f>+H34</f>
        <v>295.68</v>
      </c>
      <c r="I35" s="530"/>
      <c r="J35" s="530"/>
      <c r="K35" s="530">
        <f>+K34</f>
        <v>483.07000000000005</v>
      </c>
      <c r="L35" s="535">
        <v>363</v>
      </c>
      <c r="M35" s="443">
        <f>+F35+G35+H35+I35+J35+K35+L35</f>
        <v>1141.75</v>
      </c>
      <c r="N35" s="825"/>
      <c r="O35" s="824"/>
      <c r="P35" s="587"/>
    </row>
    <row r="36" spans="1:16" ht="18.75" customHeight="1" x14ac:dyDescent="0.2">
      <c r="A36" s="391" t="s">
        <v>27</v>
      </c>
      <c r="B36" s="393">
        <v>10122</v>
      </c>
      <c r="C36" s="353">
        <v>1754</v>
      </c>
      <c r="D36" s="428"/>
      <c r="E36" s="443">
        <f>IF(SUM(B36:C36)=0,"",SUM(B36:C36))</f>
        <v>11876</v>
      </c>
      <c r="F36" s="404"/>
      <c r="G36" s="353"/>
      <c r="H36" s="353">
        <v>1475</v>
      </c>
      <c r="I36" s="353"/>
      <c r="J36" s="353"/>
      <c r="K36" s="353">
        <v>1174</v>
      </c>
      <c r="L36" s="458">
        <v>795</v>
      </c>
      <c r="M36" s="443">
        <f>+F36+G36+H36+I36+J36+K36+L36</f>
        <v>3444</v>
      </c>
      <c r="N36" s="825"/>
      <c r="O36" s="824"/>
      <c r="P36" s="587"/>
    </row>
    <row r="37" spans="1:16" ht="18.75" customHeight="1" thickBot="1" x14ac:dyDescent="0.25">
      <c r="A37" s="392"/>
      <c r="B37" s="537">
        <f>+B35/B36</f>
        <v>0.25004939735230192</v>
      </c>
      <c r="C37" s="538">
        <f>+C35/C36</f>
        <v>0.25028506271379702</v>
      </c>
      <c r="D37" s="539"/>
      <c r="E37" s="540">
        <f>+E35/E36</f>
        <v>0</v>
      </c>
      <c r="F37" s="541"/>
      <c r="G37" s="538"/>
      <c r="H37" s="538">
        <f>+H35/H36</f>
        <v>0.20046101694915255</v>
      </c>
      <c r="I37" s="538"/>
      <c r="J37" s="538"/>
      <c r="K37" s="538">
        <f>+K35/K36</f>
        <v>0.41147359454855198</v>
      </c>
      <c r="L37" s="542">
        <f>+L34/L36</f>
        <v>0.21535849056603776</v>
      </c>
      <c r="M37" s="582">
        <f>IF(OR(M35="",M36=""),"",M35/M36)</f>
        <v>0.33151858304297327</v>
      </c>
      <c r="N37" s="825"/>
      <c r="O37" s="824"/>
      <c r="P37" s="587"/>
    </row>
    <row r="38" spans="1:16" ht="18.75" customHeight="1" thickBot="1" x14ac:dyDescent="0.25">
      <c r="A38" s="544"/>
      <c r="B38" s="846" t="s">
        <v>95</v>
      </c>
      <c r="C38" s="836"/>
      <c r="D38" s="545"/>
      <c r="E38" s="586"/>
      <c r="F38" s="837" t="s">
        <v>98</v>
      </c>
      <c r="G38" s="837"/>
      <c r="H38" s="837"/>
      <c r="I38" s="837"/>
      <c r="J38" s="837"/>
      <c r="K38" s="837"/>
      <c r="L38" s="837"/>
      <c r="M38" s="838"/>
      <c r="N38" s="825"/>
      <c r="O38" s="824"/>
    </row>
    <row r="39" spans="1:16" ht="18.75" customHeight="1" thickBot="1" x14ac:dyDescent="0.25">
      <c r="A39" s="369"/>
      <c r="B39" s="839">
        <v>0.25</v>
      </c>
      <c r="C39" s="840"/>
      <c r="D39" s="381"/>
      <c r="E39" s="841">
        <f>IF(M37="","",M37)</f>
        <v>0.33151858304297327</v>
      </c>
      <c r="F39" s="842" t="str">
        <f t="shared" ref="F39:M39" si="6">IF(OR(F37="",F38=""),"",F37/F38)</f>
        <v/>
      </c>
      <c r="G39" s="842" t="str">
        <f t="shared" si="6"/>
        <v/>
      </c>
      <c r="H39" s="842" t="str">
        <f t="shared" si="6"/>
        <v/>
      </c>
      <c r="I39" s="842" t="str">
        <f t="shared" si="6"/>
        <v/>
      </c>
      <c r="J39" s="842" t="str">
        <f t="shared" si="6"/>
        <v/>
      </c>
      <c r="K39" s="842" t="str">
        <f t="shared" si="6"/>
        <v/>
      </c>
      <c r="L39" s="842" t="str">
        <f t="shared" si="6"/>
        <v/>
      </c>
      <c r="M39" s="843" t="str">
        <f t="shared" si="6"/>
        <v/>
      </c>
      <c r="N39" s="825"/>
      <c r="O39" s="824"/>
    </row>
  </sheetData>
  <mergeCells count="15">
    <mergeCell ref="N27:O39"/>
    <mergeCell ref="B38:C38"/>
    <mergeCell ref="F38:M38"/>
    <mergeCell ref="B39:C39"/>
    <mergeCell ref="E39:M39"/>
    <mergeCell ref="A1:M1"/>
    <mergeCell ref="B3:E3"/>
    <mergeCell ref="F3:M3"/>
    <mergeCell ref="N6:O6"/>
    <mergeCell ref="N15:O15"/>
    <mergeCell ref="A20:A21"/>
    <mergeCell ref="B20:C20"/>
    <mergeCell ref="F20:M20"/>
    <mergeCell ref="B21:C21"/>
    <mergeCell ref="F21:M21"/>
  </mergeCells>
  <conditionalFormatting sqref="B25:M25">
    <cfRule type="cellIs" dxfId="0" priority="1" operator="greaterThan">
      <formula>0.01</formula>
    </cfRule>
  </conditionalFormatting>
  <printOptions horizontalCentered="1" verticalCentered="1"/>
  <pageMargins left="0.17" right="0.17" top="0.39370078740157483" bottom="0.39370078740157483" header="0.17" footer="0.31496062992125984"/>
  <pageSetup paperSize="9" scale="7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26</vt:i4>
      </vt:variant>
      <vt:variant>
        <vt:lpstr>Plages nommées</vt:lpstr>
      </vt:variant>
      <vt:variant>
        <vt:i4>3</vt:i4>
      </vt:variant>
    </vt:vector>
  </HeadingPairs>
  <TitlesOfParts>
    <vt:vector size="29" baseType="lpstr">
      <vt:lpstr>JANVIER 15</vt:lpstr>
      <vt:lpstr>FEVRIER 15</vt:lpstr>
      <vt:lpstr>MARS 15</vt:lpstr>
      <vt:lpstr>AVRIL 15</vt:lpstr>
      <vt:lpstr>MAI 15</vt:lpstr>
      <vt:lpstr>JUIN 15</vt:lpstr>
      <vt:lpstr>JUILLET 15</vt:lpstr>
      <vt:lpstr>AOUT 15</vt:lpstr>
      <vt:lpstr>SEPTEMBRE 15</vt:lpstr>
      <vt:lpstr>OCTOBRE 15</vt:lpstr>
      <vt:lpstr>NOVEMBRE 15</vt:lpstr>
      <vt:lpstr>DECEMBRE 15</vt:lpstr>
      <vt:lpstr>Menu</vt:lpstr>
      <vt:lpstr>JUILLET</vt:lpstr>
      <vt:lpstr>AOUT</vt:lpstr>
      <vt:lpstr>SEPT</vt:lpstr>
      <vt:lpstr>OCT 2015</vt:lpstr>
      <vt:lpstr>NOV 2015</vt:lpstr>
      <vt:lpstr>DEC 2015</vt:lpstr>
      <vt:lpstr>JANV 2016</vt:lpstr>
      <vt:lpstr>FEV 2016</vt:lpstr>
      <vt:lpstr>MARS 2016</vt:lpstr>
      <vt:lpstr>AVRIL 2016 </vt:lpstr>
      <vt:lpstr>MAI 2016</vt:lpstr>
      <vt:lpstr>JUIN 2016</vt:lpstr>
      <vt:lpstr>JUILLET 2016</vt:lpstr>
      <vt:lpstr>Mois</vt:lpstr>
      <vt:lpstr>'FEVRIER 15'!Zone_d_impression</vt:lpstr>
      <vt:lpstr>'MARS 15'!Zone_d_impression</vt:lpstr>
    </vt:vector>
  </TitlesOfParts>
  <Company>Golf Hotel de BUSSY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</dc:creator>
  <cp:lastModifiedBy>Ben</cp:lastModifiedBy>
  <cp:lastPrinted>2016-06-30T12:58:26Z</cp:lastPrinted>
  <dcterms:created xsi:type="dcterms:W3CDTF">2003-11-28T06:28:27Z</dcterms:created>
  <dcterms:modified xsi:type="dcterms:W3CDTF">2016-07-20T21:37:32Z</dcterms:modified>
</cp:coreProperties>
</file>