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filterPrivacy="1" codeName="ThisWorkbook"/>
  <xr:revisionPtr revIDLastSave="0" documentId="13_ncr:1_{CE84C308-A846-4A6E-8D0D-5BB7DA97EAEA}" xr6:coauthVersionLast="41" xr6:coauthVersionMax="41" xr10:uidLastSave="{00000000-0000-0000-0000-000000000000}"/>
  <bookViews>
    <workbookView xWindow="28680" yWindow="-120" windowWidth="29040" windowHeight="15840" xr2:uid="{00000000-000D-0000-FFFF-FFFF00000000}"/>
  </bookViews>
  <sheets>
    <sheet name="CG" sheetId="5" r:id="rId1"/>
    <sheet name="Planning" sheetId="6" r:id="rId2"/>
  </sheets>
  <definedNames>
    <definedName name="DonnéesExternes_1" localSheetId="1" hidden="1">Planning!$A$4:$C$42</definedName>
  </definedName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4" i="5" l="1"/>
  <c r="AA14" i="5"/>
  <c r="R15" i="5" l="1"/>
  <c r="AA15" i="5"/>
  <c r="G7" i="5"/>
  <c r="G3" i="5" l="1"/>
  <c r="R16" i="5" l="1"/>
  <c r="AA16" i="5"/>
  <c r="R17" i="5"/>
  <c r="AA17" i="5"/>
  <c r="R18" i="5" l="1"/>
  <c r="AA18" i="5"/>
  <c r="R19" i="5"/>
  <c r="AA19" i="5"/>
  <c r="J4" i="5" l="1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AA20" i="5"/>
  <c r="AA21" i="5"/>
  <c r="AA22" i="5"/>
  <c r="AA23" i="5"/>
  <c r="AA24" i="5"/>
  <c r="AA25" i="5"/>
  <c r="Q5" i="5" l="1"/>
  <c r="Q2" i="5" l="1"/>
  <c r="L8" i="5"/>
  <c r="N5" i="5"/>
  <c r="N2" i="5"/>
  <c r="L5" i="5"/>
  <c r="L11" i="5" l="1"/>
  <c r="G5" i="5" l="1"/>
  <c r="L2" i="5" l="1"/>
  <c r="G10" i="5" l="1"/>
  <c r="D6" i="5"/>
  <c r="J10" i="5"/>
  <c r="J9" i="5"/>
  <c r="J8" i="5"/>
  <c r="J3" i="5"/>
  <c r="J2" i="5"/>
  <c r="G9" i="5"/>
  <c r="G8" i="5"/>
  <c r="G6" i="5"/>
  <c r="G4" i="5"/>
  <c r="G2" i="5"/>
  <c r="J5" i="5" l="1"/>
  <c r="J11" i="5"/>
  <c r="G11" i="5"/>
  <c r="D5" i="5" l="1"/>
  <c r="D4" i="5"/>
  <c r="D3" i="5"/>
  <c r="D2" i="5"/>
  <c r="D7" i="5" l="1"/>
  <c r="AA26" i="5"/>
  <c r="AA27" i="5" l="1"/>
  <c r="AA28" i="5"/>
  <c r="AA29" i="5" l="1"/>
  <c r="AA30" i="5" l="1"/>
  <c r="AA31" i="5"/>
  <c r="AA32" i="5" l="1"/>
  <c r="AA33" i="5"/>
  <c r="AA34" i="5" l="1"/>
  <c r="AA35" i="5"/>
  <c r="AA36" i="5" l="1"/>
  <c r="AA37" i="5" l="1"/>
  <c r="AA38" i="5" l="1"/>
  <c r="AA39" i="5" l="1"/>
  <c r="AA40" i="5" l="1"/>
  <c r="AA41" i="5" l="1"/>
  <c r="AA42" i="5" l="1"/>
  <c r="AA43" i="5"/>
  <c r="AA44" i="5"/>
  <c r="AA45" i="5" l="1"/>
  <c r="AA46" i="5"/>
  <c r="AA47" i="5"/>
  <c r="AA48" i="5"/>
  <c r="AA49" i="5"/>
  <c r="AA50" i="5" l="1"/>
  <c r="AA51" i="5" l="1"/>
  <c r="N8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34BF36-3851-4E7D-A724-2D19D13AA2B3}" keepAlive="1" name="Requête - Tableau1" description="Connexion à la requête « Tableau1 » dans le classeur." type="5" refreshedVersion="6" background="1" refreshOnLoa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<sst xmlns="http://schemas.openxmlformats.org/spreadsheetml/2006/main" count="266" uniqueCount="114">
  <si>
    <t>Entreprise</t>
  </si>
  <si>
    <t xml:space="preserve">Noms </t>
  </si>
  <si>
    <t>Adresse</t>
  </si>
  <si>
    <t>Telephone</t>
  </si>
  <si>
    <t>Adresse mail</t>
  </si>
  <si>
    <t>Origine du contact</t>
  </si>
  <si>
    <t>Premier RDV obtenu</t>
  </si>
  <si>
    <t>Oui</t>
  </si>
  <si>
    <t>Non</t>
  </si>
  <si>
    <t>Commentaire</t>
  </si>
  <si>
    <t>Etat</t>
  </si>
  <si>
    <t>En cours</t>
  </si>
  <si>
    <t>Stand by</t>
  </si>
  <si>
    <t>Abandon</t>
  </si>
  <si>
    <t>Montant à la signature</t>
  </si>
  <si>
    <t>% Marge brute</t>
  </si>
  <si>
    <t>Mailing</t>
  </si>
  <si>
    <t>LP</t>
  </si>
  <si>
    <t>Effectif</t>
  </si>
  <si>
    <t>Marge brute</t>
  </si>
  <si>
    <t>Nb AVP</t>
  </si>
  <si>
    <t>Date du rappel</t>
  </si>
  <si>
    <t>Date</t>
  </si>
  <si>
    <t>Signé</t>
  </si>
  <si>
    <t>Code APE</t>
  </si>
  <si>
    <t>CA</t>
  </si>
  <si>
    <t>Resultat</t>
  </si>
  <si>
    <t>EBE</t>
  </si>
  <si>
    <t>Projet</t>
  </si>
  <si>
    <t>Nb RDV</t>
  </si>
  <si>
    <t>Volume horaire</t>
  </si>
  <si>
    <t>Réseau</t>
  </si>
  <si>
    <t>Site SV</t>
  </si>
  <si>
    <t>Tel</t>
  </si>
  <si>
    <t>Mail</t>
  </si>
  <si>
    <t>Montant du 1er estimation</t>
  </si>
  <si>
    <t>N° affaire</t>
  </si>
  <si>
    <t>Jack</t>
  </si>
  <si>
    <t>Mickey</t>
  </si>
  <si>
    <t>Mini</t>
  </si>
  <si>
    <t>Donald</t>
  </si>
  <si>
    <t>Puto</t>
  </si>
  <si>
    <t>AA</t>
  </si>
  <si>
    <t>BB</t>
  </si>
  <si>
    <t>CC</t>
  </si>
  <si>
    <t>DD</t>
  </si>
  <si>
    <t>EE</t>
  </si>
  <si>
    <t>FF</t>
  </si>
  <si>
    <t>HH</t>
  </si>
  <si>
    <t>II</t>
  </si>
  <si>
    <t>Mcdo</t>
  </si>
  <si>
    <t>Lidl</t>
  </si>
  <si>
    <t>MM</t>
  </si>
  <si>
    <t>UU</t>
  </si>
  <si>
    <t>WW</t>
  </si>
  <si>
    <t>fsdfdf</t>
  </si>
  <si>
    <t>ezfzef</t>
  </si>
  <si>
    <t>zzfzf</t>
  </si>
  <si>
    <t>zefzef</t>
  </si>
  <si>
    <t>ddff</t>
  </si>
  <si>
    <t>cool</t>
  </si>
  <si>
    <t>pas cool</t>
  </si>
  <si>
    <t>top</t>
  </si>
  <si>
    <t>riche</t>
  </si>
  <si>
    <t>pauvre</t>
  </si>
  <si>
    <t>copain</t>
  </si>
  <si>
    <t>rod</t>
  </si>
  <si>
    <t>mid</t>
  </si>
  <si>
    <t>ff</t>
  </si>
  <si>
    <t>fdf</t>
  </si>
  <si>
    <t>efe</t>
  </si>
  <si>
    <t>fe</t>
  </si>
  <si>
    <t>m</t>
  </si>
  <si>
    <t>Total</t>
  </si>
  <si>
    <t>boby</t>
  </si>
  <si>
    <t>sdsqsqqs</t>
  </si>
  <si>
    <t>rggsgd</t>
  </si>
  <si>
    <t>Nb</t>
  </si>
  <si>
    <t>Rendez-vous obtenu par mailing</t>
  </si>
  <si>
    <t>En attente</t>
  </si>
  <si>
    <t>Délais de réponse</t>
  </si>
  <si>
    <t>Vide</t>
  </si>
  <si>
    <t>Délais de réponse moyen</t>
  </si>
  <si>
    <t>Montant moyen du 1er chiffrage</t>
  </si>
  <si>
    <t>Nombre moyen d'AVP</t>
  </si>
  <si>
    <t>Montant moyen à la signature</t>
  </si>
  <si>
    <t>% moyen de MB</t>
  </si>
  <si>
    <t>Nb moyen de RDV affaires signés</t>
  </si>
  <si>
    <t>Rendez -vous obtenu (global)</t>
  </si>
  <si>
    <t>Somme marge brute générer</t>
  </si>
  <si>
    <t>Delta 1er chiffrage et signature (%)</t>
  </si>
  <si>
    <t>Nb moyen de RDV (global)</t>
  </si>
  <si>
    <t>jiojoin</t>
  </si>
  <si>
    <t>yiuiuobouihoi</t>
  </si>
  <si>
    <t>tdtyyt</t>
  </si>
  <si>
    <t>giygigiu</t>
  </si>
  <si>
    <t>giugouggohoph</t>
  </si>
  <si>
    <t>Date de signature</t>
  </si>
  <si>
    <t>Semaine 1</t>
  </si>
  <si>
    <t>Semaine 2</t>
  </si>
  <si>
    <t>Semaine 3</t>
  </si>
  <si>
    <t>Semaine 4</t>
  </si>
  <si>
    <t>Semaine 5</t>
  </si>
  <si>
    <t>Semaine 6</t>
  </si>
  <si>
    <t>gsgds</t>
  </si>
  <si>
    <t>szs</t>
  </si>
  <si>
    <t>iuybib</t>
  </si>
  <si>
    <t>uhç</t>
  </si>
  <si>
    <t>logo</t>
  </si>
  <si>
    <t>Site TC</t>
  </si>
  <si>
    <t>Geotruc</t>
  </si>
  <si>
    <t>hhdfhhef</t>
  </si>
  <si>
    <t>Semaine 7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</si>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</sst>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d/m/yy\ h:mm;@"/>
    <numFmt numFmtId="166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3" fontId="0" fillId="0" borderId="7" xfId="0" applyNumberFormat="1" applyBorder="1" applyAlignment="1">
      <alignment horizontal="center" vertical="center"/>
    </xf>
    <xf numFmtId="10" fontId="0" fillId="0" borderId="7" xfId="0" applyNumberFormat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5" fontId="0" fillId="2" borderId="8" xfId="0" applyNumberFormat="1" applyFill="1" applyBorder="1" applyAlignment="1">
      <alignment horizontal="center" vertical="center"/>
    </xf>
    <xf numFmtId="3" fontId="0" fillId="2" borderId="8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3" fontId="2" fillId="2" borderId="4" xfId="0" applyNumberFormat="1" applyFont="1" applyFill="1" applyBorder="1" applyAlignment="1">
      <alignment horizontal="center" vertical="center"/>
    </xf>
    <xf numFmtId="14" fontId="2" fillId="2" borderId="4" xfId="0" applyNumberFormat="1" applyFont="1" applyFill="1" applyBorder="1" applyAlignment="1">
      <alignment horizontal="center" vertical="center"/>
    </xf>
    <xf numFmtId="10" fontId="2" fillId="2" borderId="4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0" fontId="2" fillId="2" borderId="1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0" fontId="2" fillId="0" borderId="1" xfId="0" applyNumberFormat="1" applyFont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4" fontId="0" fillId="2" borderId="18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3" fontId="2" fillId="0" borderId="1" xfId="0" applyNumberFormat="1" applyFont="1" applyFill="1" applyBorder="1" applyAlignment="1">
      <alignment horizontal="center" vertical="center"/>
    </xf>
    <xf numFmtId="10" fontId="2" fillId="0" borderId="1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4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\ &quot;€&quot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5" formatCode="d/m/yy\ h:m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5" formatCode="d/m/yy\ h:m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5" formatCode="d/m/yy\ h:m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8</xdr:row>
          <xdr:rowOff>142875</xdr:rowOff>
        </xdr:from>
        <xdr:to>
          <xdr:col>1</xdr:col>
          <xdr:colOff>600075</xdr:colOff>
          <xdr:row>10</xdr:row>
          <xdr:rowOff>76200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Contact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growShrinkType="insertClear" connectionId="1" xr16:uid="{A912DAFB-3546-4E39-AA40-7EC0D6B259D1}" autoFormatId="16" applyNumberFormats="0" applyBorderFormats="0" applyFontFormats="0" applyPatternFormats="0" applyAlignmentFormats="0" applyWidthHeightFormats="0">
  <queryTableRefresh nextId="11" unboundColumnsRight="7">
    <queryTableFields count="10">
      <queryTableField id="1" name="N° affaire" tableColumnId="1"/>
      <queryTableField id="2" name="Etat" tableColumnId="2"/>
      <queryTableField id="3" name="Entreprise" tableColumnId="3"/>
      <queryTableField id="4" dataBound="0" tableColumnId="4"/>
      <queryTableField id="5" dataBound="0" tableColumnId="5"/>
      <queryTableField id="6" dataBound="0" tableColumnId="6"/>
      <queryTableField id="7" dataBound="0" tableColumnId="7"/>
      <queryTableField id="8" dataBound="0" tableColumnId="8"/>
      <queryTableField id="9" dataBound="0" tableColumnId="9"/>
      <queryTableField id="10" dataBound="0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13FD1D-C0A3-45A6-A788-8406C6E0783A}" name="Tableau1" displayName="Tableau1" ref="A13:AA51" totalsRowShown="0" headerRowDxfId="42" dataDxfId="40" headerRowBorderDxfId="41" tableBorderDxfId="39">
  <autoFilter ref="A13:AA51" xr:uid="{1996F7AB-C8B8-4694-9011-452E08391928}"/>
  <tableColumns count="27">
    <tableColumn id="1" xr3:uid="{B35F3D52-B94B-4B8B-9D7C-BABBA0EC9B8F}" name="N° affaire" dataDxfId="38"/>
    <tableColumn id="6" xr3:uid="{125A32A6-D80C-43F5-B2C5-A158F33926A9}" name="Etat" dataDxfId="37"/>
    <tableColumn id="7" xr3:uid="{C8833C74-70B6-4DA6-8E98-37AF98B0ADE9}" name="Entreprise" dataDxfId="36"/>
    <tableColumn id="8" xr3:uid="{750ADFD5-3CDD-47C6-98CD-8E3877799DEB}" name="Noms " dataDxfId="35"/>
    <tableColumn id="9" xr3:uid="{1AA53EF4-FC2C-4C6C-A771-238E8741836D}" name="Adresse" dataDxfId="34"/>
    <tableColumn id="10" xr3:uid="{81DD92B2-6E1F-4EC9-9B8E-AC54A5FF49F7}" name="Telephone" dataDxfId="33"/>
    <tableColumn id="11" xr3:uid="{ABA1E98E-D44F-4600-8A33-4E602FEBCF4C}" name="Adresse mail" dataDxfId="32"/>
    <tableColumn id="12" xr3:uid="{C0E0D0FA-A823-4C2E-A2E7-65BEF3B6FFE4}" name="Date" dataDxfId="31"/>
    <tableColumn id="13" xr3:uid="{E62851CB-B312-48C3-B5EF-959397B234CF}" name="Origine du contact" dataDxfId="30"/>
    <tableColumn id="14" xr3:uid="{117D8F7D-B34B-4CE0-B29C-88ACA07AC309}" name="Code APE" dataDxfId="29"/>
    <tableColumn id="15" xr3:uid="{FBDBE807-50A8-4356-ABD3-BACF6934B42E}" name="CA" dataDxfId="28"/>
    <tableColumn id="16" xr3:uid="{036DBB6D-0088-432D-A75F-BB7263C7325B}" name="Resultat" dataDxfId="27"/>
    <tableColumn id="17" xr3:uid="{F0C38E97-6683-49C5-8B25-BAB86D9F0C5E}" name="Effectif" dataDxfId="26"/>
    <tableColumn id="18" xr3:uid="{8C539927-B56F-4C6A-BEB3-BED257AF4023}" name="EBE" dataDxfId="25"/>
    <tableColumn id="19" xr3:uid="{ED641EDA-871A-44FC-BF0F-7AB057259EBF}" name="Projet" dataDxfId="24"/>
    <tableColumn id="28" xr3:uid="{1EF94FC6-F65E-4B8C-A5AE-F59036E33B3D}" name="Premier RDV obtenu" dataDxfId="23"/>
    <tableColumn id="31" xr3:uid="{27648485-B443-46A8-AB5D-C4F3A7598A0A}" name="Date du rappel" dataDxfId="22"/>
    <tableColumn id="2" xr3:uid="{422859E6-5B3D-4CA9-8137-6F54128044E1}" name="Délais de réponse" dataDxfId="21">
      <calculatedColumnFormula>IF(Tableau1[[#This Row],[Date du rappel]]="","",Tableau1[[#This Row],[Date du rappel]]-Tableau1[[#This Row],[Date]])</calculatedColumnFormula>
    </tableColumn>
    <tableColumn id="32" xr3:uid="{34523829-3FFD-4252-991D-DBDE6C34605F}" name="Commentaire" dataDxfId="20"/>
    <tableColumn id="33" xr3:uid="{8BD53C3C-B7DF-49A3-9AEB-CB2F04B0E576}" name="Montant du 1er estimation" dataDxfId="19"/>
    <tableColumn id="34" xr3:uid="{BD13E1E5-93C1-4839-A4CC-91DC0872175B}" name="Nb AVP" dataDxfId="18"/>
    <tableColumn id="35" xr3:uid="{6D5F6B73-4937-4114-875B-3ADD7656D332}" name="Nb RDV" dataDxfId="17"/>
    <tableColumn id="36" xr3:uid="{2393B563-16C7-4442-9E27-0AAA8155B097}" name="Volume horaire" dataDxfId="16"/>
    <tableColumn id="37" xr3:uid="{90861715-3D60-4E05-8598-8E4ABD37833F}" name="Montant à la signature" dataDxfId="15"/>
    <tableColumn id="3" xr3:uid="{905B8678-5F5C-4C34-A5C8-EC437A310F5A}" name="Date de signature" dataDxfId="14"/>
    <tableColumn id="38" xr3:uid="{172E6740-470D-496B-9139-2347B5811898}" name="% Marge brute" dataDxfId="13"/>
    <tableColumn id="39" xr3:uid="{AA141756-D7D7-43A0-BD8D-18E723657D10}" name="Marge brute" dataDxfId="12">
      <calculatedColumnFormula>X14*Z14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BCF1D1-7BD9-49F6-B98A-086D7C101461}" name="Tableau1_2" displayName="Tableau1_2" ref="A4:J42" tableType="queryTable" totalsRowShown="0" headerRowDxfId="10" dataDxfId="11">
  <autoFilter ref="A4:J42" xr:uid="{A8FC2FDE-64A4-4097-8880-986F2F65E700}"/>
  <tableColumns count="10">
    <tableColumn id="1" xr3:uid="{FEB43CA5-EAE8-45E9-8219-E12E2F16D976}" uniqueName="1" name="N° affaire" queryTableFieldId="1" dataDxfId="9"/>
    <tableColumn id="2" xr3:uid="{BD6FE49D-2688-41AC-BF63-E233CC90F7A3}" uniqueName="2" name="Etat" queryTableFieldId="2" dataDxfId="8"/>
    <tableColumn id="3" xr3:uid="{80055350-68F6-4778-9A43-F1B5B35374DE}" uniqueName="3" name="Entreprise" queryTableFieldId="3" dataDxfId="7"/>
    <tableColumn id="4" xr3:uid="{0792CD6E-8E7D-496E-9F8E-6D7BDBBF58D4}" uniqueName="4" name="Semaine 1" queryTableFieldId="4" dataDxfId="6"/>
    <tableColumn id="5" xr3:uid="{89436BAB-6AC4-4D0A-B98F-E1AF2A2A4E3B}" uniqueName="5" name="Semaine 2" queryTableFieldId="5" dataDxfId="5"/>
    <tableColumn id="6" xr3:uid="{1F945CDE-94AF-46A3-9E72-0651483653A9}" uniqueName="6" name="Semaine 3" queryTableFieldId="6" dataDxfId="4"/>
    <tableColumn id="7" xr3:uid="{9D25BA21-DA1D-4BE4-B59E-7F21D2B55C61}" uniqueName="7" name="Semaine 4" queryTableFieldId="7" dataDxfId="3"/>
    <tableColumn id="8" xr3:uid="{B21A331C-1954-4158-8B3E-09D1D1BFF383}" uniqueName="8" name="Semaine 5" queryTableFieldId="8" dataDxfId="2"/>
    <tableColumn id="9" xr3:uid="{71556A25-DB28-4D98-A567-4AC792EA8C37}" uniqueName="9" name="Semaine 6" queryTableFieldId="9" dataDxfId="1"/>
    <tableColumn id="10" xr3:uid="{F4D4A8E8-01B9-48CE-B031-77874C0FFAD6}" uniqueName="10" name="Semaine 7" queryTableFieldId="10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60F0E0-64CA-48F7-B3A4-D04F895DC4DC}">
  <sheetPr codeName="Feuil1"/>
  <dimension ref="A1:AA51"/>
  <sheetViews>
    <sheetView tabSelected="1" zoomScale="80" zoomScaleNormal="80" workbookViewId="0">
      <pane ySplit="13" topLeftCell="A14" activePane="bottomLeft" state="frozen"/>
      <selection pane="bottomLeft" activeCell="S7" sqref="S7"/>
    </sheetView>
  </sheetViews>
  <sheetFormatPr baseColWidth="10" defaultRowHeight="15" x14ac:dyDescent="0.25"/>
  <cols>
    <col min="1" max="1" width="11.5703125" style="1" customWidth="1"/>
    <col min="2" max="2" width="11.42578125" style="1"/>
    <col min="3" max="3" width="17.5703125" style="1" customWidth="1"/>
    <col min="4" max="4" width="15" style="1" customWidth="1"/>
    <col min="5" max="5" width="9.42578125" style="1" customWidth="1"/>
    <col min="6" max="6" width="17.85546875" style="1" customWidth="1"/>
    <col min="7" max="7" width="18.85546875" style="1" customWidth="1"/>
    <col min="8" max="8" width="14.140625" style="20" customWidth="1"/>
    <col min="9" max="9" width="14.5703125" style="1" customWidth="1"/>
    <col min="10" max="10" width="18.140625" style="2" customWidth="1"/>
    <col min="11" max="11" width="13" style="2" customWidth="1"/>
    <col min="12" max="12" width="31.42578125" style="2" customWidth="1"/>
    <col min="13" max="13" width="6.140625" style="1" customWidth="1"/>
    <col min="14" max="14" width="31.42578125" style="1" customWidth="1"/>
    <col min="15" max="15" width="11.42578125" style="1"/>
    <col min="16" max="16" width="10" style="1" customWidth="1"/>
    <col min="17" max="17" width="17.42578125" style="20" customWidth="1"/>
    <col min="18" max="18" width="18" style="20" customWidth="1"/>
    <col min="19" max="19" width="18.140625" style="3" customWidth="1"/>
    <col min="20" max="20" width="13.85546875" style="3" customWidth="1"/>
    <col min="21" max="21" width="6.85546875" style="3" customWidth="1"/>
    <col min="22" max="22" width="9.140625" style="2" customWidth="1"/>
    <col min="23" max="23" width="8.7109375" style="4" customWidth="1"/>
    <col min="24" max="24" width="14.140625" style="2" customWidth="1"/>
    <col min="25" max="25" width="14.140625" style="44" customWidth="1"/>
    <col min="26" max="16384" width="11.42578125" style="1"/>
  </cols>
  <sheetData>
    <row r="1" spans="1:27" ht="15.75" thickBot="1" x14ac:dyDescent="0.3">
      <c r="C1" s="39" t="s">
        <v>10</v>
      </c>
      <c r="D1" s="40" t="s">
        <v>77</v>
      </c>
      <c r="F1" s="39" t="s">
        <v>5</v>
      </c>
      <c r="G1" s="40" t="s">
        <v>77</v>
      </c>
      <c r="H1" s="1"/>
      <c r="I1" s="66" t="s">
        <v>78</v>
      </c>
      <c r="J1" s="67"/>
      <c r="K1" s="1"/>
      <c r="L1" s="42" t="s">
        <v>82</v>
      </c>
      <c r="M1" s="2"/>
      <c r="N1" s="42" t="s">
        <v>84</v>
      </c>
      <c r="Q1" s="42" t="s">
        <v>86</v>
      </c>
    </row>
    <row r="2" spans="1:27" ht="15.75" thickBot="1" x14ac:dyDescent="0.3">
      <c r="C2" s="27" t="s">
        <v>11</v>
      </c>
      <c r="D2" s="23">
        <f>COUNTIF(Tableau1[[#All],[Etat]],"En cours")</f>
        <v>16</v>
      </c>
      <c r="F2" s="27" t="s">
        <v>17</v>
      </c>
      <c r="G2" s="23">
        <f>COUNTIF(Tableau1[[#All],[Origine du contact]],"LP")</f>
        <v>2</v>
      </c>
      <c r="H2" s="1"/>
      <c r="I2" s="30" t="s">
        <v>7</v>
      </c>
      <c r="J2" s="30">
        <f>COUNTIFS(Tableau1[[#All],[Premier RDV obtenu]],"Oui",Tableau1[[#All],[Origine du contact]],"Mailing")</f>
        <v>3</v>
      </c>
      <c r="K2" s="1"/>
      <c r="L2" s="35">
        <f>AVERAGE(Tableau1[[#All],[Délais de réponse]])</f>
        <v>1.6145826903286635</v>
      </c>
      <c r="M2" s="2"/>
      <c r="N2" s="37">
        <f>AVERAGE(Tableau1[Nb AVP])</f>
        <v>7.666666666666667</v>
      </c>
      <c r="Q2" s="36">
        <f>AVERAGE(Tableau1[% Marge brute])</f>
        <v>0.13500000000000001</v>
      </c>
    </row>
    <row r="3" spans="1:27" ht="15.75" thickBot="1" x14ac:dyDescent="0.3">
      <c r="C3" s="28" t="s">
        <v>12</v>
      </c>
      <c r="D3" s="24">
        <f>COUNTIF(Tableau1[[#All],[Etat]],"Stand by")</f>
        <v>6</v>
      </c>
      <c r="F3" s="28" t="s">
        <v>109</v>
      </c>
      <c r="G3" s="24">
        <f>COUNTIF(Tableau1[[#All],[Origine du contact]],"Site TC")</f>
        <v>1</v>
      </c>
      <c r="H3" s="1"/>
      <c r="I3" s="28" t="s">
        <v>8</v>
      </c>
      <c r="J3" s="28">
        <f>COUNTIFS(Tableau1[[#All],[Premier RDV obtenu]],"Non",Tableau1[[#All],[Origine du contact]],"Mailing")</f>
        <v>3</v>
      </c>
      <c r="K3" s="1"/>
      <c r="L3" s="1"/>
      <c r="M3" s="2"/>
      <c r="N3" s="20"/>
      <c r="Q3" s="3"/>
    </row>
    <row r="4" spans="1:27" ht="15.75" thickBot="1" x14ac:dyDescent="0.3">
      <c r="A4" s="1" t="s">
        <v>108</v>
      </c>
      <c r="C4" s="28" t="s">
        <v>13</v>
      </c>
      <c r="D4" s="24">
        <f>COUNTIF(Tableau1[[#All],[Etat]],"Abandon")</f>
        <v>5</v>
      </c>
      <c r="F4" s="28" t="s">
        <v>32</v>
      </c>
      <c r="G4" s="24">
        <f>COUNTIF(Tableau1[[#All],[Origine du contact]],"Site SV")</f>
        <v>5</v>
      </c>
      <c r="H4" s="1"/>
      <c r="I4" s="29" t="s">
        <v>79</v>
      </c>
      <c r="J4" s="29">
        <f>COUNTIFS(Tableau1[[#All],[Origine du contact]],"Mailing",Tableau1[[#All],[Premier RDV obtenu]],"")</f>
        <v>2</v>
      </c>
      <c r="K4" s="1"/>
      <c r="L4" s="39" t="s">
        <v>83</v>
      </c>
      <c r="M4" s="2"/>
      <c r="N4" s="42" t="s">
        <v>91</v>
      </c>
      <c r="Q4" s="43" t="s">
        <v>87</v>
      </c>
    </row>
    <row r="5" spans="1:27" ht="15.75" thickBot="1" x14ac:dyDescent="0.3">
      <c r="C5" s="28" t="s">
        <v>23</v>
      </c>
      <c r="D5" s="24">
        <f>COUNTIF(Tableau1[[#All],[Etat]],"Signé")</f>
        <v>2</v>
      </c>
      <c r="F5" s="28" t="s">
        <v>33</v>
      </c>
      <c r="G5" s="24">
        <f>COUNTIF(Tableau1[[#All],[Origine du contact]],"Tel")</f>
        <v>4</v>
      </c>
      <c r="H5" s="1"/>
      <c r="I5" s="39" t="s">
        <v>73</v>
      </c>
      <c r="J5" s="26">
        <f>SUM(J2:J4)</f>
        <v>8</v>
      </c>
      <c r="K5" s="1"/>
      <c r="L5" s="21">
        <f>AVERAGE(Tableau1[Montant du 1er estimation])</f>
        <v>1377603.5</v>
      </c>
      <c r="M5" s="2"/>
      <c r="N5" s="37">
        <f>AVERAGE(Tableau1[Nb RDV])</f>
        <v>6.5</v>
      </c>
      <c r="Q5" s="38">
        <f>AVERAGEIFS(Tableau1[Nb RDV],Tableau1[Etat],"Signé")</f>
        <v>7</v>
      </c>
    </row>
    <row r="6" spans="1:27" ht="15.75" thickBot="1" x14ac:dyDescent="0.3">
      <c r="C6" s="29" t="s">
        <v>81</v>
      </c>
      <c r="D6" s="25">
        <f>COUNTIF(Tableau1[[#All],[Etat]],"")</f>
        <v>9</v>
      </c>
      <c r="F6" s="28" t="s">
        <v>34</v>
      </c>
      <c r="G6" s="24">
        <f>COUNTIF(Tableau1[[#All],[Origine du contact]],"Mail")</f>
        <v>0</v>
      </c>
      <c r="H6" s="1"/>
      <c r="J6" s="20"/>
      <c r="K6" s="1"/>
      <c r="L6" s="1"/>
      <c r="M6" s="2"/>
      <c r="N6" s="20"/>
    </row>
    <row r="7" spans="1:27" ht="15.75" thickBot="1" x14ac:dyDescent="0.3">
      <c r="C7" s="39" t="s">
        <v>73</v>
      </c>
      <c r="D7" s="22">
        <f>SUM(D2:D6)</f>
        <v>38</v>
      </c>
      <c r="F7" s="28" t="s">
        <v>110</v>
      </c>
      <c r="G7" s="24">
        <f>COUNTIF(Tableau1[[#All],[Origine du contact]],"Geotruc")</f>
        <v>3</v>
      </c>
      <c r="H7" s="1"/>
      <c r="I7" s="68" t="s">
        <v>88</v>
      </c>
      <c r="J7" s="69"/>
      <c r="K7" s="1"/>
      <c r="L7" s="39" t="s">
        <v>85</v>
      </c>
      <c r="M7" s="2"/>
      <c r="N7" s="43" t="s">
        <v>89</v>
      </c>
    </row>
    <row r="8" spans="1:27" ht="15.75" thickBot="1" x14ac:dyDescent="0.3">
      <c r="F8" s="28" t="s">
        <v>16</v>
      </c>
      <c r="G8" s="24">
        <f>COUNTIF(Tableau1[[#All],[Origine du contact]],"Mailing")</f>
        <v>8</v>
      </c>
      <c r="H8" s="1"/>
      <c r="I8" s="32" t="s">
        <v>7</v>
      </c>
      <c r="J8" s="30">
        <f>COUNTIF(Tableau1[[#All],[Premier RDV obtenu]],"Oui")</f>
        <v>9</v>
      </c>
      <c r="K8" s="1"/>
      <c r="L8" s="21">
        <f>AVERAGE(Tableau1[Montant à la signature])</f>
        <v>1345096.6666666667</v>
      </c>
      <c r="M8" s="2"/>
      <c r="N8" s="21">
        <f>SUM(Tableau1[Marge brute])</f>
        <v>1049268</v>
      </c>
    </row>
    <row r="9" spans="1:27" ht="15.75" thickBot="1" x14ac:dyDescent="0.3">
      <c r="F9" s="28" t="s">
        <v>31</v>
      </c>
      <c r="G9" s="24">
        <f>COUNTIF(Tableau1[[#All],[Origine du contact]],"Réseau")</f>
        <v>2</v>
      </c>
      <c r="H9" s="1"/>
      <c r="I9" s="33" t="s">
        <v>8</v>
      </c>
      <c r="J9" s="28">
        <f>COUNTIF(Tableau1[[#All],[Premier RDV obtenu]],"Non")</f>
        <v>9</v>
      </c>
      <c r="K9" s="1"/>
      <c r="L9" s="1"/>
      <c r="M9" s="2"/>
      <c r="N9" s="2"/>
    </row>
    <row r="10" spans="1:27" ht="15.75" thickBot="1" x14ac:dyDescent="0.3">
      <c r="F10" s="29" t="s">
        <v>81</v>
      </c>
      <c r="G10" s="25">
        <f>COUNTIF(Tableau1[[#All],[Origine du contact]],"")</f>
        <v>13</v>
      </c>
      <c r="H10" s="1"/>
      <c r="I10" s="34" t="s">
        <v>79</v>
      </c>
      <c r="J10" s="31">
        <f>COUNTIF(Tableau1[[#All],[Premier RDV obtenu]],"")</f>
        <v>20</v>
      </c>
      <c r="K10" s="1"/>
      <c r="L10" s="39" t="s">
        <v>90</v>
      </c>
      <c r="M10" s="2"/>
      <c r="N10" s="2"/>
    </row>
    <row r="11" spans="1:27" ht="15.75" thickBot="1" x14ac:dyDescent="0.3">
      <c r="F11" s="39" t="s">
        <v>73</v>
      </c>
      <c r="G11" s="22">
        <f>SUM(G2:G10)</f>
        <v>38</v>
      </c>
      <c r="H11" s="1"/>
      <c r="I11" s="41" t="s">
        <v>73</v>
      </c>
      <c r="J11" s="22">
        <f>SUM(J8:J10)</f>
        <v>38</v>
      </c>
      <c r="K11" s="1"/>
      <c r="L11" s="36">
        <f>L8/L5</f>
        <v>0.97640334585870803</v>
      </c>
      <c r="M11" s="2"/>
      <c r="N11" s="2"/>
    </row>
    <row r="13" spans="1:27" s="56" customFormat="1" ht="15.75" thickBot="1" x14ac:dyDescent="0.3">
      <c r="A13" s="48" t="s">
        <v>36</v>
      </c>
      <c r="B13" s="49" t="s">
        <v>10</v>
      </c>
      <c r="C13" s="49" t="s">
        <v>0</v>
      </c>
      <c r="D13" s="49" t="s">
        <v>1</v>
      </c>
      <c r="E13" s="49" t="s">
        <v>2</v>
      </c>
      <c r="F13" s="49" t="s">
        <v>3</v>
      </c>
      <c r="G13" s="49" t="s">
        <v>4</v>
      </c>
      <c r="H13" s="50" t="s">
        <v>22</v>
      </c>
      <c r="I13" s="49" t="s">
        <v>5</v>
      </c>
      <c r="J13" s="51" t="s">
        <v>24</v>
      </c>
      <c r="K13" s="51" t="s">
        <v>25</v>
      </c>
      <c r="L13" s="51" t="s">
        <v>26</v>
      </c>
      <c r="M13" s="49" t="s">
        <v>18</v>
      </c>
      <c r="N13" s="49" t="s">
        <v>27</v>
      </c>
      <c r="O13" s="49" t="s">
        <v>28</v>
      </c>
      <c r="P13" s="49" t="s">
        <v>6</v>
      </c>
      <c r="Q13" s="50" t="s">
        <v>21</v>
      </c>
      <c r="R13" s="50" t="s">
        <v>80</v>
      </c>
      <c r="S13" s="49" t="s">
        <v>9</v>
      </c>
      <c r="T13" s="51" t="s">
        <v>35</v>
      </c>
      <c r="U13" s="52" t="s">
        <v>20</v>
      </c>
      <c r="V13" s="52" t="s">
        <v>29</v>
      </c>
      <c r="W13" s="52" t="s">
        <v>30</v>
      </c>
      <c r="X13" s="51" t="s">
        <v>14</v>
      </c>
      <c r="Y13" s="53" t="s">
        <v>97</v>
      </c>
      <c r="Z13" s="54" t="s">
        <v>15</v>
      </c>
      <c r="AA13" s="55" t="s">
        <v>19</v>
      </c>
    </row>
    <row r="14" spans="1:27" s="78" customFormat="1" x14ac:dyDescent="0.25">
      <c r="A14" s="71"/>
      <c r="B14" s="72"/>
      <c r="C14" s="73" t="s">
        <v>113</v>
      </c>
      <c r="D14" s="73"/>
      <c r="E14" s="73"/>
      <c r="F14" s="73"/>
      <c r="G14" s="73"/>
      <c r="H14" s="57"/>
      <c r="I14" s="73"/>
      <c r="J14" s="74"/>
      <c r="K14" s="74"/>
      <c r="L14" s="74"/>
      <c r="M14" s="73"/>
      <c r="N14" s="73"/>
      <c r="O14" s="75"/>
      <c r="P14" s="73"/>
      <c r="Q14" s="57"/>
      <c r="R14" s="57" t="str">
        <f>IF(Tableau1[[#This Row],[Date du rappel]]="","",Tableau1[[#This Row],[Date du rappel]]-Tableau1[[#This Row],[Date]])</f>
        <v/>
      </c>
      <c r="S14" s="73"/>
      <c r="T14" s="74"/>
      <c r="U14" s="76"/>
      <c r="V14" s="76"/>
      <c r="W14" s="76"/>
      <c r="X14" s="74"/>
      <c r="Y14" s="64"/>
      <c r="Z14" s="77"/>
      <c r="AA14" s="74">
        <f>X14*Z14</f>
        <v>0</v>
      </c>
    </row>
    <row r="15" spans="1:27" x14ac:dyDescent="0.25">
      <c r="A15" s="59"/>
      <c r="B15" s="60"/>
      <c r="C15" s="61" t="s">
        <v>111</v>
      </c>
      <c r="D15" s="61"/>
      <c r="E15" s="61"/>
      <c r="F15" s="61"/>
      <c r="G15" s="61"/>
      <c r="H15" s="57"/>
      <c r="I15" s="61"/>
      <c r="J15" s="62"/>
      <c r="K15" s="62"/>
      <c r="L15" s="62"/>
      <c r="M15" s="61"/>
      <c r="N15" s="61"/>
      <c r="O15" s="61"/>
      <c r="P15" s="61"/>
      <c r="Q15" s="57"/>
      <c r="R15" s="57" t="str">
        <f>IF(Tableau1[[#This Row],[Date du rappel]]="","",Tableau1[[#This Row],[Date du rappel]]-Tableau1[[#This Row],[Date]])</f>
        <v/>
      </c>
      <c r="S15" s="61"/>
      <c r="T15" s="62"/>
      <c r="U15" s="63"/>
      <c r="V15" s="63"/>
      <c r="W15" s="63"/>
      <c r="X15" s="62"/>
      <c r="Y15" s="64"/>
      <c r="Z15" s="65"/>
      <c r="AA15" s="62">
        <f>X15*Z15</f>
        <v>0</v>
      </c>
    </row>
    <row r="16" spans="1:27" x14ac:dyDescent="0.25">
      <c r="A16" s="59"/>
      <c r="B16" s="60"/>
      <c r="C16" s="61" t="s">
        <v>107</v>
      </c>
      <c r="D16" s="61"/>
      <c r="E16" s="61"/>
      <c r="F16" s="61"/>
      <c r="G16" s="61"/>
      <c r="H16" s="57"/>
      <c r="I16" s="61"/>
      <c r="J16" s="62"/>
      <c r="K16" s="62"/>
      <c r="L16" s="62"/>
      <c r="M16" s="61"/>
      <c r="N16" s="61"/>
      <c r="O16" s="61"/>
      <c r="P16" s="61"/>
      <c r="Q16" s="57"/>
      <c r="R16" s="57" t="str">
        <f>IF(Tableau1[[#This Row],[Date du rappel]]="","",Tableau1[[#This Row],[Date du rappel]]-Tableau1[[#This Row],[Date]])</f>
        <v/>
      </c>
      <c r="S16" s="61"/>
      <c r="T16" s="62"/>
      <c r="U16" s="63"/>
      <c r="V16" s="63"/>
      <c r="W16" s="63"/>
      <c r="X16" s="62"/>
      <c r="Y16" s="58"/>
      <c r="Z16" s="9"/>
      <c r="AA16" s="62">
        <f>X16*Z16</f>
        <v>0</v>
      </c>
    </row>
    <row r="17" spans="1:27" x14ac:dyDescent="0.25">
      <c r="A17" s="11"/>
      <c r="B17" s="6"/>
      <c r="C17" s="5" t="s">
        <v>106</v>
      </c>
      <c r="D17" s="5"/>
      <c r="E17" s="5"/>
      <c r="F17" s="5"/>
      <c r="G17" s="5"/>
      <c r="H17" s="18"/>
      <c r="I17" s="5"/>
      <c r="J17" s="7"/>
      <c r="K17" s="7"/>
      <c r="L17" s="7"/>
      <c r="M17" s="5"/>
      <c r="N17" s="5"/>
      <c r="O17" s="5"/>
      <c r="P17" s="5"/>
      <c r="Q17" s="18"/>
      <c r="R17" s="18" t="str">
        <f>IF(Tableau1[[#This Row],[Date du rappel]]="","",Tableau1[[#This Row],[Date du rappel]]-Tableau1[[#This Row],[Date]])</f>
        <v/>
      </c>
      <c r="S17" s="5"/>
      <c r="T17" s="7"/>
      <c r="U17" s="8"/>
      <c r="V17" s="8"/>
      <c r="W17" s="8"/>
      <c r="X17" s="7"/>
      <c r="Y17" s="47"/>
      <c r="Z17" s="9"/>
      <c r="AA17" s="7">
        <f>X17*Z17</f>
        <v>0</v>
      </c>
    </row>
    <row r="18" spans="1:27" x14ac:dyDescent="0.25">
      <c r="A18" s="11"/>
      <c r="B18" s="6" t="s">
        <v>12</v>
      </c>
      <c r="C18" s="5" t="s">
        <v>105</v>
      </c>
      <c r="D18" s="5"/>
      <c r="E18" s="5"/>
      <c r="F18" s="5"/>
      <c r="G18" s="5"/>
      <c r="H18" s="18">
        <v>43559.407442129632</v>
      </c>
      <c r="I18" s="5"/>
      <c r="J18" s="7"/>
      <c r="K18" s="7"/>
      <c r="L18" s="7"/>
      <c r="M18" s="5"/>
      <c r="N18" s="5"/>
      <c r="O18" s="5"/>
      <c r="P18" s="5"/>
      <c r="Q18" s="18"/>
      <c r="R18" s="18" t="str">
        <f>IF(Tableau1[[#This Row],[Date du rappel]]="","",Tableau1[[#This Row],[Date du rappel]]-Tableau1[[#This Row],[Date]])</f>
        <v/>
      </c>
      <c r="S18" s="5"/>
      <c r="T18" s="7"/>
      <c r="U18" s="8"/>
      <c r="V18" s="8"/>
      <c r="W18" s="8"/>
      <c r="X18" s="7"/>
      <c r="Y18" s="47"/>
      <c r="Z18" s="9"/>
      <c r="AA18" s="7">
        <f>X18*Z18</f>
        <v>0</v>
      </c>
    </row>
    <row r="19" spans="1:27" x14ac:dyDescent="0.25">
      <c r="A19" s="11"/>
      <c r="B19" s="6"/>
      <c r="C19" s="5" t="s">
        <v>104</v>
      </c>
      <c r="D19" s="5"/>
      <c r="E19" s="5"/>
      <c r="F19" s="5"/>
      <c r="G19" s="5"/>
      <c r="H19" s="18"/>
      <c r="I19" s="5"/>
      <c r="J19" s="7"/>
      <c r="K19" s="7"/>
      <c r="L19" s="7"/>
      <c r="M19" s="5"/>
      <c r="N19" s="5"/>
      <c r="O19" s="5"/>
      <c r="P19" s="5"/>
      <c r="Q19" s="18"/>
      <c r="R19" s="18" t="str">
        <f>IF(Tableau1[[#This Row],[Date du rappel]]="","",Tableau1[[#This Row],[Date du rappel]]-Tableau1[[#This Row],[Date]])</f>
        <v/>
      </c>
      <c r="S19" s="5"/>
      <c r="T19" s="7"/>
      <c r="U19" s="8"/>
      <c r="V19" s="8"/>
      <c r="W19" s="8"/>
      <c r="X19" s="7"/>
      <c r="Y19" s="47"/>
      <c r="Z19" s="9"/>
      <c r="AA19" s="7">
        <f>X19*Z19</f>
        <v>0</v>
      </c>
    </row>
    <row r="20" spans="1:27" x14ac:dyDescent="0.25">
      <c r="A20" s="11"/>
      <c r="B20" s="6" t="s">
        <v>11</v>
      </c>
      <c r="C20" s="5" t="s">
        <v>96</v>
      </c>
      <c r="D20" s="5"/>
      <c r="E20" s="5"/>
      <c r="F20" s="5"/>
      <c r="G20" s="5"/>
      <c r="H20" s="18">
        <v>43557.601493055554</v>
      </c>
      <c r="I20" s="5" t="s">
        <v>109</v>
      </c>
      <c r="J20" s="7"/>
      <c r="K20" s="7"/>
      <c r="L20" s="7"/>
      <c r="M20" s="5"/>
      <c r="N20" s="5"/>
      <c r="O20" s="5"/>
      <c r="P20" s="5" t="s">
        <v>7</v>
      </c>
      <c r="Q20" s="18">
        <v>43559.407557870371</v>
      </c>
      <c r="R20" s="18">
        <f>IF(Tableau1[[#This Row],[Date du rappel]]="","",Tableau1[[#This Row],[Date du rappel]]-Tableau1[[#This Row],[Date]])</f>
        <v>1.8060648148166365</v>
      </c>
      <c r="S20" s="5"/>
      <c r="T20" s="7"/>
      <c r="U20" s="8"/>
      <c r="V20" s="8"/>
      <c r="W20" s="8"/>
      <c r="X20" s="7"/>
      <c r="Y20" s="45"/>
      <c r="Z20" s="9"/>
      <c r="AA20" s="10">
        <f t="shared" ref="AA20:AA25" si="0">X20*Z20</f>
        <v>0</v>
      </c>
    </row>
    <row r="21" spans="1:27" x14ac:dyDescent="0.25">
      <c r="A21" s="11"/>
      <c r="B21" s="6" t="s">
        <v>11</v>
      </c>
      <c r="C21" s="5" t="s">
        <v>95</v>
      </c>
      <c r="D21" s="5"/>
      <c r="E21" s="5"/>
      <c r="F21" s="5"/>
      <c r="G21" s="5"/>
      <c r="H21" s="18">
        <v>43557.600856481484</v>
      </c>
      <c r="I21" s="5"/>
      <c r="J21" s="7"/>
      <c r="K21" s="7"/>
      <c r="L21" s="7"/>
      <c r="M21" s="5"/>
      <c r="N21" s="5"/>
      <c r="O21" s="5"/>
      <c r="P21" s="5"/>
      <c r="Q21" s="18"/>
      <c r="R21" s="18" t="str">
        <f>IF(Tableau1[[#This Row],[Date du rappel]]="","",Tableau1[[#This Row],[Date du rappel]]-Tableau1[[#This Row],[Date]])</f>
        <v/>
      </c>
      <c r="S21" s="5"/>
      <c r="T21" s="7"/>
      <c r="U21" s="8"/>
      <c r="V21" s="8"/>
      <c r="W21" s="8"/>
      <c r="X21" s="7"/>
      <c r="Y21" s="45">
        <v>43557.720694444448</v>
      </c>
      <c r="Z21" s="9"/>
      <c r="AA21" s="10">
        <f t="shared" si="0"/>
        <v>0</v>
      </c>
    </row>
    <row r="22" spans="1:27" x14ac:dyDescent="0.25">
      <c r="A22" s="11"/>
      <c r="B22" s="6"/>
      <c r="C22" s="5" t="s">
        <v>94</v>
      </c>
      <c r="D22" s="5"/>
      <c r="E22" s="5"/>
      <c r="F22" s="5"/>
      <c r="G22" s="5"/>
      <c r="H22" s="18"/>
      <c r="I22" s="5"/>
      <c r="J22" s="7"/>
      <c r="K22" s="7"/>
      <c r="L22" s="7"/>
      <c r="M22" s="5"/>
      <c r="N22" s="5"/>
      <c r="O22" s="5"/>
      <c r="P22" s="5"/>
      <c r="Q22" s="18"/>
      <c r="R22" s="18" t="str">
        <f>IF(Tableau1[[#This Row],[Date du rappel]]="","",Tableau1[[#This Row],[Date du rappel]]-Tableau1[[#This Row],[Date]])</f>
        <v/>
      </c>
      <c r="S22" s="5"/>
      <c r="T22" s="7"/>
      <c r="U22" s="8"/>
      <c r="V22" s="8"/>
      <c r="W22" s="8"/>
      <c r="X22" s="7"/>
      <c r="Y22" s="45">
        <v>43557.721030092594</v>
      </c>
      <c r="Z22" s="9"/>
      <c r="AA22" s="10">
        <f t="shared" si="0"/>
        <v>0</v>
      </c>
    </row>
    <row r="23" spans="1:27" x14ac:dyDescent="0.25">
      <c r="A23" s="11"/>
      <c r="B23" s="6"/>
      <c r="C23" s="5" t="s">
        <v>93</v>
      </c>
      <c r="D23" s="5"/>
      <c r="E23" s="5"/>
      <c r="F23" s="5"/>
      <c r="G23" s="5"/>
      <c r="H23" s="18"/>
      <c r="I23" s="5"/>
      <c r="J23" s="7"/>
      <c r="K23" s="7"/>
      <c r="L23" s="7"/>
      <c r="M23" s="5"/>
      <c r="N23" s="5"/>
      <c r="O23" s="5"/>
      <c r="P23" s="5"/>
      <c r="Q23" s="18"/>
      <c r="R23" s="18" t="str">
        <f>IF(Tableau1[[#This Row],[Date du rappel]]="","",Tableau1[[#This Row],[Date du rappel]]-Tableau1[[#This Row],[Date]])</f>
        <v/>
      </c>
      <c r="S23" s="5"/>
      <c r="T23" s="7"/>
      <c r="U23" s="8"/>
      <c r="V23" s="8"/>
      <c r="W23" s="8"/>
      <c r="X23" s="7"/>
      <c r="Y23" s="45"/>
      <c r="Z23" s="9"/>
      <c r="AA23" s="10">
        <f t="shared" si="0"/>
        <v>0</v>
      </c>
    </row>
    <row r="24" spans="1:27" x14ac:dyDescent="0.25">
      <c r="A24" s="11"/>
      <c r="B24" s="6"/>
      <c r="C24" s="5" t="s">
        <v>92</v>
      </c>
      <c r="D24" s="5"/>
      <c r="E24" s="5"/>
      <c r="F24" s="5"/>
      <c r="G24" s="5"/>
      <c r="H24" s="18"/>
      <c r="I24" s="5"/>
      <c r="J24" s="7"/>
      <c r="K24" s="7"/>
      <c r="L24" s="7"/>
      <c r="M24" s="5"/>
      <c r="N24" s="5"/>
      <c r="O24" s="5"/>
      <c r="P24" s="5"/>
      <c r="Q24" s="18"/>
      <c r="R24" s="18" t="str">
        <f>IF(Tableau1[[#This Row],[Date du rappel]]="","",Tableau1[[#This Row],[Date du rappel]]-Tableau1[[#This Row],[Date]])</f>
        <v/>
      </c>
      <c r="S24" s="5"/>
      <c r="T24" s="7"/>
      <c r="U24" s="8"/>
      <c r="V24" s="8"/>
      <c r="W24" s="8"/>
      <c r="X24" s="7"/>
      <c r="Y24" s="45"/>
      <c r="Z24" s="9"/>
      <c r="AA24" s="10">
        <f t="shared" si="0"/>
        <v>0</v>
      </c>
    </row>
    <row r="25" spans="1:27" x14ac:dyDescent="0.25">
      <c r="A25" s="11"/>
      <c r="B25" s="6"/>
      <c r="C25" s="5"/>
      <c r="D25" s="5"/>
      <c r="E25" s="5"/>
      <c r="F25" s="5"/>
      <c r="G25" s="5"/>
      <c r="H25" s="18"/>
      <c r="I25" s="5"/>
      <c r="J25" s="7"/>
      <c r="K25" s="7"/>
      <c r="L25" s="7"/>
      <c r="M25" s="5"/>
      <c r="N25" s="5"/>
      <c r="O25" s="5"/>
      <c r="P25" s="5"/>
      <c r="Q25" s="18"/>
      <c r="R25" s="18" t="str">
        <f>IF(Tableau1[[#This Row],[Date du rappel]]="","",Tableau1[[#This Row],[Date du rappel]]-Tableau1[[#This Row],[Date]])</f>
        <v/>
      </c>
      <c r="S25" s="5"/>
      <c r="T25" s="7"/>
      <c r="U25" s="8"/>
      <c r="V25" s="8"/>
      <c r="W25" s="8"/>
      <c r="X25" s="7"/>
      <c r="Y25" s="45"/>
      <c r="Z25" s="9"/>
      <c r="AA25" s="10">
        <f t="shared" si="0"/>
        <v>0</v>
      </c>
    </row>
    <row r="26" spans="1:27" x14ac:dyDescent="0.25">
      <c r="A26" s="11">
        <v>848</v>
      </c>
      <c r="B26" s="6" t="s">
        <v>11</v>
      </c>
      <c r="C26" s="5" t="s">
        <v>76</v>
      </c>
      <c r="D26" s="5"/>
      <c r="E26" s="5"/>
      <c r="F26" s="5"/>
      <c r="G26" s="5"/>
      <c r="H26" s="18">
        <v>43552.646643518521</v>
      </c>
      <c r="I26" s="5" t="s">
        <v>33</v>
      </c>
      <c r="J26" s="7"/>
      <c r="K26" s="7"/>
      <c r="L26" s="7"/>
      <c r="M26" s="5"/>
      <c r="N26" s="5"/>
      <c r="O26" s="5"/>
      <c r="P26" s="5" t="s">
        <v>7</v>
      </c>
      <c r="Q26" s="18">
        <v>43553.731006944443</v>
      </c>
      <c r="R26" s="18">
        <f>IF(Tableau1[[#This Row],[Date du rappel]]="","",Tableau1[[#This Row],[Date du rappel]]-Tableau1[[#This Row],[Date]])</f>
        <v>1.0843634259217652</v>
      </c>
      <c r="S26" s="5"/>
      <c r="T26" s="7"/>
      <c r="U26" s="8"/>
      <c r="V26" s="8"/>
      <c r="W26" s="8"/>
      <c r="X26" s="7"/>
      <c r="Y26" s="45"/>
      <c r="Z26" s="9"/>
      <c r="AA26" s="10">
        <f t="shared" ref="AA26:AA31" si="1">X26*Z26</f>
        <v>0</v>
      </c>
    </row>
    <row r="27" spans="1:27" x14ac:dyDescent="0.25">
      <c r="A27" s="11"/>
      <c r="B27" s="6" t="s">
        <v>12</v>
      </c>
      <c r="C27" s="5" t="s">
        <v>75</v>
      </c>
      <c r="D27" s="5"/>
      <c r="E27" s="5"/>
      <c r="F27" s="5"/>
      <c r="G27" s="5"/>
      <c r="H27" s="18">
        <v>43552.669456018521</v>
      </c>
      <c r="I27" s="5" t="s">
        <v>32</v>
      </c>
      <c r="J27" s="7"/>
      <c r="K27" s="7"/>
      <c r="L27" s="7"/>
      <c r="M27" s="5"/>
      <c r="N27" s="5"/>
      <c r="O27" s="5"/>
      <c r="P27" s="5" t="s">
        <v>7</v>
      </c>
      <c r="Q27" s="18">
        <v>43553.73097222222</v>
      </c>
      <c r="R27" s="18">
        <f>IF(Tableau1[[#This Row],[Date du rappel]]="","",Tableau1[[#This Row],[Date du rappel]]-Tableau1[[#This Row],[Date]])</f>
        <v>1.0615162036992842</v>
      </c>
      <c r="S27" s="5"/>
      <c r="T27" s="7"/>
      <c r="U27" s="8"/>
      <c r="V27" s="8"/>
      <c r="W27" s="8"/>
      <c r="X27" s="7"/>
      <c r="Y27" s="45"/>
      <c r="Z27" s="9"/>
      <c r="AA27" s="10">
        <f t="shared" si="1"/>
        <v>0</v>
      </c>
    </row>
    <row r="28" spans="1:27" x14ac:dyDescent="0.25">
      <c r="A28" s="11"/>
      <c r="B28" s="6" t="s">
        <v>23</v>
      </c>
      <c r="C28" s="5" t="s">
        <v>74</v>
      </c>
      <c r="D28" s="5"/>
      <c r="E28" s="5"/>
      <c r="F28" s="5"/>
      <c r="G28" s="5"/>
      <c r="H28" s="18">
        <v>43552.669490740744</v>
      </c>
      <c r="I28" s="5" t="s">
        <v>16</v>
      </c>
      <c r="J28" s="7"/>
      <c r="K28" s="7"/>
      <c r="L28" s="7"/>
      <c r="M28" s="5"/>
      <c r="N28" s="5"/>
      <c r="O28" s="5"/>
      <c r="P28" s="5" t="s">
        <v>7</v>
      </c>
      <c r="Q28" s="18">
        <v>43553.731041666666</v>
      </c>
      <c r="R28" s="18">
        <f>IF(Tableau1[[#This Row],[Date du rappel]]="","",Tableau1[[#This Row],[Date du rappel]]-Tableau1[[#This Row],[Date]])</f>
        <v>1.0615509259223472</v>
      </c>
      <c r="S28" s="5"/>
      <c r="T28" s="7"/>
      <c r="U28" s="8"/>
      <c r="V28" s="8">
        <v>6</v>
      </c>
      <c r="W28" s="8"/>
      <c r="X28" s="7"/>
      <c r="Y28" s="45"/>
      <c r="Z28" s="9"/>
      <c r="AA28" s="10">
        <f t="shared" si="1"/>
        <v>0</v>
      </c>
    </row>
    <row r="29" spans="1:27" x14ac:dyDescent="0.25">
      <c r="A29" s="11"/>
      <c r="B29" s="6" t="s">
        <v>23</v>
      </c>
      <c r="C29" s="5" t="s">
        <v>44</v>
      </c>
      <c r="D29" s="5"/>
      <c r="E29" s="5"/>
      <c r="F29" s="5"/>
      <c r="G29" s="5"/>
      <c r="H29" s="18">
        <v>43552.646412037036</v>
      </c>
      <c r="I29" s="5" t="s">
        <v>17</v>
      </c>
      <c r="J29" s="7"/>
      <c r="K29" s="7"/>
      <c r="L29" s="7"/>
      <c r="M29" s="5"/>
      <c r="N29" s="5"/>
      <c r="O29" s="5"/>
      <c r="P29" s="5" t="s">
        <v>8</v>
      </c>
      <c r="Q29" s="18">
        <v>43553.729502314818</v>
      </c>
      <c r="R29" s="18">
        <f>IF(Tableau1[[#This Row],[Date du rappel]]="","",Tableau1[[#This Row],[Date du rappel]]-Tableau1[[#This Row],[Date]])</f>
        <v>1.0830902777815936</v>
      </c>
      <c r="S29" s="5"/>
      <c r="T29" s="7"/>
      <c r="U29" s="8"/>
      <c r="V29" s="8">
        <v>8</v>
      </c>
      <c r="W29" s="8"/>
      <c r="X29" s="7"/>
      <c r="Y29" s="45"/>
      <c r="Z29" s="9"/>
      <c r="AA29" s="10">
        <f t="shared" si="1"/>
        <v>0</v>
      </c>
    </row>
    <row r="30" spans="1:27" x14ac:dyDescent="0.25">
      <c r="A30" s="11">
        <v>64</v>
      </c>
      <c r="B30" s="6" t="s">
        <v>11</v>
      </c>
      <c r="C30" s="5"/>
      <c r="D30" s="5"/>
      <c r="E30" s="5"/>
      <c r="F30" s="5"/>
      <c r="G30" s="5"/>
      <c r="H30" s="18">
        <v>43552.669652777775</v>
      </c>
      <c r="I30" s="5" t="s">
        <v>16</v>
      </c>
      <c r="J30" s="7"/>
      <c r="K30" s="7"/>
      <c r="L30" s="7"/>
      <c r="M30" s="5"/>
      <c r="N30" s="5"/>
      <c r="O30" s="5"/>
      <c r="P30" s="5" t="s">
        <v>7</v>
      </c>
      <c r="Q30" s="18">
        <v>43553.731076388889</v>
      </c>
      <c r="R30" s="18">
        <f>IF(Tableau1[[#This Row],[Date du rappel]]="","",Tableau1[[#This Row],[Date du rappel]]-Tableau1[[#This Row],[Date]])</f>
        <v>1.0614236111141508</v>
      </c>
      <c r="S30" s="5"/>
      <c r="T30" s="7"/>
      <c r="U30" s="8"/>
      <c r="V30" s="8"/>
      <c r="W30" s="8"/>
      <c r="X30" s="7"/>
      <c r="Y30" s="45"/>
      <c r="Z30" s="9"/>
      <c r="AA30" s="10">
        <f t="shared" si="1"/>
        <v>0</v>
      </c>
    </row>
    <row r="31" spans="1:27" x14ac:dyDescent="0.25">
      <c r="A31" s="11">
        <v>65</v>
      </c>
      <c r="B31" s="6" t="s">
        <v>13</v>
      </c>
      <c r="C31" s="5" t="s">
        <v>72</v>
      </c>
      <c r="D31" s="5"/>
      <c r="E31" s="5"/>
      <c r="F31" s="5"/>
      <c r="G31" s="5"/>
      <c r="H31" s="18">
        <v>43552.669710648152</v>
      </c>
      <c r="I31" s="5" t="s">
        <v>16</v>
      </c>
      <c r="J31" s="7"/>
      <c r="K31" s="7"/>
      <c r="L31" s="7"/>
      <c r="M31" s="5"/>
      <c r="N31" s="5"/>
      <c r="O31" s="5"/>
      <c r="P31" s="5" t="s">
        <v>8</v>
      </c>
      <c r="Q31" s="18">
        <v>43553.729467592595</v>
      </c>
      <c r="R31" s="18">
        <f>IF(Tableau1[[#This Row],[Date du rappel]]="","",Tableau1[[#This Row],[Date du rappel]]-Tableau1[[#This Row],[Date]])</f>
        <v>1.0597569444435067</v>
      </c>
      <c r="S31" s="5"/>
      <c r="T31" s="7"/>
      <c r="U31" s="8"/>
      <c r="V31" s="8"/>
      <c r="W31" s="8"/>
      <c r="X31" s="7"/>
      <c r="Y31" s="45"/>
      <c r="Z31" s="9"/>
      <c r="AA31" s="10">
        <f t="shared" si="1"/>
        <v>0</v>
      </c>
    </row>
    <row r="32" spans="1:27" x14ac:dyDescent="0.25">
      <c r="A32" s="5">
        <v>203</v>
      </c>
      <c r="B32" s="6" t="s">
        <v>13</v>
      </c>
      <c r="C32" s="5" t="s">
        <v>67</v>
      </c>
      <c r="D32" s="5" t="s">
        <v>68</v>
      </c>
      <c r="E32" s="5" t="s">
        <v>70</v>
      </c>
      <c r="F32" s="5" t="s">
        <v>71</v>
      </c>
      <c r="G32" s="5"/>
      <c r="H32" s="18">
        <v>43552.646608796298</v>
      </c>
      <c r="I32" s="5" t="s">
        <v>32</v>
      </c>
      <c r="J32" s="7"/>
      <c r="K32" s="7"/>
      <c r="L32" s="7"/>
      <c r="M32" s="5"/>
      <c r="N32" s="5"/>
      <c r="O32" s="5"/>
      <c r="P32" s="5" t="s">
        <v>8</v>
      </c>
      <c r="Q32" s="18">
        <v>43553.729444444441</v>
      </c>
      <c r="R32" s="18">
        <f>IF(Tableau1[[#This Row],[Date du rappel]]="","",Tableau1[[#This Row],[Date du rappel]]-Tableau1[[#This Row],[Date]])</f>
        <v>1.082835648143373</v>
      </c>
      <c r="S32" s="5"/>
      <c r="T32" s="7"/>
      <c r="U32" s="8"/>
      <c r="V32" s="8"/>
      <c r="W32" s="8"/>
      <c r="X32" s="7"/>
      <c r="Y32" s="45"/>
      <c r="Z32" s="9"/>
      <c r="AA32" s="10">
        <f t="shared" ref="AA32" si="2">X32*Z32</f>
        <v>0</v>
      </c>
    </row>
    <row r="33" spans="1:27" x14ac:dyDescent="0.25">
      <c r="A33" s="5">
        <v>102</v>
      </c>
      <c r="B33" s="6" t="s">
        <v>11</v>
      </c>
      <c r="C33" s="5" t="s">
        <v>66</v>
      </c>
      <c r="D33" s="5"/>
      <c r="E33" s="5"/>
      <c r="F33" s="5"/>
      <c r="G33" s="5"/>
      <c r="H33" s="18">
        <v>43556.496412037035</v>
      </c>
      <c r="I33" s="5" t="s">
        <v>32</v>
      </c>
      <c r="J33" s="7"/>
      <c r="K33" s="7"/>
      <c r="L33" s="7"/>
      <c r="M33" s="5"/>
      <c r="N33" s="5"/>
      <c r="O33" s="5"/>
      <c r="P33" s="5" t="s">
        <v>8</v>
      </c>
      <c r="Q33" s="18">
        <v>43556.496458333335</v>
      </c>
      <c r="R33" s="18">
        <f>IF(Tableau1[[#This Row],[Date du rappel]]="","",Tableau1[[#This Row],[Date du rappel]]-Tableau1[[#This Row],[Date]])</f>
        <v>4.6296299842651933E-5</v>
      </c>
      <c r="S33" s="5"/>
      <c r="T33" s="7"/>
      <c r="U33" s="8"/>
      <c r="V33" s="8"/>
      <c r="W33" s="8"/>
      <c r="X33" s="7"/>
      <c r="Y33" s="45"/>
      <c r="Z33" s="9"/>
      <c r="AA33" s="10">
        <f t="shared" ref="AA33" si="3">X33*Z33</f>
        <v>0</v>
      </c>
    </row>
    <row r="34" spans="1:27" x14ac:dyDescent="0.25">
      <c r="A34" s="5">
        <v>99</v>
      </c>
      <c r="B34" s="6" t="s">
        <v>11</v>
      </c>
      <c r="C34" s="5" t="s">
        <v>54</v>
      </c>
      <c r="D34" s="5"/>
      <c r="E34" s="5" t="s">
        <v>69</v>
      </c>
      <c r="F34" s="5"/>
      <c r="G34" s="5"/>
      <c r="H34" s="18">
        <v>43553.712546296294</v>
      </c>
      <c r="I34" s="5"/>
      <c r="J34" s="7"/>
      <c r="K34" s="7"/>
      <c r="L34" s="7"/>
      <c r="M34" s="5">
        <v>12</v>
      </c>
      <c r="N34" s="5"/>
      <c r="O34" s="5"/>
      <c r="P34" s="5" t="s">
        <v>7</v>
      </c>
      <c r="Q34" s="18">
        <v>43556.496516203704</v>
      </c>
      <c r="R34" s="18">
        <f>IF(Tableau1[[#This Row],[Date du rappel]]="","",Tableau1[[#This Row],[Date du rappel]]-Tableau1[[#This Row],[Date]])</f>
        <v>2.78396990741021</v>
      </c>
      <c r="S34" s="5"/>
      <c r="T34" s="7"/>
      <c r="U34" s="8"/>
      <c r="V34" s="8"/>
      <c r="W34" s="8"/>
      <c r="X34" s="7"/>
      <c r="Y34" s="45"/>
      <c r="Z34" s="9"/>
      <c r="AA34" s="10">
        <f t="shared" ref="AA34" si="4">X34*Z34</f>
        <v>0</v>
      </c>
    </row>
    <row r="35" spans="1:27" x14ac:dyDescent="0.25">
      <c r="A35" s="5">
        <v>21</v>
      </c>
      <c r="B35" s="6" t="s">
        <v>12</v>
      </c>
      <c r="C35" s="5" t="s">
        <v>53</v>
      </c>
      <c r="D35" s="5"/>
      <c r="E35" s="5"/>
      <c r="F35" s="5"/>
      <c r="G35" s="5"/>
      <c r="H35" s="18">
        <v>43552.647037037037</v>
      </c>
      <c r="I35" s="5" t="s">
        <v>16</v>
      </c>
      <c r="J35" s="7" t="s">
        <v>59</v>
      </c>
      <c r="K35" s="7">
        <v>50000</v>
      </c>
      <c r="L35" s="7"/>
      <c r="M35" s="5"/>
      <c r="N35" s="5">
        <v>51151</v>
      </c>
      <c r="O35" s="5"/>
      <c r="P35" s="5" t="s">
        <v>7</v>
      </c>
      <c r="Q35" s="18">
        <v>43553.732997685183</v>
      </c>
      <c r="R35" s="18">
        <f>IF(Tableau1[[#This Row],[Date du rappel]]="","",Tableau1[[#This Row],[Date du rappel]]-Tableau1[[#This Row],[Date]])</f>
        <v>1.0859606481462833</v>
      </c>
      <c r="S35" s="5" t="s">
        <v>60</v>
      </c>
      <c r="T35" s="7">
        <v>15898</v>
      </c>
      <c r="U35" s="8">
        <v>6</v>
      </c>
      <c r="V35" s="8">
        <v>5</v>
      </c>
      <c r="W35" s="8">
        <v>8</v>
      </c>
      <c r="X35" s="7">
        <v>15000</v>
      </c>
      <c r="Y35" s="45"/>
      <c r="Z35" s="9">
        <v>0.16</v>
      </c>
      <c r="AA35" s="10">
        <f t="shared" ref="AA35" si="5">X35*Z35</f>
        <v>2400</v>
      </c>
    </row>
    <row r="36" spans="1:27" x14ac:dyDescent="0.25">
      <c r="A36" s="5">
        <v>58</v>
      </c>
      <c r="B36" s="6" t="s">
        <v>13</v>
      </c>
      <c r="C36" s="5" t="s">
        <v>52</v>
      </c>
      <c r="D36" s="5"/>
      <c r="E36" s="5"/>
      <c r="F36" s="5"/>
      <c r="G36" s="5"/>
      <c r="H36" s="18">
        <v>43552.647106481483</v>
      </c>
      <c r="I36" s="5" t="s">
        <v>16</v>
      </c>
      <c r="J36" s="7"/>
      <c r="K36" s="7"/>
      <c r="L36" s="7"/>
      <c r="M36" s="5"/>
      <c r="N36" s="5">
        <v>5151</v>
      </c>
      <c r="O36" s="5"/>
      <c r="P36" s="5" t="s">
        <v>8</v>
      </c>
      <c r="Q36" s="18">
        <v>43556.36005787037</v>
      </c>
      <c r="R36" s="18">
        <f>IF(Tableau1[[#This Row],[Date du rappel]]="","",Tableau1[[#This Row],[Date du rappel]]-Tableau1[[#This Row],[Date]])</f>
        <v>3.7129513888867223</v>
      </c>
      <c r="S36" s="5"/>
      <c r="T36" s="7"/>
      <c r="U36" s="8"/>
      <c r="V36" s="8"/>
      <c r="W36" s="8"/>
      <c r="X36" s="7"/>
      <c r="Y36" s="45"/>
      <c r="Z36" s="9"/>
      <c r="AA36" s="10">
        <f t="shared" ref="AA36" si="6">X36*Z36</f>
        <v>0</v>
      </c>
    </row>
    <row r="37" spans="1:27" x14ac:dyDescent="0.25">
      <c r="A37" s="5">
        <v>88</v>
      </c>
      <c r="B37" s="6" t="s">
        <v>11</v>
      </c>
      <c r="C37" s="5" t="s">
        <v>51</v>
      </c>
      <c r="D37" s="5"/>
      <c r="E37" s="5"/>
      <c r="F37" s="5"/>
      <c r="G37" s="5"/>
      <c r="H37" s="18">
        <v>43552.647291666668</v>
      </c>
      <c r="I37" s="5" t="s">
        <v>110</v>
      </c>
      <c r="J37" s="7"/>
      <c r="K37" s="7"/>
      <c r="L37" s="7">
        <v>5151</v>
      </c>
      <c r="M37" s="5"/>
      <c r="N37" s="5"/>
      <c r="O37" s="5"/>
      <c r="P37" s="5" t="s">
        <v>7</v>
      </c>
      <c r="Q37" s="18">
        <v>43553.710486111115</v>
      </c>
      <c r="R37" s="18">
        <f>IF(Tableau1[[#This Row],[Date du rappel]]="","",Tableau1[[#This Row],[Date du rappel]]-Tableau1[[#This Row],[Date]])</f>
        <v>1.0631944444467081</v>
      </c>
      <c r="S37" s="5" t="s">
        <v>61</v>
      </c>
      <c r="T37" s="7">
        <v>48894</v>
      </c>
      <c r="U37" s="8">
        <v>4</v>
      </c>
      <c r="V37" s="8">
        <v>6</v>
      </c>
      <c r="W37" s="8">
        <v>4</v>
      </c>
      <c r="X37" s="7">
        <v>45000</v>
      </c>
      <c r="Y37" s="45"/>
      <c r="Z37" s="9">
        <v>0.12</v>
      </c>
      <c r="AA37" s="10">
        <f t="shared" ref="AA37" si="7">X37*Z37</f>
        <v>5400</v>
      </c>
    </row>
    <row r="38" spans="1:27" x14ac:dyDescent="0.25">
      <c r="A38" s="5">
        <v>77</v>
      </c>
      <c r="B38" s="6" t="s">
        <v>11</v>
      </c>
      <c r="C38" s="5" t="s">
        <v>50</v>
      </c>
      <c r="D38" s="5" t="s">
        <v>55</v>
      </c>
      <c r="E38" s="5" t="s">
        <v>56</v>
      </c>
      <c r="F38" s="5"/>
      <c r="G38" s="5"/>
      <c r="H38" s="18">
        <v>43552.647187499999</v>
      </c>
      <c r="I38" s="5" t="s">
        <v>33</v>
      </c>
      <c r="J38" s="7"/>
      <c r="K38" s="7"/>
      <c r="L38" s="7"/>
      <c r="M38" s="5"/>
      <c r="N38" s="5">
        <v>648</v>
      </c>
      <c r="O38" s="5"/>
      <c r="P38" s="5" t="s">
        <v>7</v>
      </c>
      <c r="Q38" s="18">
        <v>43556.360092592593</v>
      </c>
      <c r="R38" s="18">
        <f>IF(Tableau1[[#This Row],[Date du rappel]]="","",Tableau1[[#This Row],[Date du rappel]]-Tableau1[[#This Row],[Date]])</f>
        <v>3.7129050925941556</v>
      </c>
      <c r="S38" s="5"/>
      <c r="T38" s="7"/>
      <c r="U38" s="8"/>
      <c r="V38" s="8"/>
      <c r="W38" s="8"/>
      <c r="X38" s="7"/>
      <c r="Y38" s="45"/>
      <c r="Z38" s="9"/>
      <c r="AA38" s="10">
        <f t="shared" ref="AA38" si="8">X38*Z38</f>
        <v>0</v>
      </c>
    </row>
    <row r="39" spans="1:27" x14ac:dyDescent="0.25">
      <c r="A39" s="5">
        <v>84</v>
      </c>
      <c r="B39" s="6" t="s">
        <v>11</v>
      </c>
      <c r="C39" s="5" t="s">
        <v>49</v>
      </c>
      <c r="D39" s="5"/>
      <c r="E39" s="5"/>
      <c r="F39" s="5"/>
      <c r="G39" s="5"/>
      <c r="H39" s="18">
        <v>43552.647152777776</v>
      </c>
      <c r="I39" s="5" t="s">
        <v>32</v>
      </c>
      <c r="J39" s="7"/>
      <c r="K39" s="7"/>
      <c r="L39" s="7"/>
      <c r="M39" s="5">
        <v>15</v>
      </c>
      <c r="N39" s="5"/>
      <c r="O39" s="5"/>
      <c r="P39" s="5" t="s">
        <v>8</v>
      </c>
      <c r="Q39" s="18">
        <v>43553.710532407407</v>
      </c>
      <c r="R39" s="18">
        <f>IF(Tableau1[[#This Row],[Date du rappel]]="","",Tableau1[[#This Row],[Date du rappel]]-Tableau1[[#This Row],[Date]])</f>
        <v>1.0633796296315268</v>
      </c>
      <c r="S39" s="5"/>
      <c r="T39" s="7"/>
      <c r="U39" s="8"/>
      <c r="V39" s="8"/>
      <c r="W39" s="8"/>
      <c r="X39" s="7"/>
      <c r="Y39" s="45"/>
      <c r="Z39" s="9"/>
      <c r="AA39" s="10">
        <f t="shared" ref="AA39" si="9">X39*Z39</f>
        <v>0</v>
      </c>
    </row>
    <row r="40" spans="1:27" x14ac:dyDescent="0.25">
      <c r="A40" s="5">
        <v>94</v>
      </c>
      <c r="B40" s="6" t="s">
        <v>11</v>
      </c>
      <c r="C40" s="5" t="s">
        <v>48</v>
      </c>
      <c r="D40" s="5"/>
      <c r="E40" s="5"/>
      <c r="F40" s="5"/>
      <c r="G40" s="5"/>
      <c r="H40" s="18">
        <v>43552.647129629629</v>
      </c>
      <c r="I40" s="5" t="s">
        <v>33</v>
      </c>
      <c r="J40" s="7"/>
      <c r="K40" s="7"/>
      <c r="L40" s="7"/>
      <c r="M40" s="5"/>
      <c r="N40" s="5"/>
      <c r="O40" s="5"/>
      <c r="P40" s="5" t="s">
        <v>8</v>
      </c>
      <c r="Q40" s="18">
        <v>43556.359803240739</v>
      </c>
      <c r="R40" s="18">
        <f>IF(Tableau1[[#This Row],[Date du rappel]]="","",Tableau1[[#This Row],[Date du rappel]]-Tableau1[[#This Row],[Date]])</f>
        <v>3.7126736111094942</v>
      </c>
      <c r="S40" s="5" t="s">
        <v>62</v>
      </c>
      <c r="T40" s="7">
        <v>684</v>
      </c>
      <c r="U40" s="8">
        <v>12</v>
      </c>
      <c r="V40" s="8">
        <v>10</v>
      </c>
      <c r="W40" s="8">
        <v>12</v>
      </c>
      <c r="X40" s="7">
        <v>600</v>
      </c>
      <c r="Y40" s="45"/>
      <c r="Z40" s="9">
        <v>0.11</v>
      </c>
      <c r="AA40" s="10">
        <f t="shared" ref="AA40" si="10">X40*Z40</f>
        <v>66</v>
      </c>
    </row>
    <row r="41" spans="1:27" x14ac:dyDescent="0.25">
      <c r="A41" s="5">
        <v>25</v>
      </c>
      <c r="B41" s="6" t="s">
        <v>11</v>
      </c>
      <c r="C41" s="5" t="s">
        <v>47</v>
      </c>
      <c r="D41" s="5"/>
      <c r="E41" s="5"/>
      <c r="F41" s="5"/>
      <c r="G41" s="5"/>
      <c r="H41" s="18"/>
      <c r="I41" s="5" t="s">
        <v>33</v>
      </c>
      <c r="J41" s="7"/>
      <c r="K41" s="7">
        <v>75885</v>
      </c>
      <c r="L41" s="7"/>
      <c r="M41" s="5"/>
      <c r="N41" s="5">
        <v>98466</v>
      </c>
      <c r="O41" s="5"/>
      <c r="P41" s="5"/>
      <c r="Q41" s="18"/>
      <c r="R41" s="18" t="str">
        <f>IF(Tableau1[[#This Row],[Date du rappel]]="","",Tableau1[[#This Row],[Date du rappel]]-Tableau1[[#This Row],[Date]])</f>
        <v/>
      </c>
      <c r="S41" s="5"/>
      <c r="T41" s="7"/>
      <c r="U41" s="8"/>
      <c r="V41" s="8"/>
      <c r="W41" s="8"/>
      <c r="X41" s="7"/>
      <c r="Y41" s="45"/>
      <c r="Z41" s="9"/>
      <c r="AA41" s="10">
        <f t="shared" ref="AA41" si="11">X41*Z41</f>
        <v>0</v>
      </c>
    </row>
    <row r="42" spans="1:27" x14ac:dyDescent="0.25">
      <c r="A42" s="5">
        <v>68</v>
      </c>
      <c r="B42" s="6" t="s">
        <v>12</v>
      </c>
      <c r="C42" s="5" t="s">
        <v>46</v>
      </c>
      <c r="D42" s="5"/>
      <c r="E42" s="5"/>
      <c r="F42" s="5"/>
      <c r="G42" s="5"/>
      <c r="H42" s="18"/>
      <c r="I42" s="5" t="s">
        <v>110</v>
      </c>
      <c r="J42" s="7"/>
      <c r="K42" s="7"/>
      <c r="L42" s="7"/>
      <c r="M42" s="5"/>
      <c r="N42" s="5"/>
      <c r="O42" s="5"/>
      <c r="P42" s="5"/>
      <c r="Q42" s="18"/>
      <c r="R42" s="18" t="str">
        <f>IF(Tableau1[[#This Row],[Date du rappel]]="","",Tableau1[[#This Row],[Date du rappel]]-Tableau1[[#This Row],[Date]])</f>
        <v/>
      </c>
      <c r="S42" s="5"/>
      <c r="T42" s="7"/>
      <c r="U42" s="8"/>
      <c r="V42" s="8"/>
      <c r="W42" s="8"/>
      <c r="X42" s="7"/>
      <c r="Y42" s="45"/>
      <c r="Z42" s="9"/>
      <c r="AA42" s="10">
        <f t="shared" ref="AA42" si="12">X42*Z42</f>
        <v>0</v>
      </c>
    </row>
    <row r="43" spans="1:27" x14ac:dyDescent="0.25">
      <c r="A43" s="5">
        <v>74</v>
      </c>
      <c r="B43" s="6" t="s">
        <v>13</v>
      </c>
      <c r="C43" s="5" t="s">
        <v>45</v>
      </c>
      <c r="D43" s="5"/>
      <c r="E43" s="5"/>
      <c r="F43" s="5"/>
      <c r="G43" s="5" t="s">
        <v>58</v>
      </c>
      <c r="H43" s="18"/>
      <c r="I43" s="5"/>
      <c r="J43" s="7"/>
      <c r="K43" s="7"/>
      <c r="L43" s="7"/>
      <c r="M43" s="5">
        <v>60</v>
      </c>
      <c r="N43" s="5"/>
      <c r="O43" s="5"/>
      <c r="P43" s="5"/>
      <c r="Q43" s="18"/>
      <c r="R43" s="18" t="str">
        <f>IF(Tableau1[[#This Row],[Date du rappel]]="","",Tableau1[[#This Row],[Date du rappel]]-Tableau1[[#This Row],[Date]])</f>
        <v/>
      </c>
      <c r="S43" s="5" t="s">
        <v>63</v>
      </c>
      <c r="T43" s="7">
        <v>8189818</v>
      </c>
      <c r="U43" s="8">
        <v>15</v>
      </c>
      <c r="V43" s="8">
        <v>12</v>
      </c>
      <c r="W43" s="8">
        <v>16</v>
      </c>
      <c r="X43" s="7">
        <v>8000000</v>
      </c>
      <c r="Y43" s="45"/>
      <c r="Z43" s="9">
        <v>0.13</v>
      </c>
      <c r="AA43" s="10">
        <f t="shared" ref="AA43" si="13">X43*Z43</f>
        <v>1040000</v>
      </c>
    </row>
    <row r="44" spans="1:27" x14ac:dyDescent="0.25">
      <c r="A44" s="5">
        <v>98</v>
      </c>
      <c r="B44" s="6" t="s">
        <v>11</v>
      </c>
      <c r="C44" s="5" t="s">
        <v>44</v>
      </c>
      <c r="D44" s="5"/>
      <c r="E44" s="5"/>
      <c r="F44" s="5"/>
      <c r="G44" s="5"/>
      <c r="H44" s="18">
        <v>43556.359386574077</v>
      </c>
      <c r="I44" s="5" t="s">
        <v>16</v>
      </c>
      <c r="J44" s="7"/>
      <c r="K44" s="7">
        <v>5151</v>
      </c>
      <c r="L44" s="7"/>
      <c r="M44" s="5"/>
      <c r="N44" s="5"/>
      <c r="O44" s="5"/>
      <c r="P44" s="5" t="s">
        <v>8</v>
      </c>
      <c r="Q44" s="18">
        <v>43556.360231481478</v>
      </c>
      <c r="R44" s="18">
        <f>IF(Tableau1[[#This Row],[Date du rappel]]="","",Tableau1[[#This Row],[Date du rappel]]-Tableau1[[#This Row],[Date]])</f>
        <v>8.4490740118781105E-4</v>
      </c>
      <c r="S44" s="5"/>
      <c r="T44" s="7"/>
      <c r="U44" s="8"/>
      <c r="V44" s="8"/>
      <c r="W44" s="8"/>
      <c r="X44" s="7"/>
      <c r="Y44" s="45"/>
      <c r="Z44" s="9"/>
      <c r="AA44" s="10">
        <f t="shared" ref="AA44" si="14">X44*Z44</f>
        <v>0</v>
      </c>
    </row>
    <row r="45" spans="1:27" x14ac:dyDescent="0.25">
      <c r="A45" s="5">
        <v>31</v>
      </c>
      <c r="B45" s="6" t="s">
        <v>11</v>
      </c>
      <c r="C45" s="5" t="s">
        <v>43</v>
      </c>
      <c r="D45" s="5"/>
      <c r="E45" s="5"/>
      <c r="F45" s="5"/>
      <c r="G45" s="5"/>
      <c r="H45" s="18"/>
      <c r="I45" s="5" t="s">
        <v>16</v>
      </c>
      <c r="J45" s="7"/>
      <c r="K45" s="7"/>
      <c r="L45" s="7"/>
      <c r="M45" s="5"/>
      <c r="N45" s="5"/>
      <c r="O45" s="5"/>
      <c r="P45" s="5"/>
      <c r="Q45" s="18"/>
      <c r="R45" s="18" t="str">
        <f>IF(Tableau1[[#This Row],[Date du rappel]]="","",Tableau1[[#This Row],[Date du rappel]]-Tableau1[[#This Row],[Date]])</f>
        <v/>
      </c>
      <c r="S45" s="5"/>
      <c r="T45" s="7"/>
      <c r="U45" s="8"/>
      <c r="V45" s="8"/>
      <c r="W45" s="8"/>
      <c r="X45" s="7"/>
      <c r="Y45" s="45"/>
      <c r="Z45" s="9"/>
      <c r="AA45" s="10">
        <f t="shared" ref="AA45:AA51" si="15">X45*Z45</f>
        <v>0</v>
      </c>
    </row>
    <row r="46" spans="1:27" x14ac:dyDescent="0.25">
      <c r="A46" s="11">
        <v>32</v>
      </c>
      <c r="B46" s="6" t="s">
        <v>11</v>
      </c>
      <c r="C46" s="5" t="s">
        <v>42</v>
      </c>
      <c r="D46" s="5"/>
      <c r="E46" s="5" t="s">
        <v>56</v>
      </c>
      <c r="F46" s="5"/>
      <c r="G46" s="5"/>
      <c r="H46" s="18"/>
      <c r="I46" s="5" t="s">
        <v>16</v>
      </c>
      <c r="J46" s="7"/>
      <c r="K46" s="7"/>
      <c r="L46" s="7"/>
      <c r="M46" s="5"/>
      <c r="N46" s="5">
        <v>89499</v>
      </c>
      <c r="O46" s="5"/>
      <c r="P46" s="5"/>
      <c r="Q46" s="18"/>
      <c r="R46" s="18" t="str">
        <f>IF(Tableau1[[#This Row],[Date du rappel]]="","",Tableau1[[#This Row],[Date du rappel]]-Tableau1[[#This Row],[Date]])</f>
        <v/>
      </c>
      <c r="S46" s="5" t="s">
        <v>64</v>
      </c>
      <c r="T46" s="7">
        <v>9843</v>
      </c>
      <c r="U46" s="8">
        <v>3</v>
      </c>
      <c r="V46" s="8">
        <v>2</v>
      </c>
      <c r="W46" s="8">
        <v>8</v>
      </c>
      <c r="X46" s="7">
        <v>9500</v>
      </c>
      <c r="Y46" s="45"/>
      <c r="Z46" s="9">
        <v>0.14000000000000001</v>
      </c>
      <c r="AA46" s="10">
        <f t="shared" si="15"/>
        <v>1330.0000000000002</v>
      </c>
    </row>
    <row r="47" spans="1:27" x14ac:dyDescent="0.25">
      <c r="A47" s="11">
        <v>33</v>
      </c>
      <c r="B47" s="6" t="s">
        <v>13</v>
      </c>
      <c r="C47" s="5" t="s">
        <v>37</v>
      </c>
      <c r="D47" s="5" t="s">
        <v>57</v>
      </c>
      <c r="E47" s="5"/>
      <c r="F47" s="5"/>
      <c r="G47" s="5"/>
      <c r="H47" s="18"/>
      <c r="I47" s="5" t="s">
        <v>31</v>
      </c>
      <c r="J47" s="7"/>
      <c r="K47" s="7"/>
      <c r="L47" s="7">
        <v>151</v>
      </c>
      <c r="M47" s="5">
        <v>20</v>
      </c>
      <c r="N47" s="5"/>
      <c r="O47" s="5"/>
      <c r="P47" s="5"/>
      <c r="Q47" s="18"/>
      <c r="R47" s="18" t="str">
        <f>IF(Tableau1[[#This Row],[Date du rappel]]="","",Tableau1[[#This Row],[Date du rappel]]-Tableau1[[#This Row],[Date]])</f>
        <v/>
      </c>
      <c r="S47" s="5"/>
      <c r="T47" s="7"/>
      <c r="U47" s="8"/>
      <c r="V47" s="8"/>
      <c r="W47" s="8"/>
      <c r="X47" s="7"/>
      <c r="Y47" s="45"/>
      <c r="Z47" s="9"/>
      <c r="AA47" s="10">
        <f t="shared" si="15"/>
        <v>0</v>
      </c>
    </row>
    <row r="48" spans="1:27" x14ac:dyDescent="0.25">
      <c r="A48" s="11">
        <v>36</v>
      </c>
      <c r="B48" s="6" t="s">
        <v>11</v>
      </c>
      <c r="C48" s="5" t="s">
        <v>41</v>
      </c>
      <c r="D48" s="5"/>
      <c r="E48" s="5"/>
      <c r="F48" s="5"/>
      <c r="G48" s="5"/>
      <c r="H48" s="18"/>
      <c r="I48" s="5" t="s">
        <v>17</v>
      </c>
      <c r="J48" s="7"/>
      <c r="K48" s="7"/>
      <c r="L48" s="7"/>
      <c r="M48" s="5"/>
      <c r="N48" s="5"/>
      <c r="O48" s="5"/>
      <c r="P48" s="5"/>
      <c r="Q48" s="18"/>
      <c r="R48" s="18" t="str">
        <f>IF(Tableau1[[#This Row],[Date du rappel]]="","",Tableau1[[#This Row],[Date du rappel]]-Tableau1[[#This Row],[Date]])</f>
        <v/>
      </c>
      <c r="S48" s="5"/>
      <c r="T48" s="7"/>
      <c r="U48" s="8"/>
      <c r="V48" s="8"/>
      <c r="W48" s="8"/>
      <c r="X48" s="7"/>
      <c r="Y48" s="45"/>
      <c r="Z48" s="9"/>
      <c r="AA48" s="10">
        <f t="shared" si="15"/>
        <v>0</v>
      </c>
    </row>
    <row r="49" spans="1:27" x14ac:dyDescent="0.25">
      <c r="A49" s="11">
        <v>59</v>
      </c>
      <c r="B49" s="6" t="s">
        <v>12</v>
      </c>
      <c r="C49" s="5" t="s">
        <v>40</v>
      </c>
      <c r="D49" s="5"/>
      <c r="E49" s="5"/>
      <c r="F49" s="5"/>
      <c r="G49" s="5"/>
      <c r="H49" s="18">
        <v>43553.734305555554</v>
      </c>
      <c r="I49" s="5" t="s">
        <v>32</v>
      </c>
      <c r="J49" s="7"/>
      <c r="K49" s="7"/>
      <c r="L49" s="7"/>
      <c r="M49" s="5">
        <v>14</v>
      </c>
      <c r="N49" s="5"/>
      <c r="O49" s="5"/>
      <c r="P49" s="5" t="s">
        <v>8</v>
      </c>
      <c r="Q49" s="18">
        <v>43556.360266203701</v>
      </c>
      <c r="R49" s="18">
        <f>IF(Tableau1[[#This Row],[Date du rappel]]="","",Tableau1[[#This Row],[Date du rappel]]-Tableau1[[#This Row],[Date]])</f>
        <v>2.6259606481471565</v>
      </c>
      <c r="S49" s="5" t="s">
        <v>65</v>
      </c>
      <c r="T49" s="7">
        <v>484</v>
      </c>
      <c r="U49" s="8">
        <v>6</v>
      </c>
      <c r="V49" s="8">
        <v>3</v>
      </c>
      <c r="W49" s="8">
        <v>4</v>
      </c>
      <c r="X49" s="7">
        <v>480</v>
      </c>
      <c r="Y49" s="45"/>
      <c r="Z49" s="9">
        <v>0.15</v>
      </c>
      <c r="AA49" s="10">
        <f t="shared" si="15"/>
        <v>72</v>
      </c>
    </row>
    <row r="50" spans="1:27" x14ac:dyDescent="0.25">
      <c r="A50" s="11">
        <v>95</v>
      </c>
      <c r="B50" s="6" t="s">
        <v>12</v>
      </c>
      <c r="C50" s="5" t="s">
        <v>39</v>
      </c>
      <c r="D50" s="5"/>
      <c r="E50" s="5"/>
      <c r="F50" s="5"/>
      <c r="G50" s="5"/>
      <c r="H50" s="18"/>
      <c r="I50" s="5" t="s">
        <v>110</v>
      </c>
      <c r="J50" s="7"/>
      <c r="K50" s="7"/>
      <c r="L50" s="7"/>
      <c r="M50" s="5"/>
      <c r="N50" s="5"/>
      <c r="O50" s="5"/>
      <c r="P50" s="5"/>
      <c r="Q50" s="18"/>
      <c r="R50" s="18" t="str">
        <f>IF(Tableau1[[#This Row],[Date du rappel]]="","",Tableau1[[#This Row],[Date du rappel]]-Tableau1[[#This Row],[Date]])</f>
        <v/>
      </c>
      <c r="S50" s="5"/>
      <c r="T50" s="7"/>
      <c r="U50" s="8"/>
      <c r="V50" s="8"/>
      <c r="W50" s="8"/>
      <c r="X50" s="7"/>
      <c r="Y50" s="45"/>
      <c r="Z50" s="9"/>
      <c r="AA50" s="10">
        <f t="shared" si="15"/>
        <v>0</v>
      </c>
    </row>
    <row r="51" spans="1:27" x14ac:dyDescent="0.25">
      <c r="A51" s="12">
        <v>2</v>
      </c>
      <c r="B51" s="13" t="s">
        <v>11</v>
      </c>
      <c r="C51" s="13" t="s">
        <v>38</v>
      </c>
      <c r="D51" s="13"/>
      <c r="E51" s="13"/>
      <c r="F51" s="13"/>
      <c r="G51" s="13"/>
      <c r="H51" s="19"/>
      <c r="I51" s="13" t="s">
        <v>31</v>
      </c>
      <c r="J51" s="14"/>
      <c r="K51" s="14"/>
      <c r="L51" s="14"/>
      <c r="M51" s="13">
        <v>10</v>
      </c>
      <c r="N51" s="13"/>
      <c r="O51" s="5"/>
      <c r="P51" s="13"/>
      <c r="Q51" s="19"/>
      <c r="R51" s="19" t="str">
        <f>IF(Tableau1[[#This Row],[Date du rappel]]="","",Tableau1[[#This Row],[Date du rappel]]-Tableau1[[#This Row],[Date]])</f>
        <v/>
      </c>
      <c r="S51" s="13"/>
      <c r="T51" s="14"/>
      <c r="U51" s="15"/>
      <c r="V51" s="15"/>
      <c r="W51" s="15"/>
      <c r="X51" s="14"/>
      <c r="Y51" s="46"/>
      <c r="Z51" s="16"/>
      <c r="AA51" s="17">
        <f t="shared" si="15"/>
        <v>0</v>
      </c>
    </row>
  </sheetData>
  <mergeCells count="2">
    <mergeCell ref="I1:J1"/>
    <mergeCell ref="I7:J7"/>
  </mergeCells>
  <dataValidations count="3">
    <dataValidation type="list" showInputMessage="1" showErrorMessage="1" errorTitle="Erreur" sqref="B14:B51" xr:uid="{3638B32F-AB58-4F7C-A620-319C1EC7A673}">
      <formula1>$C$2:$C$5</formula1>
    </dataValidation>
    <dataValidation type="list" showInputMessage="1" showErrorMessage="1" errorTitle="Erreur" sqref="I14:I51" xr:uid="{ED16E3E0-1AEF-4516-9C0C-B2826EB5E23C}">
      <formula1>$F$2:$F$9</formula1>
    </dataValidation>
    <dataValidation type="list" allowBlank="1" showInputMessage="1" showErrorMessage="1" errorTitle="Erreur" sqref="P14:P51" xr:uid="{57C3DDDE-5777-44A1-9DC2-B3D2DD9625AC}">
      <formula1>$I$8:$I$9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Nouveau_Contact">
                <anchor moveWithCells="1" sizeWithCells="1">
                  <from>
                    <xdr:col>0</xdr:col>
                    <xdr:colOff>85725</xdr:colOff>
                    <xdr:row>8</xdr:row>
                    <xdr:rowOff>142875</xdr:rowOff>
                  </from>
                  <to>
                    <xdr:col>1</xdr:col>
                    <xdr:colOff>600075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A42FE-7C3E-4A5E-BDD2-75E5CEE87187}">
  <sheetPr codeName="Feuil2"/>
  <dimension ref="A4:J42"/>
  <sheetViews>
    <sheetView workbookViewId="0">
      <selection activeCell="O13" sqref="O13"/>
    </sheetView>
  </sheetViews>
  <sheetFormatPr baseColWidth="10" defaultRowHeight="15" x14ac:dyDescent="0.25"/>
  <cols>
    <col min="1" max="1" width="14" style="1" bestFit="1" customWidth="1"/>
    <col min="2" max="2" width="9" style="1" bestFit="1" customWidth="1"/>
    <col min="3" max="10" width="14.7109375" style="1" bestFit="1" customWidth="1"/>
    <col min="11" max="11" width="12.85546875" style="1" bestFit="1" customWidth="1"/>
    <col min="12" max="12" width="12" style="1" bestFit="1" customWidth="1"/>
    <col min="13" max="13" width="8.7109375" style="1" bestFit="1" customWidth="1"/>
    <col min="14" max="14" width="11" style="1" bestFit="1" customWidth="1"/>
    <col min="15" max="15" width="23.85546875" style="1" bestFit="1" customWidth="1"/>
    <col min="16" max="16" width="18.5703125" style="1" bestFit="1" customWidth="1"/>
    <col min="17" max="17" width="21.5703125" style="1" bestFit="1" customWidth="1"/>
    <col min="18" max="18" width="17.7109375" style="1" bestFit="1" customWidth="1"/>
    <col min="19" max="19" width="29.5703125" style="1" bestFit="1" customWidth="1"/>
    <col min="20" max="21" width="12.28515625" style="1" bestFit="1" customWidth="1"/>
    <col min="22" max="22" width="19.42578125" style="1" bestFit="1" customWidth="1"/>
    <col min="23" max="23" width="25.5703125" style="1" bestFit="1" customWidth="1"/>
    <col min="24" max="24" width="18.5703125" style="1" bestFit="1" customWidth="1"/>
    <col min="25" max="25" width="16.5703125" style="1" bestFit="1" customWidth="1"/>
    <col min="26" max="26" width="7" style="1" bestFit="1" customWidth="1"/>
    <col min="27" max="27" width="16.28515625" style="1" bestFit="1" customWidth="1"/>
    <col min="28" max="28" width="15.42578125" style="1" bestFit="1" customWidth="1"/>
    <col min="29" max="29" width="27.28515625" style="1" bestFit="1" customWidth="1"/>
    <col min="30" max="31" width="10" style="1" bestFit="1" customWidth="1"/>
    <col min="32" max="32" width="17.140625" style="1" bestFit="1" customWidth="1"/>
    <col min="33" max="33" width="23.28515625" style="1" bestFit="1" customWidth="1"/>
    <col min="34" max="34" width="16.28515625" style="1" bestFit="1" customWidth="1"/>
    <col min="35" max="35" width="14.28515625" style="1" bestFit="1" customWidth="1"/>
    <col min="36" max="16384" width="11.42578125" style="1"/>
  </cols>
  <sheetData>
    <row r="4" spans="1:10" x14ac:dyDescent="0.25">
      <c r="A4" s="1" t="s">
        <v>36</v>
      </c>
      <c r="B4" s="1" t="s">
        <v>10</v>
      </c>
      <c r="C4" s="1" t="s">
        <v>0</v>
      </c>
      <c r="D4" s="1" t="s">
        <v>98</v>
      </c>
      <c r="E4" s="1" t="s">
        <v>99</v>
      </c>
      <c r="F4" s="1" t="s">
        <v>100</v>
      </c>
      <c r="G4" s="1" t="s">
        <v>101</v>
      </c>
      <c r="H4" s="1" t="s">
        <v>102</v>
      </c>
      <c r="I4" s="1" t="s">
        <v>103</v>
      </c>
      <c r="J4" s="1" t="s">
        <v>112</v>
      </c>
    </row>
    <row r="5" spans="1:10" x14ac:dyDescent="0.25">
      <c r="B5" s="70"/>
      <c r="C5" s="70" t="s">
        <v>113</v>
      </c>
      <c r="D5" s="1">
        <v>2</v>
      </c>
    </row>
    <row r="6" spans="1:10" x14ac:dyDescent="0.25">
      <c r="B6" s="70"/>
      <c r="C6" s="70" t="s">
        <v>111</v>
      </c>
      <c r="E6" s="1">
        <v>3</v>
      </c>
    </row>
    <row r="7" spans="1:10" x14ac:dyDescent="0.25">
      <c r="B7" s="70"/>
      <c r="C7" s="70" t="s">
        <v>107</v>
      </c>
      <c r="F7" s="1">
        <v>4</v>
      </c>
    </row>
    <row r="8" spans="1:10" x14ac:dyDescent="0.25">
      <c r="B8" s="70"/>
      <c r="C8" s="70" t="s">
        <v>106</v>
      </c>
    </row>
    <row r="9" spans="1:10" x14ac:dyDescent="0.25">
      <c r="B9" s="70" t="s">
        <v>12</v>
      </c>
      <c r="C9" s="70" t="s">
        <v>105</v>
      </c>
    </row>
    <row r="10" spans="1:10" x14ac:dyDescent="0.25">
      <c r="B10" s="70"/>
      <c r="C10" s="70" t="s">
        <v>104</v>
      </c>
    </row>
    <row r="11" spans="1:10" x14ac:dyDescent="0.25">
      <c r="B11" s="70" t="s">
        <v>11</v>
      </c>
      <c r="C11" s="70" t="s">
        <v>96</v>
      </c>
    </row>
    <row r="12" spans="1:10" x14ac:dyDescent="0.25">
      <c r="B12" s="70" t="s">
        <v>11</v>
      </c>
      <c r="C12" s="70" t="s">
        <v>95</v>
      </c>
    </row>
    <row r="13" spans="1:10" x14ac:dyDescent="0.25">
      <c r="B13" s="70"/>
      <c r="C13" s="70" t="s">
        <v>94</v>
      </c>
    </row>
    <row r="14" spans="1:10" x14ac:dyDescent="0.25">
      <c r="B14" s="70"/>
      <c r="C14" s="70" t="s">
        <v>93</v>
      </c>
    </row>
    <row r="15" spans="1:10" x14ac:dyDescent="0.25">
      <c r="B15" s="70"/>
      <c r="C15" s="70" t="s">
        <v>92</v>
      </c>
    </row>
    <row r="16" spans="1:10" x14ac:dyDescent="0.25">
      <c r="B16" s="70"/>
      <c r="C16" s="70"/>
    </row>
    <row r="17" spans="1:3" x14ac:dyDescent="0.25">
      <c r="A17" s="1">
        <v>848</v>
      </c>
      <c r="B17" s="70" t="s">
        <v>11</v>
      </c>
      <c r="C17" s="70" t="s">
        <v>76</v>
      </c>
    </row>
    <row r="18" spans="1:3" x14ac:dyDescent="0.25">
      <c r="B18" s="70" t="s">
        <v>12</v>
      </c>
      <c r="C18" s="70" t="s">
        <v>75</v>
      </c>
    </row>
    <row r="19" spans="1:3" x14ac:dyDescent="0.25">
      <c r="B19" s="70" t="s">
        <v>23</v>
      </c>
      <c r="C19" s="70" t="s">
        <v>74</v>
      </c>
    </row>
    <row r="20" spans="1:3" x14ac:dyDescent="0.25">
      <c r="B20" s="70" t="s">
        <v>23</v>
      </c>
      <c r="C20" s="70" t="s">
        <v>44</v>
      </c>
    </row>
    <row r="21" spans="1:3" x14ac:dyDescent="0.25">
      <c r="A21" s="1">
        <v>64</v>
      </c>
      <c r="B21" s="70" t="s">
        <v>11</v>
      </c>
      <c r="C21" s="70"/>
    </row>
    <row r="22" spans="1:3" x14ac:dyDescent="0.25">
      <c r="A22" s="1">
        <v>65</v>
      </c>
      <c r="B22" s="70" t="s">
        <v>13</v>
      </c>
      <c r="C22" s="70" t="s">
        <v>72</v>
      </c>
    </row>
    <row r="23" spans="1:3" x14ac:dyDescent="0.25">
      <c r="A23" s="1">
        <v>203</v>
      </c>
      <c r="B23" s="70" t="s">
        <v>13</v>
      </c>
      <c r="C23" s="70" t="s">
        <v>67</v>
      </c>
    </row>
    <row r="24" spans="1:3" x14ac:dyDescent="0.25">
      <c r="A24" s="1">
        <v>102</v>
      </c>
      <c r="B24" s="70" t="s">
        <v>11</v>
      </c>
      <c r="C24" s="70" t="s">
        <v>66</v>
      </c>
    </row>
    <row r="25" spans="1:3" x14ac:dyDescent="0.25">
      <c r="A25" s="1">
        <v>99</v>
      </c>
      <c r="B25" s="70" t="s">
        <v>11</v>
      </c>
      <c r="C25" s="70" t="s">
        <v>54</v>
      </c>
    </row>
    <row r="26" spans="1:3" x14ac:dyDescent="0.25">
      <c r="A26" s="1">
        <v>21</v>
      </c>
      <c r="B26" s="70" t="s">
        <v>12</v>
      </c>
      <c r="C26" s="70" t="s">
        <v>53</v>
      </c>
    </row>
    <row r="27" spans="1:3" x14ac:dyDescent="0.25">
      <c r="A27" s="1">
        <v>58</v>
      </c>
      <c r="B27" s="70" t="s">
        <v>13</v>
      </c>
      <c r="C27" s="70" t="s">
        <v>52</v>
      </c>
    </row>
    <row r="28" spans="1:3" x14ac:dyDescent="0.25">
      <c r="A28" s="1">
        <v>88</v>
      </c>
      <c r="B28" s="70" t="s">
        <v>11</v>
      </c>
      <c r="C28" s="70" t="s">
        <v>51</v>
      </c>
    </row>
    <row r="29" spans="1:3" x14ac:dyDescent="0.25">
      <c r="A29" s="1">
        <v>77</v>
      </c>
      <c r="B29" s="70" t="s">
        <v>11</v>
      </c>
      <c r="C29" s="70" t="s">
        <v>50</v>
      </c>
    </row>
    <row r="30" spans="1:3" x14ac:dyDescent="0.25">
      <c r="A30" s="1">
        <v>84</v>
      </c>
      <c r="B30" s="70" t="s">
        <v>11</v>
      </c>
      <c r="C30" s="70" t="s">
        <v>49</v>
      </c>
    </row>
    <row r="31" spans="1:3" x14ac:dyDescent="0.25">
      <c r="A31" s="1">
        <v>94</v>
      </c>
      <c r="B31" s="70" t="s">
        <v>11</v>
      </c>
      <c r="C31" s="70" t="s">
        <v>48</v>
      </c>
    </row>
    <row r="32" spans="1:3" x14ac:dyDescent="0.25">
      <c r="A32" s="1">
        <v>25</v>
      </c>
      <c r="B32" s="70" t="s">
        <v>11</v>
      </c>
      <c r="C32" s="70" t="s">
        <v>47</v>
      </c>
    </row>
    <row r="33" spans="1:3" x14ac:dyDescent="0.25">
      <c r="A33" s="1">
        <v>68</v>
      </c>
      <c r="B33" s="70" t="s">
        <v>12</v>
      </c>
      <c r="C33" s="70" t="s">
        <v>46</v>
      </c>
    </row>
    <row r="34" spans="1:3" x14ac:dyDescent="0.25">
      <c r="A34" s="1">
        <v>74</v>
      </c>
      <c r="B34" s="70" t="s">
        <v>13</v>
      </c>
      <c r="C34" s="70" t="s">
        <v>45</v>
      </c>
    </row>
    <row r="35" spans="1:3" x14ac:dyDescent="0.25">
      <c r="A35" s="1">
        <v>98</v>
      </c>
      <c r="B35" s="70" t="s">
        <v>11</v>
      </c>
      <c r="C35" s="70" t="s">
        <v>44</v>
      </c>
    </row>
    <row r="36" spans="1:3" x14ac:dyDescent="0.25">
      <c r="A36" s="1">
        <v>31</v>
      </c>
      <c r="B36" s="70" t="s">
        <v>11</v>
      </c>
      <c r="C36" s="70" t="s">
        <v>43</v>
      </c>
    </row>
    <row r="37" spans="1:3" x14ac:dyDescent="0.25">
      <c r="A37" s="1">
        <v>32</v>
      </c>
      <c r="B37" s="70" t="s">
        <v>11</v>
      </c>
      <c r="C37" s="70" t="s">
        <v>42</v>
      </c>
    </row>
    <row r="38" spans="1:3" x14ac:dyDescent="0.25">
      <c r="A38" s="1">
        <v>33</v>
      </c>
      <c r="B38" s="70" t="s">
        <v>13</v>
      </c>
      <c r="C38" s="70" t="s">
        <v>37</v>
      </c>
    </row>
    <row r="39" spans="1:3" x14ac:dyDescent="0.25">
      <c r="A39" s="1">
        <v>36</v>
      </c>
      <c r="B39" s="70" t="s">
        <v>11</v>
      </c>
      <c r="C39" s="70" t="s">
        <v>41</v>
      </c>
    </row>
    <row r="40" spans="1:3" x14ac:dyDescent="0.25">
      <c r="A40" s="1">
        <v>59</v>
      </c>
      <c r="B40" s="70" t="s">
        <v>12</v>
      </c>
      <c r="C40" s="70" t="s">
        <v>40</v>
      </c>
    </row>
    <row r="41" spans="1:3" x14ac:dyDescent="0.25">
      <c r="A41" s="1">
        <v>95</v>
      </c>
      <c r="B41" s="70" t="s">
        <v>12</v>
      </c>
      <c r="C41" s="70" t="s">
        <v>39</v>
      </c>
    </row>
    <row r="42" spans="1:3" x14ac:dyDescent="0.25">
      <c r="A42" s="1">
        <v>2</v>
      </c>
      <c r="B42" s="70" t="s">
        <v>11</v>
      </c>
      <c r="C42" s="70" t="s">
        <v>38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B1D46FB-0C72-49F1-8288-7FD5834612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CG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2019-04-04T07:59:04Z</dcterms:modified>
</cp:coreProperties>
</file>