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theme/themeOverride1.xml" ContentType="application/vnd.openxmlformats-officedocument.themeOverrid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D7AA2553-B1A1-40BE-A530-B01E4135BEF1}" xr6:coauthVersionLast="31" xr6:coauthVersionMax="31" xr10:uidLastSave="{00000000-0000-0000-0000-000000000000}"/>
  <bookViews>
    <workbookView xWindow="945" yWindow="0" windowWidth="27855" windowHeight="12810" xr2:uid="{3650DA07-265E-4C70-AFD8-E998ED413413}"/>
  </bookViews>
  <sheets>
    <sheet name="Production" sheetId="1" r:id="rId1"/>
  </sheets>
  <externalReferences>
    <externalReference r:id="rId2"/>
  </externalReferences>
  <definedNames>
    <definedName name="Cond2">[1]Actions!$C$4:$C$50</definedName>
    <definedName name="Cond3">[1]Actions!$D$4:$D$50</definedName>
    <definedName name="Cond4">[1]Actions!$E$4:$E$50</definedName>
    <definedName name="date_audit_physique">[1]Général!$R$18</definedName>
    <definedName name="Index_tarif_OA_Serenity">[1]Général!$R$64</definedName>
    <definedName name="Inflation_Serenity">[1]Général!$R$66</definedName>
    <definedName name="irradiation_solaire">[1]Général!$R$150</definedName>
    <definedName name="Liste_actions">[1]Actions!$A$4:$A$50</definedName>
    <definedName name="LISTE_LOCAUX">OFFSET([1]Zones!$B$16,,,COUNTA([1]Zones!$B$16:$B$35))</definedName>
    <definedName name="LISTE_TOITURES">OFFSET([1]Toitures!$B$16,,,COUNTA([1]Toitures!$B$16:$B$65))</definedName>
    <definedName name="nom_proprietaire">[1]Général!$R$50</definedName>
    <definedName name="numero_projet">[1]Général!$R$59</definedName>
    <definedName name="productible_AC_estimé">[1]Général!$R$148</definedName>
    <definedName name="Segment_Mois">#N/A</definedName>
    <definedName name="taux_degradation_Serenity">[1]Général!$R$65</definedName>
    <definedName name="taux_degradation_valeurbrute">[1]Général!$R$153</definedName>
    <definedName name="taux_degradation_valeurCVS">[1]Général!$R$154</definedName>
  </definedNames>
  <calcPr calcId="179017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42" i="1" l="1"/>
  <c r="L241" i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M242" i="1"/>
  <c r="A242" i="1"/>
  <c r="J242" i="1"/>
  <c r="I242" i="1"/>
  <c r="M241" i="1"/>
  <c r="A241" i="1"/>
  <c r="J241" i="1"/>
  <c r="I241" i="1"/>
  <c r="M240" i="1"/>
  <c r="A240" i="1"/>
  <c r="J240" i="1"/>
  <c r="I240" i="1"/>
  <c r="M239" i="1"/>
  <c r="A239" i="1"/>
  <c r="J239" i="1"/>
  <c r="I239" i="1"/>
  <c r="M238" i="1"/>
  <c r="A238" i="1"/>
  <c r="J238" i="1"/>
  <c r="I238" i="1"/>
  <c r="M237" i="1"/>
  <c r="A237" i="1"/>
  <c r="J237" i="1"/>
  <c r="I237" i="1"/>
  <c r="M236" i="1"/>
  <c r="A236" i="1"/>
  <c r="J236" i="1"/>
  <c r="I236" i="1"/>
  <c r="M235" i="1"/>
  <c r="A235" i="1"/>
  <c r="J235" i="1"/>
  <c r="I235" i="1"/>
  <c r="M234" i="1"/>
  <c r="A234" i="1"/>
  <c r="J234" i="1"/>
  <c r="I234" i="1"/>
  <c r="M233" i="1"/>
  <c r="A233" i="1"/>
  <c r="J233" i="1"/>
  <c r="I233" i="1"/>
  <c r="M232" i="1"/>
  <c r="A232" i="1"/>
  <c r="J232" i="1"/>
  <c r="I232" i="1"/>
  <c r="M231" i="1"/>
  <c r="A231" i="1"/>
  <c r="J231" i="1"/>
  <c r="I231" i="1"/>
  <c r="M230" i="1"/>
  <c r="A230" i="1"/>
  <c r="J230" i="1"/>
  <c r="I230" i="1"/>
  <c r="M229" i="1"/>
  <c r="A229" i="1"/>
  <c r="J229" i="1"/>
  <c r="I229" i="1"/>
  <c r="M228" i="1"/>
  <c r="A228" i="1"/>
  <c r="J228" i="1"/>
  <c r="I228" i="1"/>
  <c r="M227" i="1"/>
  <c r="A227" i="1"/>
  <c r="J227" i="1"/>
  <c r="I227" i="1"/>
  <c r="M226" i="1"/>
  <c r="A226" i="1"/>
  <c r="J226" i="1"/>
  <c r="I226" i="1"/>
  <c r="M225" i="1"/>
  <c r="A225" i="1"/>
  <c r="J225" i="1"/>
  <c r="I225" i="1"/>
  <c r="M224" i="1"/>
  <c r="A224" i="1"/>
  <c r="J224" i="1"/>
  <c r="I224" i="1"/>
  <c r="M223" i="1"/>
  <c r="A223" i="1"/>
  <c r="J223" i="1"/>
  <c r="I223" i="1"/>
  <c r="M222" i="1"/>
  <c r="A222" i="1"/>
  <c r="J222" i="1"/>
  <c r="I222" i="1"/>
  <c r="M221" i="1"/>
  <c r="A221" i="1"/>
  <c r="J221" i="1"/>
  <c r="I221" i="1"/>
  <c r="M220" i="1"/>
  <c r="A220" i="1"/>
  <c r="J220" i="1"/>
  <c r="I220" i="1"/>
  <c r="M219" i="1"/>
  <c r="A219" i="1"/>
  <c r="J219" i="1"/>
  <c r="I219" i="1"/>
  <c r="M218" i="1"/>
  <c r="A218" i="1"/>
  <c r="J218" i="1"/>
  <c r="I218" i="1"/>
  <c r="M217" i="1"/>
  <c r="A217" i="1"/>
  <c r="J217" i="1"/>
  <c r="I217" i="1"/>
  <c r="M216" i="1"/>
  <c r="A216" i="1"/>
  <c r="J216" i="1"/>
  <c r="I216" i="1"/>
  <c r="M215" i="1"/>
  <c r="A215" i="1"/>
  <c r="J215" i="1"/>
  <c r="I215" i="1"/>
  <c r="M214" i="1"/>
  <c r="A214" i="1"/>
  <c r="J214" i="1"/>
  <c r="I214" i="1"/>
  <c r="M213" i="1"/>
  <c r="A213" i="1"/>
  <c r="J213" i="1"/>
  <c r="I213" i="1"/>
  <c r="M212" i="1"/>
  <c r="A212" i="1"/>
  <c r="J212" i="1"/>
  <c r="I212" i="1"/>
  <c r="M211" i="1"/>
  <c r="A211" i="1"/>
  <c r="J211" i="1"/>
  <c r="I211" i="1"/>
  <c r="M210" i="1"/>
  <c r="A210" i="1"/>
  <c r="J210" i="1"/>
  <c r="I210" i="1"/>
  <c r="M209" i="1"/>
  <c r="A209" i="1"/>
  <c r="J209" i="1"/>
  <c r="I209" i="1"/>
  <c r="M208" i="1"/>
  <c r="A208" i="1"/>
  <c r="J208" i="1"/>
  <c r="I208" i="1"/>
  <c r="M207" i="1"/>
  <c r="A207" i="1"/>
  <c r="J207" i="1"/>
  <c r="I207" i="1"/>
  <c r="M206" i="1"/>
  <c r="A206" i="1"/>
  <c r="J206" i="1"/>
  <c r="I206" i="1"/>
  <c r="M205" i="1"/>
  <c r="A205" i="1"/>
  <c r="J205" i="1"/>
  <c r="I205" i="1"/>
  <c r="M204" i="1"/>
  <c r="A204" i="1"/>
  <c r="J204" i="1"/>
  <c r="I204" i="1"/>
  <c r="M203" i="1"/>
  <c r="A203" i="1"/>
  <c r="J203" i="1"/>
  <c r="I203" i="1"/>
  <c r="M202" i="1"/>
  <c r="A202" i="1"/>
  <c r="J202" i="1"/>
  <c r="I202" i="1"/>
  <c r="M201" i="1"/>
  <c r="A201" i="1"/>
  <c r="J201" i="1"/>
  <c r="I201" i="1"/>
  <c r="M200" i="1"/>
  <c r="A200" i="1"/>
  <c r="J200" i="1"/>
  <c r="I200" i="1"/>
  <c r="M199" i="1"/>
  <c r="A199" i="1"/>
  <c r="J199" i="1"/>
  <c r="I199" i="1"/>
  <c r="M198" i="1"/>
  <c r="A198" i="1"/>
  <c r="J198" i="1"/>
  <c r="I198" i="1"/>
  <c r="M197" i="1"/>
  <c r="A197" i="1"/>
  <c r="J197" i="1"/>
  <c r="I197" i="1"/>
  <c r="M196" i="1"/>
  <c r="A196" i="1"/>
  <c r="J196" i="1"/>
  <c r="I196" i="1"/>
  <c r="M195" i="1"/>
  <c r="A195" i="1"/>
  <c r="J195" i="1"/>
  <c r="I195" i="1"/>
  <c r="M194" i="1"/>
  <c r="A194" i="1"/>
  <c r="J194" i="1"/>
  <c r="I194" i="1"/>
  <c r="M193" i="1"/>
  <c r="A193" i="1"/>
  <c r="J193" i="1"/>
  <c r="I193" i="1"/>
  <c r="M192" i="1"/>
  <c r="A192" i="1"/>
  <c r="J192" i="1"/>
  <c r="I192" i="1"/>
  <c r="M191" i="1"/>
  <c r="A191" i="1"/>
  <c r="J191" i="1"/>
  <c r="I191" i="1"/>
  <c r="M190" i="1"/>
  <c r="A190" i="1"/>
  <c r="J190" i="1"/>
  <c r="I190" i="1"/>
  <c r="M189" i="1"/>
  <c r="A189" i="1"/>
  <c r="J189" i="1"/>
  <c r="I189" i="1"/>
  <c r="M188" i="1"/>
  <c r="A188" i="1"/>
  <c r="J188" i="1"/>
  <c r="I188" i="1"/>
  <c r="M187" i="1"/>
  <c r="A187" i="1"/>
  <c r="J187" i="1"/>
  <c r="I187" i="1"/>
  <c r="M186" i="1"/>
  <c r="A186" i="1"/>
  <c r="J186" i="1"/>
  <c r="I186" i="1"/>
  <c r="M185" i="1"/>
  <c r="A185" i="1"/>
  <c r="J185" i="1"/>
  <c r="I185" i="1"/>
  <c r="M184" i="1"/>
  <c r="A184" i="1"/>
  <c r="J184" i="1"/>
  <c r="I184" i="1"/>
  <c r="M183" i="1"/>
  <c r="A183" i="1"/>
  <c r="J183" i="1"/>
  <c r="I183" i="1"/>
  <c r="M182" i="1"/>
  <c r="A182" i="1"/>
  <c r="J182" i="1"/>
  <c r="I182" i="1"/>
  <c r="M181" i="1"/>
  <c r="A181" i="1"/>
  <c r="J181" i="1"/>
  <c r="I181" i="1"/>
  <c r="M180" i="1"/>
  <c r="A180" i="1"/>
  <c r="J180" i="1"/>
  <c r="I180" i="1"/>
  <c r="M179" i="1"/>
  <c r="A179" i="1"/>
  <c r="J179" i="1"/>
  <c r="I179" i="1"/>
  <c r="M178" i="1"/>
  <c r="A178" i="1"/>
  <c r="J178" i="1"/>
  <c r="I178" i="1"/>
  <c r="M177" i="1"/>
  <c r="A177" i="1"/>
  <c r="J177" i="1"/>
  <c r="I177" i="1"/>
  <c r="M176" i="1"/>
  <c r="A176" i="1"/>
  <c r="J176" i="1"/>
  <c r="I176" i="1"/>
  <c r="M175" i="1"/>
  <c r="A175" i="1"/>
  <c r="J175" i="1"/>
  <c r="I175" i="1"/>
  <c r="M174" i="1"/>
  <c r="A174" i="1"/>
  <c r="J174" i="1"/>
  <c r="I174" i="1"/>
  <c r="M173" i="1"/>
  <c r="A173" i="1"/>
  <c r="J173" i="1"/>
  <c r="I173" i="1"/>
  <c r="M172" i="1"/>
  <c r="A172" i="1"/>
  <c r="J172" i="1"/>
  <c r="I172" i="1"/>
  <c r="M171" i="1"/>
  <c r="A171" i="1"/>
  <c r="J171" i="1"/>
  <c r="I171" i="1"/>
  <c r="M170" i="1"/>
  <c r="A170" i="1"/>
  <c r="J170" i="1"/>
  <c r="I170" i="1"/>
  <c r="M169" i="1"/>
  <c r="A169" i="1"/>
  <c r="J169" i="1"/>
  <c r="I169" i="1"/>
  <c r="M168" i="1"/>
  <c r="A168" i="1"/>
  <c r="J168" i="1"/>
  <c r="I168" i="1"/>
  <c r="M167" i="1"/>
  <c r="A167" i="1"/>
  <c r="J167" i="1"/>
  <c r="I167" i="1"/>
  <c r="M166" i="1"/>
  <c r="A166" i="1"/>
  <c r="J166" i="1"/>
  <c r="I166" i="1"/>
  <c r="M165" i="1"/>
  <c r="A165" i="1"/>
  <c r="J165" i="1"/>
  <c r="I165" i="1"/>
  <c r="M164" i="1"/>
  <c r="A164" i="1"/>
  <c r="J164" i="1"/>
  <c r="I164" i="1"/>
  <c r="M163" i="1"/>
  <c r="A163" i="1"/>
  <c r="J163" i="1"/>
  <c r="I163" i="1"/>
  <c r="M162" i="1"/>
  <c r="A162" i="1"/>
  <c r="J162" i="1"/>
  <c r="I162" i="1"/>
  <c r="M161" i="1"/>
  <c r="A161" i="1"/>
  <c r="J161" i="1"/>
  <c r="I161" i="1"/>
  <c r="M160" i="1"/>
  <c r="A160" i="1"/>
  <c r="J160" i="1"/>
  <c r="I160" i="1"/>
  <c r="M159" i="1"/>
  <c r="A159" i="1"/>
  <c r="J159" i="1"/>
  <c r="I159" i="1"/>
  <c r="M158" i="1"/>
  <c r="A158" i="1"/>
  <c r="J158" i="1"/>
  <c r="I158" i="1"/>
  <c r="M157" i="1"/>
  <c r="A157" i="1"/>
  <c r="J157" i="1"/>
  <c r="I157" i="1"/>
  <c r="M156" i="1"/>
  <c r="A156" i="1"/>
  <c r="J156" i="1"/>
  <c r="I156" i="1"/>
  <c r="M155" i="1"/>
  <c r="A155" i="1"/>
  <c r="J155" i="1"/>
  <c r="I155" i="1"/>
  <c r="M154" i="1"/>
  <c r="A154" i="1"/>
  <c r="J154" i="1"/>
  <c r="I154" i="1"/>
  <c r="M153" i="1"/>
  <c r="A153" i="1"/>
  <c r="J153" i="1"/>
  <c r="I153" i="1"/>
  <c r="M152" i="1"/>
  <c r="A152" i="1"/>
  <c r="J152" i="1"/>
  <c r="I152" i="1"/>
  <c r="M151" i="1"/>
  <c r="A151" i="1"/>
  <c r="J151" i="1"/>
  <c r="I151" i="1"/>
  <c r="M150" i="1"/>
  <c r="A150" i="1"/>
  <c r="J150" i="1"/>
  <c r="I150" i="1"/>
  <c r="M149" i="1"/>
  <c r="A149" i="1"/>
  <c r="J149" i="1"/>
  <c r="I149" i="1"/>
  <c r="M148" i="1"/>
  <c r="A148" i="1"/>
  <c r="J148" i="1"/>
  <c r="I148" i="1"/>
  <c r="M147" i="1"/>
  <c r="A147" i="1"/>
  <c r="J147" i="1"/>
  <c r="I147" i="1"/>
  <c r="M146" i="1"/>
  <c r="A146" i="1"/>
  <c r="J146" i="1"/>
  <c r="I146" i="1"/>
  <c r="M145" i="1"/>
  <c r="A145" i="1"/>
  <c r="J145" i="1"/>
  <c r="I145" i="1"/>
  <c r="M144" i="1"/>
  <c r="A144" i="1"/>
  <c r="J144" i="1"/>
  <c r="I144" i="1"/>
  <c r="M143" i="1"/>
  <c r="A143" i="1"/>
  <c r="J143" i="1"/>
  <c r="I143" i="1"/>
  <c r="M142" i="1"/>
  <c r="A142" i="1"/>
  <c r="J142" i="1"/>
  <c r="I142" i="1"/>
  <c r="M141" i="1"/>
  <c r="A141" i="1"/>
  <c r="J141" i="1"/>
  <c r="I141" i="1"/>
  <c r="M140" i="1"/>
  <c r="A140" i="1"/>
  <c r="J140" i="1"/>
  <c r="I140" i="1"/>
  <c r="M139" i="1"/>
  <c r="A139" i="1"/>
  <c r="J139" i="1"/>
  <c r="I139" i="1"/>
  <c r="M138" i="1"/>
  <c r="A138" i="1"/>
  <c r="J138" i="1"/>
  <c r="I138" i="1"/>
  <c r="M137" i="1"/>
  <c r="A137" i="1"/>
  <c r="J137" i="1"/>
  <c r="I137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/>
  <c r="A99" i="1"/>
  <c r="A100" i="1"/>
  <c r="A101" i="1"/>
  <c r="M136" i="1"/>
  <c r="A136" i="1"/>
  <c r="J136" i="1"/>
  <c r="I136" i="1"/>
  <c r="M135" i="1"/>
  <c r="A135" i="1"/>
  <c r="J135" i="1"/>
  <c r="I135" i="1"/>
  <c r="M134" i="1"/>
  <c r="A134" i="1"/>
  <c r="J134" i="1"/>
  <c r="I134" i="1"/>
  <c r="M133" i="1"/>
  <c r="A133" i="1"/>
  <c r="J133" i="1"/>
  <c r="I133" i="1"/>
  <c r="J101" i="1"/>
  <c r="M132" i="1"/>
  <c r="A132" i="1"/>
  <c r="J132" i="1"/>
  <c r="I132" i="1"/>
  <c r="J100" i="1"/>
  <c r="M131" i="1"/>
  <c r="A131" i="1"/>
  <c r="J131" i="1"/>
  <c r="I131" i="1"/>
  <c r="J99" i="1"/>
  <c r="M130" i="1"/>
  <c r="A130" i="1"/>
  <c r="J130" i="1"/>
  <c r="I130" i="1"/>
  <c r="J98" i="1"/>
  <c r="M129" i="1"/>
  <c r="A129" i="1"/>
  <c r="J129" i="1"/>
  <c r="I129" i="1"/>
  <c r="J97" i="1"/>
  <c r="M128" i="1"/>
  <c r="A128" i="1"/>
  <c r="J128" i="1"/>
  <c r="I128" i="1"/>
  <c r="J96" i="1"/>
  <c r="M127" i="1"/>
  <c r="A127" i="1"/>
  <c r="J127" i="1"/>
  <c r="I127" i="1"/>
  <c r="J95" i="1"/>
  <c r="M126" i="1"/>
  <c r="A126" i="1"/>
  <c r="J126" i="1"/>
  <c r="I126" i="1"/>
  <c r="J94" i="1"/>
  <c r="M125" i="1"/>
  <c r="A125" i="1"/>
  <c r="J125" i="1"/>
  <c r="I125" i="1"/>
  <c r="J93" i="1"/>
  <c r="M124" i="1"/>
  <c r="A124" i="1"/>
  <c r="J124" i="1"/>
  <c r="I124" i="1"/>
  <c r="M123" i="1"/>
  <c r="A123" i="1"/>
  <c r="J123" i="1"/>
  <c r="I123" i="1"/>
  <c r="M122" i="1"/>
  <c r="A122" i="1"/>
  <c r="J122" i="1"/>
  <c r="I122" i="1"/>
  <c r="M121" i="1"/>
  <c r="A121" i="1"/>
  <c r="J121" i="1"/>
  <c r="I121" i="1"/>
  <c r="J92" i="1"/>
  <c r="M120" i="1"/>
  <c r="A120" i="1"/>
  <c r="J120" i="1"/>
  <c r="I120" i="1"/>
  <c r="J91" i="1"/>
  <c r="M119" i="1"/>
  <c r="A119" i="1"/>
  <c r="J119" i="1"/>
  <c r="I119" i="1"/>
  <c r="J90" i="1"/>
  <c r="M118" i="1"/>
  <c r="A118" i="1"/>
  <c r="J118" i="1"/>
  <c r="I118" i="1"/>
  <c r="J89" i="1"/>
  <c r="M117" i="1"/>
  <c r="A117" i="1"/>
  <c r="J117" i="1"/>
  <c r="I117" i="1"/>
  <c r="J88" i="1"/>
  <c r="M116" i="1"/>
  <c r="A116" i="1"/>
  <c r="J116" i="1"/>
  <c r="I116" i="1"/>
  <c r="J87" i="1"/>
  <c r="M115" i="1"/>
  <c r="A115" i="1"/>
  <c r="J115" i="1"/>
  <c r="I115" i="1"/>
  <c r="J86" i="1"/>
  <c r="M114" i="1"/>
  <c r="A114" i="1"/>
  <c r="J114" i="1"/>
  <c r="I114" i="1"/>
  <c r="J85" i="1"/>
  <c r="M113" i="1"/>
  <c r="A113" i="1"/>
  <c r="J113" i="1"/>
  <c r="I113" i="1"/>
  <c r="J84" i="1"/>
  <c r="M112" i="1"/>
  <c r="A112" i="1"/>
  <c r="J112" i="1"/>
  <c r="I112" i="1"/>
  <c r="J83" i="1"/>
  <c r="M111" i="1"/>
  <c r="A111" i="1"/>
  <c r="J111" i="1"/>
  <c r="I111" i="1"/>
  <c r="J82" i="1"/>
  <c r="M110" i="1"/>
  <c r="A110" i="1"/>
  <c r="J110" i="1"/>
  <c r="I110" i="1"/>
  <c r="J81" i="1"/>
  <c r="M109" i="1"/>
  <c r="A109" i="1"/>
  <c r="J109" i="1"/>
  <c r="I109" i="1"/>
  <c r="M108" i="1"/>
  <c r="A108" i="1"/>
  <c r="J108" i="1"/>
  <c r="I108" i="1"/>
  <c r="M107" i="1"/>
  <c r="A107" i="1"/>
  <c r="J107" i="1"/>
  <c r="I107" i="1"/>
  <c r="M106" i="1"/>
  <c r="A106" i="1"/>
  <c r="J106" i="1"/>
  <c r="I106" i="1"/>
  <c r="J80" i="1"/>
  <c r="M105" i="1"/>
  <c r="A105" i="1"/>
  <c r="J105" i="1"/>
  <c r="I105" i="1"/>
  <c r="J79" i="1"/>
  <c r="M104" i="1"/>
  <c r="A104" i="1"/>
  <c r="J104" i="1"/>
  <c r="I104" i="1"/>
  <c r="J78" i="1"/>
  <c r="M103" i="1"/>
  <c r="A103" i="1"/>
  <c r="J103" i="1"/>
  <c r="I103" i="1"/>
  <c r="J77" i="1"/>
  <c r="M102" i="1"/>
  <c r="A102" i="1"/>
  <c r="J102" i="1"/>
  <c r="I102" i="1"/>
  <c r="J76" i="1"/>
  <c r="M101" i="1"/>
  <c r="I101" i="1"/>
  <c r="J75" i="1"/>
  <c r="M100" i="1"/>
  <c r="I100" i="1"/>
  <c r="J74" i="1"/>
  <c r="M99" i="1"/>
  <c r="I99" i="1"/>
  <c r="J73" i="1"/>
  <c r="M98" i="1"/>
  <c r="I98" i="1"/>
  <c r="J72" i="1"/>
  <c r="M97" i="1"/>
  <c r="I97" i="1"/>
  <c r="J71" i="1"/>
  <c r="M96" i="1"/>
  <c r="I96" i="1"/>
  <c r="J70" i="1"/>
  <c r="M95" i="1"/>
  <c r="I95" i="1"/>
  <c r="J69" i="1"/>
  <c r="M94" i="1"/>
  <c r="I94" i="1"/>
  <c r="M93" i="1"/>
  <c r="I93" i="1"/>
  <c r="M92" i="1"/>
  <c r="I92" i="1"/>
  <c r="M91" i="1"/>
  <c r="I91" i="1"/>
  <c r="J68" i="1"/>
  <c r="M90" i="1"/>
  <c r="I90" i="1"/>
  <c r="J67" i="1"/>
  <c r="M89" i="1"/>
  <c r="I89" i="1"/>
  <c r="J66" i="1"/>
  <c r="M88" i="1"/>
  <c r="I88" i="1"/>
  <c r="J65" i="1"/>
  <c r="M87" i="1"/>
  <c r="I87" i="1"/>
  <c r="J64" i="1"/>
  <c r="M86" i="1"/>
  <c r="I86" i="1"/>
  <c r="J63" i="1"/>
  <c r="M85" i="1"/>
  <c r="I85" i="1"/>
  <c r="J62" i="1"/>
  <c r="M84" i="1"/>
  <c r="I84" i="1"/>
  <c r="J61" i="1"/>
  <c r="M83" i="1"/>
  <c r="I83" i="1"/>
  <c r="J60" i="1"/>
  <c r="M82" i="1"/>
  <c r="I82" i="1"/>
  <c r="J59" i="1"/>
  <c r="M81" i="1"/>
  <c r="I81" i="1"/>
  <c r="J58" i="1"/>
  <c r="M80" i="1"/>
  <c r="I80" i="1"/>
  <c r="J57" i="1"/>
  <c r="M79" i="1"/>
  <c r="I79" i="1"/>
  <c r="M78" i="1"/>
  <c r="I78" i="1"/>
  <c r="M77" i="1"/>
  <c r="I77" i="1"/>
  <c r="M76" i="1"/>
  <c r="I76" i="1"/>
  <c r="J56" i="1"/>
  <c r="M75" i="1"/>
  <c r="I75" i="1"/>
  <c r="J55" i="1"/>
  <c r="M74" i="1"/>
  <c r="I74" i="1"/>
  <c r="J54" i="1"/>
  <c r="M73" i="1"/>
  <c r="I73" i="1"/>
  <c r="J53" i="1"/>
  <c r="M72" i="1"/>
  <c r="I72" i="1"/>
  <c r="J52" i="1"/>
  <c r="M71" i="1"/>
  <c r="I71" i="1"/>
  <c r="J51" i="1"/>
  <c r="M70" i="1"/>
  <c r="I70" i="1"/>
  <c r="J50" i="1"/>
  <c r="M69" i="1"/>
  <c r="I69" i="1"/>
  <c r="J49" i="1"/>
  <c r="M68" i="1"/>
  <c r="I68" i="1"/>
  <c r="J48" i="1"/>
  <c r="M67" i="1"/>
  <c r="I67" i="1"/>
  <c r="J47" i="1"/>
  <c r="M66" i="1"/>
  <c r="I66" i="1"/>
  <c r="J46" i="1"/>
  <c r="M65" i="1"/>
  <c r="I65" i="1"/>
  <c r="J45" i="1"/>
  <c r="M64" i="1"/>
  <c r="I64" i="1"/>
  <c r="M63" i="1"/>
  <c r="I63" i="1"/>
  <c r="M62" i="1"/>
  <c r="I62" i="1"/>
  <c r="M61" i="1"/>
  <c r="I61" i="1"/>
  <c r="J44" i="1"/>
  <c r="M60" i="1"/>
  <c r="I60" i="1"/>
  <c r="J43" i="1"/>
  <c r="M59" i="1"/>
  <c r="I59" i="1"/>
  <c r="J42" i="1"/>
  <c r="M58" i="1"/>
  <c r="I58" i="1"/>
  <c r="J41" i="1"/>
  <c r="M57" i="1"/>
  <c r="I57" i="1"/>
  <c r="J40" i="1"/>
  <c r="M56" i="1"/>
  <c r="I56" i="1"/>
  <c r="J39" i="1"/>
  <c r="M55" i="1"/>
  <c r="I55" i="1"/>
  <c r="J38" i="1"/>
  <c r="M54" i="1"/>
  <c r="I54" i="1"/>
  <c r="J37" i="1"/>
  <c r="M53" i="1"/>
  <c r="I53" i="1"/>
  <c r="J36" i="1"/>
  <c r="M52" i="1"/>
  <c r="I52" i="1"/>
  <c r="J35" i="1"/>
  <c r="M51" i="1"/>
  <c r="I51" i="1"/>
  <c r="J34" i="1"/>
  <c r="M50" i="1"/>
  <c r="I50" i="1"/>
  <c r="J33" i="1"/>
  <c r="M49" i="1"/>
  <c r="I49" i="1"/>
  <c r="M48" i="1"/>
  <c r="I48" i="1"/>
  <c r="M47" i="1"/>
  <c r="I47" i="1"/>
  <c r="M46" i="1"/>
  <c r="I46" i="1"/>
  <c r="J32" i="1"/>
  <c r="M45" i="1"/>
  <c r="I45" i="1"/>
  <c r="J31" i="1"/>
  <c r="M44" i="1"/>
  <c r="I44" i="1"/>
  <c r="J30" i="1"/>
  <c r="M43" i="1"/>
  <c r="I43" i="1"/>
  <c r="J29" i="1"/>
  <c r="M42" i="1"/>
  <c r="I42" i="1"/>
  <c r="J28" i="1"/>
  <c r="M41" i="1"/>
  <c r="I41" i="1"/>
  <c r="J27" i="1"/>
  <c r="M40" i="1"/>
  <c r="I40" i="1"/>
  <c r="J26" i="1"/>
  <c r="M39" i="1"/>
  <c r="I39" i="1"/>
  <c r="J25" i="1"/>
  <c r="M38" i="1"/>
  <c r="I38" i="1"/>
  <c r="J24" i="1"/>
  <c r="M37" i="1"/>
  <c r="I37" i="1"/>
  <c r="J23" i="1"/>
  <c r="M36" i="1"/>
  <c r="I36" i="1"/>
  <c r="J22" i="1"/>
  <c r="M35" i="1"/>
  <c r="I35" i="1"/>
  <c r="J21" i="1"/>
  <c r="M34" i="1"/>
  <c r="I34" i="1"/>
  <c r="M33" i="1"/>
  <c r="I33" i="1"/>
  <c r="M32" i="1"/>
  <c r="I32" i="1"/>
  <c r="M31" i="1"/>
  <c r="I31" i="1"/>
  <c r="J20" i="1"/>
  <c r="M30" i="1"/>
  <c r="I30" i="1"/>
  <c r="J19" i="1"/>
  <c r="M29" i="1"/>
  <c r="I29" i="1"/>
  <c r="J18" i="1"/>
  <c r="M28" i="1"/>
  <c r="I28" i="1"/>
  <c r="J17" i="1"/>
  <c r="M27" i="1"/>
  <c r="I27" i="1"/>
  <c r="J16" i="1"/>
  <c r="M26" i="1"/>
  <c r="I26" i="1"/>
  <c r="J15" i="1"/>
  <c r="M25" i="1"/>
  <c r="I25" i="1"/>
  <c r="J14" i="1"/>
  <c r="M24" i="1"/>
  <c r="I24" i="1"/>
  <c r="J13" i="1"/>
  <c r="M23" i="1"/>
  <c r="I23" i="1"/>
  <c r="J12" i="1"/>
  <c r="M22" i="1"/>
  <c r="I22" i="1"/>
  <c r="J11" i="1"/>
  <c r="M21" i="1"/>
  <c r="I21" i="1"/>
  <c r="J10" i="1"/>
  <c r="M20" i="1"/>
  <c r="I20" i="1"/>
  <c r="J9" i="1"/>
  <c r="M19" i="1"/>
  <c r="I19" i="1"/>
  <c r="M18" i="1"/>
  <c r="I18" i="1"/>
  <c r="M17" i="1"/>
  <c r="I17" i="1"/>
  <c r="M16" i="1"/>
  <c r="I16" i="1"/>
  <c r="M15" i="1"/>
  <c r="I15" i="1"/>
  <c r="M14" i="1"/>
  <c r="I14" i="1"/>
  <c r="M13" i="1"/>
  <c r="I13" i="1"/>
  <c r="M12" i="1"/>
  <c r="I12" i="1"/>
  <c r="M11" i="1"/>
  <c r="I11" i="1"/>
  <c r="M10" i="1"/>
  <c r="I10" i="1"/>
  <c r="M9" i="1"/>
  <c r="I9" i="1"/>
  <c r="M8" i="1"/>
  <c r="J8" i="1"/>
  <c r="I8" i="1"/>
  <c r="M7" i="1"/>
  <c r="J7" i="1"/>
  <c r="I7" i="1"/>
  <c r="M6" i="1"/>
  <c r="J6" i="1"/>
  <c r="I6" i="1"/>
  <c r="M5" i="1"/>
  <c r="J5" i="1"/>
  <c r="I5" i="1"/>
  <c r="M4" i="1"/>
  <c r="J4" i="1"/>
  <c r="I4" i="1"/>
  <c r="M3" i="1"/>
  <c r="J3" i="1"/>
  <c r="I3" i="1"/>
  <c r="P3" i="1" l="1"/>
  <c r="P18" i="1" l="1"/>
  <c r="P16" i="1"/>
  <c r="P4" i="1"/>
  <c r="P5" i="1" l="1"/>
  <c r="P33" i="1"/>
  <c r="P31" i="1"/>
  <c r="P19" i="1"/>
  <c r="S4" i="1"/>
  <c r="R4" i="1"/>
  <c r="Q4" i="1"/>
  <c r="P20" i="1" l="1"/>
  <c r="P6" i="1"/>
  <c r="P48" i="1"/>
  <c r="R19" i="1"/>
  <c r="S19" i="1"/>
  <c r="Q19" i="1"/>
  <c r="S5" i="1"/>
  <c r="R5" i="1"/>
  <c r="Q5" i="1"/>
  <c r="P34" i="1"/>
  <c r="P46" i="1"/>
  <c r="R6" i="1" l="1"/>
  <c r="S6" i="1"/>
  <c r="Q6" i="1"/>
  <c r="Q20" i="1"/>
  <c r="S20" i="1"/>
  <c r="R20" i="1"/>
  <c r="P63" i="1"/>
  <c r="P7" i="1"/>
  <c r="P35" i="1"/>
  <c r="P61" i="1"/>
  <c r="P49" i="1"/>
  <c r="P50" i="1" s="1"/>
  <c r="P21" i="1"/>
  <c r="S34" i="1"/>
  <c r="R34" i="1"/>
  <c r="Q34" i="1"/>
  <c r="R50" i="1" l="1"/>
  <c r="S50" i="1"/>
  <c r="Q50" i="1"/>
  <c r="P51" i="1"/>
  <c r="R21" i="1"/>
  <c r="Q21" i="1"/>
  <c r="S21" i="1"/>
  <c r="P8" i="1"/>
  <c r="P36" i="1"/>
  <c r="P78" i="1"/>
  <c r="Q7" i="1"/>
  <c r="R7" i="1"/>
  <c r="S7" i="1"/>
  <c r="R49" i="1"/>
  <c r="Q49" i="1"/>
  <c r="S49" i="1"/>
  <c r="R35" i="1"/>
  <c r="S35" i="1"/>
  <c r="Q35" i="1"/>
  <c r="P22" i="1"/>
  <c r="P76" i="1"/>
  <c r="P64" i="1"/>
  <c r="S51" i="1" l="1"/>
  <c r="Q51" i="1"/>
  <c r="R51" i="1"/>
  <c r="S64" i="1"/>
  <c r="R64" i="1"/>
  <c r="Q64" i="1"/>
  <c r="P65" i="1"/>
  <c r="R8" i="1"/>
  <c r="Q8" i="1"/>
  <c r="S8" i="1"/>
  <c r="R22" i="1"/>
  <c r="S22" i="1"/>
  <c r="Q22" i="1"/>
  <c r="P93" i="1"/>
  <c r="P37" i="1"/>
  <c r="P38" i="1" s="1"/>
  <c r="P23" i="1"/>
  <c r="P24" i="1" s="1"/>
  <c r="Q36" i="1"/>
  <c r="R36" i="1"/>
  <c r="S36" i="1"/>
  <c r="P91" i="1"/>
  <c r="P79" i="1"/>
  <c r="P52" i="1"/>
  <c r="P9" i="1"/>
  <c r="R24" i="1" l="1"/>
  <c r="Q24" i="1"/>
  <c r="S24" i="1"/>
  <c r="P25" i="1"/>
  <c r="Q38" i="1"/>
  <c r="R38" i="1"/>
  <c r="S38" i="1"/>
  <c r="P39" i="1"/>
  <c r="P40" i="1" s="1"/>
  <c r="S9" i="1"/>
  <c r="Q9" i="1"/>
  <c r="R9" i="1"/>
  <c r="P10" i="1"/>
  <c r="P80" i="1"/>
  <c r="S65" i="1"/>
  <c r="Q65" i="1"/>
  <c r="R65" i="1"/>
  <c r="Q23" i="1"/>
  <c r="S23" i="1"/>
  <c r="R23" i="1"/>
  <c r="P53" i="1"/>
  <c r="S37" i="1"/>
  <c r="R37" i="1"/>
  <c r="Q37" i="1"/>
  <c r="R52" i="1"/>
  <c r="S52" i="1"/>
  <c r="Q52" i="1"/>
  <c r="P66" i="1"/>
  <c r="S79" i="1"/>
  <c r="Q79" i="1"/>
  <c r="R79" i="1"/>
  <c r="P106" i="1"/>
  <c r="P94" i="1"/>
  <c r="P108" i="1"/>
  <c r="P123" i="1" s="1"/>
  <c r="R40" i="1" l="1"/>
  <c r="Q40" i="1"/>
  <c r="S40" i="1"/>
  <c r="P41" i="1"/>
  <c r="S53" i="1"/>
  <c r="R53" i="1"/>
  <c r="Q53" i="1"/>
  <c r="P67" i="1"/>
  <c r="P68" i="1" s="1"/>
  <c r="P69" i="1" s="1"/>
  <c r="Q25" i="1"/>
  <c r="S25" i="1"/>
  <c r="R25" i="1"/>
  <c r="P26" i="1"/>
  <c r="Q94" i="1"/>
  <c r="R94" i="1"/>
  <c r="S94" i="1"/>
  <c r="P136" i="1"/>
  <c r="P124" i="1"/>
  <c r="P121" i="1"/>
  <c r="P109" i="1"/>
  <c r="P81" i="1"/>
  <c r="P54" i="1"/>
  <c r="R66" i="1"/>
  <c r="S66" i="1"/>
  <c r="Q66" i="1"/>
  <c r="P138" i="1"/>
  <c r="P95" i="1"/>
  <c r="P96" i="1" s="1"/>
  <c r="R39" i="1"/>
  <c r="S39" i="1"/>
  <c r="Q39" i="1"/>
  <c r="Q80" i="1"/>
  <c r="R80" i="1"/>
  <c r="S80" i="1"/>
  <c r="R10" i="1"/>
  <c r="S10" i="1"/>
  <c r="Q10" i="1"/>
  <c r="P11" i="1"/>
  <c r="S69" i="1" l="1"/>
  <c r="R69" i="1"/>
  <c r="Q69" i="1"/>
  <c r="Q96" i="1"/>
  <c r="R96" i="1"/>
  <c r="S96" i="1"/>
  <c r="S41" i="1"/>
  <c r="Q41" i="1"/>
  <c r="R41" i="1"/>
  <c r="P42" i="1"/>
  <c r="P110" i="1"/>
  <c r="P151" i="1"/>
  <c r="P139" i="1"/>
  <c r="R67" i="1"/>
  <c r="S67" i="1"/>
  <c r="Q67" i="1"/>
  <c r="R26" i="1"/>
  <c r="Q26" i="1"/>
  <c r="S26" i="1"/>
  <c r="P27" i="1"/>
  <c r="P97" i="1"/>
  <c r="P153" i="1"/>
  <c r="R54" i="1"/>
  <c r="S54" i="1"/>
  <c r="Q54" i="1"/>
  <c r="S109" i="1"/>
  <c r="Q109" i="1"/>
  <c r="R109" i="1"/>
  <c r="P125" i="1"/>
  <c r="Q81" i="1"/>
  <c r="R81" i="1"/>
  <c r="S81" i="1"/>
  <c r="S11" i="1"/>
  <c r="R11" i="1"/>
  <c r="Q11" i="1"/>
  <c r="P12" i="1"/>
  <c r="Q124" i="1"/>
  <c r="S124" i="1"/>
  <c r="R124" i="1"/>
  <c r="Q68" i="1"/>
  <c r="S68" i="1"/>
  <c r="R68" i="1"/>
  <c r="Q95" i="1"/>
  <c r="R95" i="1"/>
  <c r="S95" i="1"/>
  <c r="P70" i="1"/>
  <c r="P55" i="1"/>
  <c r="P82" i="1"/>
  <c r="P83" i="1" s="1"/>
  <c r="Q83" i="1" l="1"/>
  <c r="S83" i="1"/>
  <c r="R83" i="1"/>
  <c r="Q12" i="1"/>
  <c r="R12" i="1"/>
  <c r="S12" i="1"/>
  <c r="P13" i="1"/>
  <c r="R125" i="1"/>
  <c r="Q125" i="1"/>
  <c r="S125" i="1"/>
  <c r="P140" i="1"/>
  <c r="P141" i="1" s="1"/>
  <c r="P142" i="1" s="1"/>
  <c r="Q42" i="1"/>
  <c r="S42" i="1"/>
  <c r="R42" i="1"/>
  <c r="P43" i="1"/>
  <c r="Q55" i="1"/>
  <c r="S55" i="1"/>
  <c r="R55" i="1"/>
  <c r="P56" i="1"/>
  <c r="P154" i="1"/>
  <c r="P155" i="1" s="1"/>
  <c r="P166" i="1"/>
  <c r="P126" i="1"/>
  <c r="S82" i="1"/>
  <c r="R82" i="1"/>
  <c r="Q82" i="1"/>
  <c r="R70" i="1"/>
  <c r="Q70" i="1"/>
  <c r="S70" i="1"/>
  <c r="P98" i="1"/>
  <c r="P168" i="1"/>
  <c r="S139" i="1"/>
  <c r="R139" i="1"/>
  <c r="Q139" i="1"/>
  <c r="R110" i="1"/>
  <c r="S110" i="1"/>
  <c r="Q110" i="1"/>
  <c r="P111" i="1"/>
  <c r="P112" i="1" s="1"/>
  <c r="P71" i="1"/>
  <c r="S97" i="1"/>
  <c r="R97" i="1"/>
  <c r="Q97" i="1"/>
  <c r="P84" i="1"/>
  <c r="S27" i="1"/>
  <c r="Q27" i="1"/>
  <c r="R27" i="1"/>
  <c r="P28" i="1"/>
  <c r="Q155" i="1" l="1"/>
  <c r="R155" i="1"/>
  <c r="S155" i="1"/>
  <c r="P156" i="1"/>
  <c r="P157" i="1" s="1"/>
  <c r="P169" i="1"/>
  <c r="P170" i="1" s="1"/>
  <c r="P181" i="1"/>
  <c r="P183" i="1"/>
  <c r="R71" i="1"/>
  <c r="Q71" i="1"/>
  <c r="S71" i="1"/>
  <c r="P72" i="1"/>
  <c r="Q13" i="1"/>
  <c r="R13" i="1"/>
  <c r="S13" i="1"/>
  <c r="P14" i="1"/>
  <c r="R84" i="1"/>
  <c r="S84" i="1"/>
  <c r="Q84" i="1"/>
  <c r="R142" i="1"/>
  <c r="Q142" i="1"/>
  <c r="S142" i="1"/>
  <c r="Q98" i="1"/>
  <c r="R98" i="1"/>
  <c r="S98" i="1"/>
  <c r="P143" i="1"/>
  <c r="R112" i="1"/>
  <c r="Q112" i="1"/>
  <c r="S112" i="1"/>
  <c r="Q111" i="1"/>
  <c r="S111" i="1"/>
  <c r="R111" i="1"/>
  <c r="P113" i="1"/>
  <c r="R43" i="1"/>
  <c r="S43" i="1"/>
  <c r="Q43" i="1"/>
  <c r="P44" i="1"/>
  <c r="P99" i="1"/>
  <c r="R126" i="1"/>
  <c r="S126" i="1"/>
  <c r="Q126" i="1"/>
  <c r="P127" i="1"/>
  <c r="R56" i="1"/>
  <c r="S56" i="1"/>
  <c r="Q56" i="1"/>
  <c r="P57" i="1"/>
  <c r="P85" i="1"/>
  <c r="S28" i="1"/>
  <c r="Q28" i="1"/>
  <c r="R28" i="1"/>
  <c r="P29" i="1"/>
  <c r="Q141" i="1"/>
  <c r="R141" i="1"/>
  <c r="S141" i="1"/>
  <c r="S154" i="1"/>
  <c r="R154" i="1"/>
  <c r="Q154" i="1"/>
  <c r="Q140" i="1"/>
  <c r="R140" i="1"/>
  <c r="S140" i="1"/>
  <c r="P144" i="1"/>
  <c r="P145" i="1" l="1"/>
  <c r="P146" i="1" s="1"/>
  <c r="R157" i="1"/>
  <c r="Q157" i="1"/>
  <c r="S157" i="1"/>
  <c r="S29" i="1"/>
  <c r="R29" i="1"/>
  <c r="Q29" i="1"/>
  <c r="P30" i="1"/>
  <c r="P158" i="1"/>
  <c r="S169" i="1"/>
  <c r="R169" i="1"/>
  <c r="Q169" i="1"/>
  <c r="P196" i="1"/>
  <c r="P184" i="1"/>
  <c r="P185" i="1" s="1"/>
  <c r="P171" i="1"/>
  <c r="R99" i="1"/>
  <c r="S99" i="1"/>
  <c r="Q99" i="1"/>
  <c r="P100" i="1"/>
  <c r="Q156" i="1"/>
  <c r="R156" i="1"/>
  <c r="S156" i="1"/>
  <c r="S57" i="1"/>
  <c r="R57" i="1"/>
  <c r="Q57" i="1"/>
  <c r="P58" i="1"/>
  <c r="Q170" i="1"/>
  <c r="R170" i="1"/>
  <c r="S170" i="1"/>
  <c r="S113" i="1"/>
  <c r="R113" i="1"/>
  <c r="Q113" i="1"/>
  <c r="P114" i="1"/>
  <c r="P115" i="1" s="1"/>
  <c r="P198" i="1"/>
  <c r="P213" i="1" s="1"/>
  <c r="S144" i="1"/>
  <c r="R144" i="1"/>
  <c r="Q144" i="1"/>
  <c r="P128" i="1"/>
  <c r="P129" i="1" s="1"/>
  <c r="P130" i="1" s="1"/>
  <c r="S72" i="1"/>
  <c r="R72" i="1"/>
  <c r="Q72" i="1"/>
  <c r="P73" i="1"/>
  <c r="Q44" i="1"/>
  <c r="R44" i="1"/>
  <c r="S44" i="1"/>
  <c r="P45" i="1"/>
  <c r="Q127" i="1"/>
  <c r="R127" i="1"/>
  <c r="S127" i="1"/>
  <c r="Q14" i="1"/>
  <c r="R14" i="1"/>
  <c r="S14" i="1"/>
  <c r="P15" i="1"/>
  <c r="R85" i="1"/>
  <c r="Q85" i="1"/>
  <c r="S85" i="1"/>
  <c r="P86" i="1"/>
  <c r="Q143" i="1"/>
  <c r="R143" i="1"/>
  <c r="S143" i="1"/>
  <c r="Q146" i="1" l="1"/>
  <c r="P147" i="1"/>
  <c r="P148" i="1" s="1"/>
  <c r="Q145" i="1"/>
  <c r="S145" i="1"/>
  <c r="R145" i="1"/>
  <c r="R146" i="1"/>
  <c r="S146" i="1"/>
  <c r="R130" i="1"/>
  <c r="Q130" i="1"/>
  <c r="S130" i="1"/>
  <c r="P131" i="1"/>
  <c r="R73" i="1"/>
  <c r="Q73" i="1"/>
  <c r="S73" i="1"/>
  <c r="P74" i="1"/>
  <c r="R100" i="1"/>
  <c r="Q100" i="1"/>
  <c r="S100" i="1"/>
  <c r="P101" i="1"/>
  <c r="P186" i="1"/>
  <c r="S184" i="1"/>
  <c r="R184" i="1"/>
  <c r="Q184" i="1"/>
  <c r="S86" i="1"/>
  <c r="R86" i="1"/>
  <c r="Q86" i="1"/>
  <c r="P87" i="1"/>
  <c r="Q185" i="1"/>
  <c r="R185" i="1"/>
  <c r="S185" i="1"/>
  <c r="S45" i="1"/>
  <c r="R45" i="1"/>
  <c r="R46" i="1" s="1"/>
  <c r="Q45" i="1"/>
  <c r="Q46" i="1" s="1"/>
  <c r="P211" i="1"/>
  <c r="P199" i="1"/>
  <c r="P200" i="1" s="1"/>
  <c r="Q158" i="1"/>
  <c r="R158" i="1"/>
  <c r="S158" i="1"/>
  <c r="P159" i="1"/>
  <c r="R129" i="1"/>
  <c r="S129" i="1"/>
  <c r="Q129" i="1"/>
  <c r="P226" i="1"/>
  <c r="P214" i="1"/>
  <c r="P228" i="1"/>
  <c r="P243" i="1" s="1"/>
  <c r="Q171" i="1"/>
  <c r="R171" i="1"/>
  <c r="S171" i="1"/>
  <c r="R30" i="1"/>
  <c r="R31" i="1" s="1"/>
  <c r="S30" i="1"/>
  <c r="Q30" i="1"/>
  <c r="Q31" i="1" s="1"/>
  <c r="Q15" i="1"/>
  <c r="Q16" i="1" s="1"/>
  <c r="R15" i="1"/>
  <c r="R16" i="1" s="1"/>
  <c r="S16" i="1" s="1"/>
  <c r="S15" i="1"/>
  <c r="Q128" i="1"/>
  <c r="S128" i="1"/>
  <c r="R128" i="1"/>
  <c r="R58" i="1"/>
  <c r="S58" i="1"/>
  <c r="Q58" i="1"/>
  <c r="P59" i="1"/>
  <c r="Q115" i="1"/>
  <c r="S115" i="1"/>
  <c r="R115" i="1"/>
  <c r="R147" i="1"/>
  <c r="Q147" i="1"/>
  <c r="Q114" i="1"/>
  <c r="S114" i="1"/>
  <c r="R114" i="1"/>
  <c r="P116" i="1"/>
  <c r="P117" i="1" s="1"/>
  <c r="P172" i="1"/>
  <c r="P187" i="1"/>
  <c r="S147" i="1" l="1"/>
  <c r="S46" i="1"/>
  <c r="P256" i="1"/>
  <c r="P244" i="1"/>
  <c r="S87" i="1"/>
  <c r="Q87" i="1"/>
  <c r="R87" i="1"/>
  <c r="P88" i="1"/>
  <c r="R74" i="1"/>
  <c r="S74" i="1"/>
  <c r="Q74" i="1"/>
  <c r="P75" i="1"/>
  <c r="S117" i="1"/>
  <c r="R117" i="1"/>
  <c r="Q117" i="1"/>
  <c r="P118" i="1"/>
  <c r="P188" i="1"/>
  <c r="P189" i="1" s="1"/>
  <c r="Q148" i="1"/>
  <c r="R148" i="1"/>
  <c r="S148" i="1"/>
  <c r="Q186" i="1"/>
  <c r="R186" i="1"/>
  <c r="S186" i="1"/>
  <c r="Q131" i="1"/>
  <c r="R131" i="1"/>
  <c r="S131" i="1"/>
  <c r="P132" i="1"/>
  <c r="S101" i="1"/>
  <c r="R101" i="1"/>
  <c r="Q101" i="1"/>
  <c r="P102" i="1"/>
  <c r="Q200" i="1"/>
  <c r="R200" i="1"/>
  <c r="S200" i="1"/>
  <c r="R116" i="1"/>
  <c r="Q116" i="1"/>
  <c r="S116" i="1"/>
  <c r="S31" i="1"/>
  <c r="S214" i="1"/>
  <c r="R214" i="1"/>
  <c r="Q214" i="1"/>
  <c r="P215" i="1"/>
  <c r="P241" i="1"/>
  <c r="P229" i="1"/>
  <c r="P230" i="1" s="1"/>
  <c r="P201" i="1"/>
  <c r="P149" i="1"/>
  <c r="S59" i="1"/>
  <c r="Q59" i="1"/>
  <c r="R59" i="1"/>
  <c r="P60" i="1"/>
  <c r="S187" i="1"/>
  <c r="R187" i="1"/>
  <c r="Q187" i="1"/>
  <c r="R172" i="1"/>
  <c r="Q172" i="1"/>
  <c r="S172" i="1"/>
  <c r="P258" i="1"/>
  <c r="P173" i="1"/>
  <c r="S159" i="1"/>
  <c r="R159" i="1"/>
  <c r="Q159" i="1"/>
  <c r="P160" i="1"/>
  <c r="S199" i="1"/>
  <c r="R199" i="1"/>
  <c r="Q199" i="1"/>
  <c r="S118" i="1" l="1"/>
  <c r="Q118" i="1"/>
  <c r="R118" i="1"/>
  <c r="S102" i="1"/>
  <c r="Q102" i="1"/>
  <c r="R102" i="1"/>
  <c r="P103" i="1"/>
  <c r="Q88" i="1"/>
  <c r="R88" i="1"/>
  <c r="S88" i="1"/>
  <c r="P89" i="1"/>
  <c r="P271" i="1"/>
  <c r="P259" i="1"/>
  <c r="Q201" i="1"/>
  <c r="R201" i="1"/>
  <c r="S201" i="1"/>
  <c r="Q132" i="1"/>
  <c r="S132" i="1"/>
  <c r="R132" i="1"/>
  <c r="P133" i="1"/>
  <c r="Q149" i="1"/>
  <c r="R149" i="1"/>
  <c r="S149" i="1"/>
  <c r="P150" i="1"/>
  <c r="R160" i="1"/>
  <c r="S160" i="1"/>
  <c r="Q160" i="1"/>
  <c r="P161" i="1"/>
  <c r="P162" i="1" s="1"/>
  <c r="P119" i="1"/>
  <c r="Q230" i="1"/>
  <c r="R230" i="1"/>
  <c r="S230" i="1"/>
  <c r="S229" i="1"/>
  <c r="R229" i="1"/>
  <c r="Q229" i="1"/>
  <c r="R75" i="1"/>
  <c r="R76" i="1" s="1"/>
  <c r="S75" i="1"/>
  <c r="Q75" i="1"/>
  <c r="Q76" i="1" s="1"/>
  <c r="Q173" i="1"/>
  <c r="R173" i="1"/>
  <c r="S173" i="1"/>
  <c r="P174" i="1"/>
  <c r="S244" i="1"/>
  <c r="R244" i="1"/>
  <c r="Q244" i="1"/>
  <c r="Q215" i="1"/>
  <c r="R215" i="1"/>
  <c r="S215" i="1"/>
  <c r="S189" i="1"/>
  <c r="R189" i="1"/>
  <c r="Q189" i="1"/>
  <c r="P231" i="1"/>
  <c r="R60" i="1"/>
  <c r="R61" i="1" s="1"/>
  <c r="S60" i="1"/>
  <c r="Q60" i="1"/>
  <c r="Q61" i="1" s="1"/>
  <c r="P216" i="1"/>
  <c r="P217" i="1" s="1"/>
  <c r="P190" i="1"/>
  <c r="P202" i="1"/>
  <c r="Q188" i="1"/>
  <c r="R188" i="1"/>
  <c r="S188" i="1"/>
  <c r="P245" i="1"/>
  <c r="Q119" i="1" l="1"/>
  <c r="S119" i="1"/>
  <c r="R119" i="1"/>
  <c r="P120" i="1"/>
  <c r="S202" i="1"/>
  <c r="R202" i="1"/>
  <c r="Q202" i="1"/>
  <c r="P203" i="1"/>
  <c r="Q161" i="1"/>
  <c r="S161" i="1"/>
  <c r="R161" i="1"/>
  <c r="P163" i="1"/>
  <c r="S174" i="1"/>
  <c r="R174" i="1"/>
  <c r="Q174" i="1"/>
  <c r="Q103" i="1"/>
  <c r="R103" i="1"/>
  <c r="S103" i="1"/>
  <c r="P104" i="1"/>
  <c r="P246" i="1"/>
  <c r="P175" i="1"/>
  <c r="S76" i="1"/>
  <c r="Q231" i="1"/>
  <c r="R231" i="1"/>
  <c r="S231" i="1"/>
  <c r="R259" i="1"/>
  <c r="Q259" i="1"/>
  <c r="S259" i="1"/>
  <c r="R190" i="1"/>
  <c r="S190" i="1"/>
  <c r="Q190" i="1"/>
  <c r="P191" i="1"/>
  <c r="P192" i="1" s="1"/>
  <c r="P218" i="1"/>
  <c r="S217" i="1"/>
  <c r="R217" i="1"/>
  <c r="Q217" i="1"/>
  <c r="S162" i="1"/>
  <c r="R162" i="1"/>
  <c r="Q162" i="1"/>
  <c r="Q89" i="1"/>
  <c r="R89" i="1"/>
  <c r="S89" i="1"/>
  <c r="P90" i="1"/>
  <c r="R133" i="1"/>
  <c r="Q133" i="1"/>
  <c r="S133" i="1"/>
  <c r="P134" i="1"/>
  <c r="Q150" i="1"/>
  <c r="Q151" i="1" s="1"/>
  <c r="R150" i="1"/>
  <c r="R151" i="1" s="1"/>
  <c r="S150" i="1"/>
  <c r="Q245" i="1"/>
  <c r="S245" i="1"/>
  <c r="R245" i="1"/>
  <c r="P232" i="1"/>
  <c r="Q216" i="1"/>
  <c r="R216" i="1"/>
  <c r="S216" i="1"/>
  <c r="P219" i="1"/>
  <c r="P220" i="1" s="1"/>
  <c r="P204" i="1"/>
  <c r="S61" i="1"/>
  <c r="P260" i="1"/>
  <c r="S151" i="1" l="1"/>
  <c r="R220" i="1"/>
  <c r="S220" i="1"/>
  <c r="Q220" i="1"/>
  <c r="P221" i="1"/>
  <c r="P222" i="1" s="1"/>
  <c r="Q104" i="1"/>
  <c r="S104" i="1"/>
  <c r="R104" i="1"/>
  <c r="P105" i="1"/>
  <c r="R120" i="1"/>
  <c r="R121" i="1" s="1"/>
  <c r="Q120" i="1"/>
  <c r="Q121" i="1" s="1"/>
  <c r="S120" i="1"/>
  <c r="S204" i="1"/>
  <c r="R204" i="1"/>
  <c r="Q204" i="1"/>
  <c r="S192" i="1"/>
  <c r="R192" i="1"/>
  <c r="Q192" i="1"/>
  <c r="S134" i="1"/>
  <c r="R134" i="1"/>
  <c r="Q134" i="1"/>
  <c r="P135" i="1"/>
  <c r="P261" i="1"/>
  <c r="Q203" i="1"/>
  <c r="R203" i="1"/>
  <c r="S203" i="1"/>
  <c r="S219" i="1"/>
  <c r="R219" i="1"/>
  <c r="Q219" i="1"/>
  <c r="R175" i="1"/>
  <c r="S175" i="1"/>
  <c r="Q175" i="1"/>
  <c r="P176" i="1"/>
  <c r="Q163" i="1"/>
  <c r="R163" i="1"/>
  <c r="S163" i="1"/>
  <c r="Q246" i="1"/>
  <c r="R246" i="1"/>
  <c r="S246" i="1"/>
  <c r="P193" i="1"/>
  <c r="P205" i="1"/>
  <c r="P206" i="1" s="1"/>
  <c r="P164" i="1"/>
  <c r="R232" i="1"/>
  <c r="Q232" i="1"/>
  <c r="S232" i="1"/>
  <c r="Q260" i="1"/>
  <c r="S260" i="1"/>
  <c r="R260" i="1"/>
  <c r="P247" i="1"/>
  <c r="P248" i="1" s="1"/>
  <c r="Q218" i="1"/>
  <c r="R218" i="1"/>
  <c r="S218" i="1"/>
  <c r="S90" i="1"/>
  <c r="R90" i="1"/>
  <c r="R91" i="1" s="1"/>
  <c r="Q90" i="1"/>
  <c r="Q91" i="1" s="1"/>
  <c r="S191" i="1"/>
  <c r="R191" i="1"/>
  <c r="Q191" i="1"/>
  <c r="P233" i="1"/>
  <c r="S121" i="1" l="1"/>
  <c r="R206" i="1"/>
  <c r="S206" i="1"/>
  <c r="Q206" i="1"/>
  <c r="P207" i="1"/>
  <c r="Q248" i="1"/>
  <c r="S248" i="1"/>
  <c r="R248" i="1"/>
  <c r="S222" i="1"/>
  <c r="R222" i="1"/>
  <c r="Q222" i="1"/>
  <c r="P223" i="1"/>
  <c r="Q164" i="1"/>
  <c r="R164" i="1"/>
  <c r="S164" i="1"/>
  <c r="P165" i="1"/>
  <c r="Q193" i="1"/>
  <c r="R193" i="1"/>
  <c r="S193" i="1"/>
  <c r="P194" i="1"/>
  <c r="S261" i="1"/>
  <c r="Q261" i="1"/>
  <c r="R261" i="1"/>
  <c r="Q176" i="1"/>
  <c r="S176" i="1"/>
  <c r="R176" i="1"/>
  <c r="P177" i="1"/>
  <c r="Q135" i="1"/>
  <c r="Q136" i="1" s="1"/>
  <c r="S135" i="1"/>
  <c r="R135" i="1"/>
  <c r="R136" i="1" s="1"/>
  <c r="Q233" i="1"/>
  <c r="R233" i="1"/>
  <c r="S233" i="1"/>
  <c r="P262" i="1"/>
  <c r="S91" i="1"/>
  <c r="Q221" i="1"/>
  <c r="S221" i="1"/>
  <c r="R221" i="1"/>
  <c r="R247" i="1"/>
  <c r="Q247" i="1"/>
  <c r="S247" i="1"/>
  <c r="P234" i="1"/>
  <c r="R205" i="1"/>
  <c r="S205" i="1"/>
  <c r="Q205" i="1"/>
  <c r="P249" i="1"/>
  <c r="S105" i="1"/>
  <c r="R105" i="1"/>
  <c r="R106" i="1" s="1"/>
  <c r="Q105" i="1"/>
  <c r="Q106" i="1" s="1"/>
  <c r="S106" i="1" l="1"/>
  <c r="S136" i="1"/>
  <c r="R262" i="1"/>
  <c r="S262" i="1"/>
  <c r="Q262" i="1"/>
  <c r="Q194" i="1"/>
  <c r="R194" i="1"/>
  <c r="S194" i="1"/>
  <c r="P195" i="1"/>
  <c r="Q223" i="1"/>
  <c r="R223" i="1"/>
  <c r="S223" i="1"/>
  <c r="P224" i="1"/>
  <c r="P263" i="1"/>
  <c r="S207" i="1"/>
  <c r="R207" i="1"/>
  <c r="Q207" i="1"/>
  <c r="P208" i="1"/>
  <c r="S234" i="1"/>
  <c r="R234" i="1"/>
  <c r="Q234" i="1"/>
  <c r="P235" i="1"/>
  <c r="R165" i="1"/>
  <c r="R166" i="1" s="1"/>
  <c r="S165" i="1"/>
  <c r="Q165" i="1"/>
  <c r="Q166" i="1" s="1"/>
  <c r="R249" i="1"/>
  <c r="Q249" i="1"/>
  <c r="S249" i="1"/>
  <c r="P250" i="1"/>
  <c r="S177" i="1"/>
  <c r="R177" i="1"/>
  <c r="Q177" i="1"/>
  <c r="P178" i="1"/>
  <c r="S166" i="1" l="1"/>
  <c r="S263" i="1"/>
  <c r="R263" i="1"/>
  <c r="Q263" i="1"/>
  <c r="Q224" i="1"/>
  <c r="R224" i="1"/>
  <c r="S224" i="1"/>
  <c r="P225" i="1"/>
  <c r="R235" i="1"/>
  <c r="S235" i="1"/>
  <c r="Q235" i="1"/>
  <c r="P236" i="1"/>
  <c r="Q208" i="1"/>
  <c r="R208" i="1"/>
  <c r="S208" i="1"/>
  <c r="P209" i="1"/>
  <c r="R195" i="1"/>
  <c r="R196" i="1" s="1"/>
  <c r="S195" i="1"/>
  <c r="Q195" i="1"/>
  <c r="Q196" i="1" s="1"/>
  <c r="Q178" i="1"/>
  <c r="R178" i="1"/>
  <c r="S178" i="1"/>
  <c r="P179" i="1"/>
  <c r="R250" i="1"/>
  <c r="S250" i="1"/>
  <c r="Q250" i="1"/>
  <c r="P251" i="1"/>
  <c r="P264" i="1"/>
  <c r="S196" i="1" l="1"/>
  <c r="Q264" i="1"/>
  <c r="S264" i="1"/>
  <c r="R264" i="1"/>
  <c r="R236" i="1"/>
  <c r="S236" i="1"/>
  <c r="Q236" i="1"/>
  <c r="P237" i="1"/>
  <c r="P265" i="1"/>
  <c r="Q179" i="1"/>
  <c r="R179" i="1"/>
  <c r="S179" i="1"/>
  <c r="P180" i="1"/>
  <c r="Q225" i="1"/>
  <c r="Q226" i="1" s="1"/>
  <c r="R225" i="1"/>
  <c r="R226" i="1" s="1"/>
  <c r="S225" i="1"/>
  <c r="R251" i="1"/>
  <c r="Q251" i="1"/>
  <c r="S251" i="1"/>
  <c r="P252" i="1"/>
  <c r="Q209" i="1"/>
  <c r="R209" i="1"/>
  <c r="S209" i="1"/>
  <c r="P210" i="1"/>
  <c r="S237" i="1" l="1"/>
  <c r="R237" i="1"/>
  <c r="Q237" i="1"/>
  <c r="P238" i="1"/>
  <c r="S226" i="1"/>
  <c r="S252" i="1"/>
  <c r="R252" i="1"/>
  <c r="Q252" i="1"/>
  <c r="P253" i="1"/>
  <c r="R180" i="1"/>
  <c r="R181" i="1" s="1"/>
  <c r="S180" i="1"/>
  <c r="Q180" i="1"/>
  <c r="Q181" i="1" s="1"/>
  <c r="Q210" i="1"/>
  <c r="Q211" i="1" s="1"/>
  <c r="R210" i="1"/>
  <c r="R211" i="1" s="1"/>
  <c r="S210" i="1"/>
  <c r="Q265" i="1"/>
  <c r="R265" i="1"/>
  <c r="S265" i="1"/>
  <c r="P266" i="1"/>
  <c r="S211" i="1" l="1"/>
  <c r="Q238" i="1"/>
  <c r="R238" i="1"/>
  <c r="S238" i="1"/>
  <c r="P239" i="1"/>
  <c r="R266" i="1"/>
  <c r="Q266" i="1"/>
  <c r="S266" i="1"/>
  <c r="P267" i="1"/>
  <c r="S181" i="1"/>
  <c r="Q253" i="1"/>
  <c r="S253" i="1"/>
  <c r="R253" i="1"/>
  <c r="P254" i="1"/>
  <c r="Q254" i="1" l="1"/>
  <c r="R254" i="1"/>
  <c r="S254" i="1"/>
  <c r="P255" i="1"/>
  <c r="Q239" i="1"/>
  <c r="R239" i="1"/>
  <c r="S239" i="1"/>
  <c r="P240" i="1"/>
  <c r="R267" i="1"/>
  <c r="Q267" i="1"/>
  <c r="S267" i="1"/>
  <c r="P268" i="1"/>
  <c r="R255" i="1" l="1"/>
  <c r="R256" i="1" s="1"/>
  <c r="Q255" i="1"/>
  <c r="Q256" i="1" s="1"/>
  <c r="S255" i="1"/>
  <c r="R240" i="1"/>
  <c r="R241" i="1" s="1"/>
  <c r="S240" i="1"/>
  <c r="Q240" i="1"/>
  <c r="Q241" i="1" s="1"/>
  <c r="Q268" i="1"/>
  <c r="S268" i="1"/>
  <c r="R268" i="1"/>
  <c r="P269" i="1"/>
  <c r="S241" i="1" l="1"/>
  <c r="S269" i="1"/>
  <c r="Q269" i="1"/>
  <c r="R269" i="1"/>
  <c r="P270" i="1"/>
  <c r="S256" i="1"/>
  <c r="R270" i="1" l="1"/>
  <c r="R271" i="1" s="1"/>
  <c r="Q270" i="1"/>
  <c r="Q271" i="1" s="1"/>
  <c r="S270" i="1"/>
  <c r="S271" i="1" l="1"/>
</calcChain>
</file>

<file path=xl/sharedStrings.xml><?xml version="1.0" encoding="utf-8"?>
<sst xmlns="http://schemas.openxmlformats.org/spreadsheetml/2006/main" count="209" uniqueCount="18">
  <si>
    <t>Num</t>
  </si>
  <si>
    <t>Année</t>
  </si>
  <si>
    <t>Mois</t>
  </si>
  <si>
    <t>Tarif d'achat appliqué</t>
  </si>
  <si>
    <t>Tarif d'achat recalculé</t>
  </si>
  <si>
    <t>Production mens. réelle</t>
  </si>
  <si>
    <t>Irradiance historique (kWh/m²)</t>
  </si>
  <si>
    <t>Production mens. théorique</t>
  </si>
  <si>
    <t>Différentiel production</t>
  </si>
  <si>
    <t>PR réactualisé calculé</t>
  </si>
  <si>
    <t>Taux de disponibilité estimé</t>
  </si>
  <si>
    <t>Production mens. CVS</t>
  </si>
  <si>
    <t>Evénement référencé</t>
  </si>
  <si>
    <t>kWh théorique</t>
  </si>
  <si>
    <t>kWh réel</t>
  </si>
  <si>
    <t>PR</t>
  </si>
  <si>
    <t/>
  </si>
  <si>
    <t>Production mens. CVS2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</si>
</sst>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mmm\-yy;@"/>
    <numFmt numFmtId="165" formatCode="#,##0.00000\ &quot;€&quot;"/>
    <numFmt numFmtId="166" formatCode="#,##0&quot; kWh&quot;"/>
    <numFmt numFmtId="167" formatCode="#,##0&quot; kWh\m²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Arial Narrow"/>
      <family val="2"/>
    </font>
    <font>
      <b/>
      <sz val="11"/>
      <color theme="0"/>
      <name val="Arial Narrow"/>
      <family val="2"/>
    </font>
    <font>
      <sz val="11"/>
      <color theme="1" tint="4.9989318521683403E-2"/>
      <name val="Arial Narrow"/>
      <family val="2"/>
    </font>
    <font>
      <sz val="10"/>
      <color theme="1" tint="4.9989318521683403E-2"/>
      <name val="Arial Narrow"/>
      <family val="2"/>
    </font>
    <font>
      <sz val="8"/>
      <color theme="1" tint="4.9989318521683403E-2"/>
      <name val="Arial Narrow"/>
      <family val="2"/>
    </font>
    <font>
      <b/>
      <sz val="10"/>
      <color theme="1" tint="4.9989318521683403E-2"/>
      <name val="Arial Narrow"/>
      <family val="2"/>
    </font>
    <font>
      <sz val="10"/>
      <color theme="0"/>
      <name val="Arial Narrow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4" fillId="0" borderId="0" xfId="0" applyFont="1" applyAlignment="1" applyProtection="1">
      <alignment horizontal="center" vertical="center"/>
    </xf>
    <xf numFmtId="1" fontId="4" fillId="0" borderId="0" xfId="0" applyNumberFormat="1" applyFont="1" applyAlignment="1" applyProtection="1">
      <alignment horizontal="center" vertical="center"/>
    </xf>
    <xf numFmtId="164" fontId="4" fillId="0" borderId="0" xfId="0" applyNumberFormat="1" applyFont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 wrapText="1"/>
    </xf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4" fillId="0" borderId="5" xfId="0" applyFont="1" applyBorder="1" applyAlignment="1" applyProtection="1">
      <alignment horizontal="center" vertical="center"/>
    </xf>
    <xf numFmtId="1" fontId="4" fillId="0" borderId="1" xfId="0" applyNumberFormat="1" applyFont="1" applyBorder="1" applyAlignment="1" applyProtection="1">
      <alignment horizontal="center" vertical="center"/>
    </xf>
    <xf numFmtId="164" fontId="4" fillId="0" borderId="1" xfId="0" applyNumberFormat="1" applyFont="1" applyBorder="1" applyAlignment="1" applyProtection="1">
      <alignment horizontal="center" vertical="center"/>
      <protection locked="0"/>
    </xf>
    <xf numFmtId="165" fontId="4" fillId="0" borderId="1" xfId="0" applyNumberFormat="1" applyFont="1" applyBorder="1" applyAlignment="1" applyProtection="1">
      <alignment horizontal="center" vertical="center"/>
      <protection locked="0"/>
    </xf>
    <xf numFmtId="166" fontId="4" fillId="0" borderId="1" xfId="0" applyNumberFormat="1" applyFont="1" applyBorder="1" applyAlignment="1" applyProtection="1">
      <alignment horizontal="center" vertical="center"/>
      <protection locked="0"/>
    </xf>
    <xf numFmtId="167" fontId="4" fillId="0" borderId="1" xfId="0" applyNumberFormat="1" applyFont="1" applyBorder="1" applyAlignment="1" applyProtection="1">
      <alignment horizontal="center" vertical="center"/>
      <protection locked="0"/>
    </xf>
    <xf numFmtId="166" fontId="4" fillId="0" borderId="1" xfId="0" applyNumberFormat="1" applyFont="1" applyBorder="1" applyAlignment="1" applyProtection="1">
      <alignment horizontal="center" vertical="center"/>
    </xf>
    <xf numFmtId="9" fontId="4" fillId="0" borderId="1" xfId="0" applyNumberFormat="1" applyFont="1" applyFill="1" applyBorder="1" applyAlignment="1" applyProtection="1">
      <alignment horizontal="center" vertical="center"/>
    </xf>
    <xf numFmtId="9" fontId="4" fillId="0" borderId="1" xfId="0" applyNumberFormat="1" applyFont="1" applyBorder="1" applyAlignment="1" applyProtection="1">
      <alignment horizontal="center" vertical="center"/>
      <protection locked="0"/>
    </xf>
    <xf numFmtId="166" fontId="4" fillId="0" borderId="1" xfId="0" applyNumberFormat="1" applyFont="1" applyFill="1" applyBorder="1" applyAlignment="1" applyProtection="1">
      <alignment horizontal="center" vertical="center"/>
    </xf>
    <xf numFmtId="49" fontId="6" fillId="0" borderId="6" xfId="0" applyNumberFormat="1" applyFont="1" applyBorder="1" applyAlignment="1" applyProtection="1">
      <alignment horizontal="center" vertical="center" wrapText="1"/>
      <protection locked="0"/>
    </xf>
    <xf numFmtId="1" fontId="7" fillId="0" borderId="1" xfId="0" applyNumberFormat="1" applyFont="1" applyBorder="1" applyAlignment="1" applyProtection="1">
      <alignment horizontal="left" vertical="center"/>
    </xf>
    <xf numFmtId="0" fontId="7" fillId="0" borderId="1" xfId="0" applyFont="1" applyBorder="1" applyAlignment="1" applyProtection="1">
      <alignment horizontal="center" vertical="center"/>
    </xf>
    <xf numFmtId="164" fontId="5" fillId="0" borderId="2" xfId="0" applyNumberFormat="1" applyFont="1" applyBorder="1" applyAlignment="1" applyProtection="1">
      <alignment horizontal="left" vertical="center"/>
      <protection locked="0"/>
    </xf>
    <xf numFmtId="166" fontId="5" fillId="0" borderId="2" xfId="0" applyNumberFormat="1" applyFont="1" applyBorder="1" applyAlignment="1" applyProtection="1">
      <alignment horizontal="center" vertical="center"/>
    </xf>
    <xf numFmtId="9" fontId="5" fillId="0" borderId="2" xfId="1" applyFont="1" applyBorder="1" applyAlignment="1" applyProtection="1">
      <alignment horizontal="center" vertical="center"/>
    </xf>
    <xf numFmtId="164" fontId="5" fillId="0" borderId="3" xfId="0" applyNumberFormat="1" applyFont="1" applyBorder="1" applyAlignment="1" applyProtection="1">
      <alignment horizontal="left" vertical="center"/>
      <protection locked="0"/>
    </xf>
    <xf numFmtId="166" fontId="5" fillId="0" borderId="3" xfId="0" applyNumberFormat="1" applyFont="1" applyBorder="1" applyAlignment="1" applyProtection="1">
      <alignment horizontal="center" vertical="center"/>
    </xf>
    <xf numFmtId="9" fontId="5" fillId="0" borderId="3" xfId="1" applyFont="1" applyBorder="1" applyAlignment="1" applyProtection="1">
      <alignment horizontal="center" vertical="center"/>
    </xf>
    <xf numFmtId="164" fontId="5" fillId="0" borderId="4" xfId="0" applyNumberFormat="1" applyFont="1" applyBorder="1" applyAlignment="1" applyProtection="1">
      <alignment horizontal="left" vertical="center"/>
      <protection locked="0"/>
    </xf>
    <xf numFmtId="166" fontId="5" fillId="0" borderId="4" xfId="0" applyNumberFormat="1" applyFont="1" applyBorder="1" applyAlignment="1" applyProtection="1">
      <alignment horizontal="center" vertical="center"/>
    </xf>
    <xf numFmtId="9" fontId="5" fillId="0" borderId="4" xfId="1" applyFont="1" applyBorder="1" applyAlignment="1" applyProtection="1">
      <alignment horizontal="center" vertical="center"/>
    </xf>
    <xf numFmtId="164" fontId="7" fillId="0" borderId="1" xfId="0" applyNumberFormat="1" applyFont="1" applyBorder="1" applyAlignment="1" applyProtection="1">
      <alignment horizontal="left" vertical="center"/>
      <protection locked="0"/>
    </xf>
    <xf numFmtId="166" fontId="7" fillId="0" borderId="1" xfId="0" applyNumberFormat="1" applyFont="1" applyBorder="1" applyAlignment="1" applyProtection="1">
      <alignment horizontal="center" vertical="center"/>
    </xf>
    <xf numFmtId="9" fontId="7" fillId="0" borderId="1" xfId="1" applyFont="1" applyBorder="1" applyAlignment="1" applyProtection="1">
      <alignment horizontal="center" vertical="center"/>
    </xf>
    <xf numFmtId="166" fontId="4" fillId="0" borderId="0" xfId="0" applyNumberFormat="1" applyFont="1" applyAlignment="1" applyProtection="1">
      <alignment vertical="center"/>
    </xf>
    <xf numFmtId="166" fontId="5" fillId="0" borderId="0" xfId="0" applyNumberFormat="1" applyFont="1" applyAlignment="1" applyProtection="1">
      <alignment vertical="center"/>
    </xf>
    <xf numFmtId="0" fontId="4" fillId="0" borderId="10" xfId="0" applyFont="1" applyBorder="1" applyAlignment="1" applyProtection="1">
      <alignment horizontal="center" vertical="center"/>
    </xf>
    <xf numFmtId="1" fontId="4" fillId="0" borderId="11" xfId="0" applyNumberFormat="1" applyFont="1" applyBorder="1" applyAlignment="1" applyProtection="1">
      <alignment horizontal="center" vertical="center"/>
    </xf>
    <xf numFmtId="164" fontId="4" fillId="0" borderId="11" xfId="0" applyNumberFormat="1" applyFont="1" applyBorder="1" applyAlignment="1" applyProtection="1">
      <alignment horizontal="center" vertical="center"/>
      <protection locked="0"/>
    </xf>
    <xf numFmtId="165" fontId="4" fillId="0" borderId="11" xfId="0" applyNumberFormat="1" applyFont="1" applyBorder="1" applyAlignment="1" applyProtection="1">
      <alignment horizontal="center" vertical="center"/>
      <protection locked="0"/>
    </xf>
    <xf numFmtId="166" fontId="4" fillId="0" borderId="11" xfId="0" applyNumberFormat="1" applyFont="1" applyBorder="1" applyAlignment="1" applyProtection="1">
      <alignment horizontal="center" vertical="center"/>
      <protection locked="0"/>
    </xf>
    <xf numFmtId="167" fontId="4" fillId="0" borderId="11" xfId="0" applyNumberFormat="1" applyFont="1" applyBorder="1" applyAlignment="1" applyProtection="1">
      <alignment horizontal="center" vertical="center"/>
      <protection locked="0"/>
    </xf>
    <xf numFmtId="166" fontId="4" fillId="0" borderId="11" xfId="0" applyNumberFormat="1" applyFont="1" applyBorder="1" applyAlignment="1" applyProtection="1">
      <alignment horizontal="center" vertical="center"/>
    </xf>
    <xf numFmtId="9" fontId="4" fillId="0" borderId="11" xfId="0" applyNumberFormat="1" applyFont="1" applyFill="1" applyBorder="1" applyAlignment="1" applyProtection="1">
      <alignment horizontal="center" vertical="center"/>
    </xf>
    <xf numFmtId="9" fontId="4" fillId="0" borderId="11" xfId="0" applyNumberFormat="1" applyFont="1" applyBorder="1" applyAlignment="1" applyProtection="1">
      <alignment horizontal="center" vertical="center"/>
      <protection locked="0"/>
    </xf>
    <xf numFmtId="166" fontId="4" fillId="0" borderId="11" xfId="0" applyNumberFormat="1" applyFont="1" applyFill="1" applyBorder="1" applyAlignment="1" applyProtection="1">
      <alignment horizontal="center" vertical="center"/>
    </xf>
    <xf numFmtId="49" fontId="6" fillId="0" borderId="12" xfId="0" applyNumberFormat="1" applyFont="1" applyBorder="1" applyAlignment="1" applyProtection="1">
      <alignment horizontal="center" vertical="center" wrapText="1"/>
      <protection locked="0"/>
    </xf>
    <xf numFmtId="0" fontId="3" fillId="0" borderId="7" xfId="0" applyFont="1" applyBorder="1" applyAlignment="1" applyProtection="1">
      <alignment horizontal="center" vertical="center" wrapText="1"/>
    </xf>
    <xf numFmtId="1" fontId="3" fillId="0" borderId="8" xfId="0" applyNumberFormat="1" applyFont="1" applyBorder="1" applyAlignment="1" applyProtection="1">
      <alignment horizontal="center" vertical="center" wrapText="1"/>
    </xf>
    <xf numFmtId="164" fontId="3" fillId="0" borderId="8" xfId="0" applyNumberFormat="1" applyFont="1" applyBorder="1" applyAlignment="1" applyProtection="1">
      <alignment horizontal="center" vertical="center" wrapText="1"/>
    </xf>
    <xf numFmtId="165" fontId="3" fillId="0" borderId="8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center" vertical="center" wrapText="1"/>
    </xf>
    <xf numFmtId="0" fontId="3" fillId="0" borderId="8" xfId="0" applyFont="1" applyFill="1" applyBorder="1" applyAlignment="1" applyProtection="1">
      <alignment horizontal="center" vertical="center" wrapText="1"/>
    </xf>
    <xf numFmtId="49" fontId="3" fillId="0" borderId="9" xfId="0" applyNumberFormat="1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vertical="center" wrapText="1"/>
    </xf>
    <xf numFmtId="2" fontId="8" fillId="0" borderId="0" xfId="0" applyNumberFormat="1" applyFont="1" applyAlignment="1" applyProtection="1">
      <alignment vertical="center" wrapText="1"/>
    </xf>
    <xf numFmtId="0" fontId="8" fillId="0" borderId="0" xfId="0" applyFont="1" applyAlignment="1" applyProtection="1">
      <alignment vertical="center" wrapText="1"/>
    </xf>
  </cellXfs>
  <cellStyles count="2">
    <cellStyle name="Normal" xfId="0" builtinId="0"/>
    <cellStyle name="Pourcentage" xfId="1" builtinId="5"/>
  </cellStyles>
  <dxfs count="20">
    <dxf>
      <font>
        <strike val="0"/>
        <outline val="0"/>
        <shadow val="0"/>
        <u val="none"/>
        <vertAlign val="baseline"/>
        <color theme="0"/>
        <name val="Arial Narrow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4.9989318521683403E-2"/>
        <name val="Arial Narrow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numFmt numFmtId="166" formatCode="#,##0&quot; kWh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numFmt numFmtId="166" formatCode="#,##0&quot; kWh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numFmt numFmtId="166" formatCode="#,##0&quot; kWh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numFmt numFmtId="166" formatCode="#,##0&quot; kWh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numFmt numFmtId="167" formatCode="#,##0&quot; kWh\m²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numFmt numFmtId="166" formatCode="#,##0&quot; kWh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numFmt numFmtId="165" formatCode="#,##0.000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numFmt numFmtId="165" formatCode="#,##0.000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numFmt numFmtId="164" formatCode="[$-40C]mmm\-yy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Production!$P$3</c:f>
          <c:strCache>
            <c:ptCount val="1"/>
            <c:pt idx="0">
              <c:v>2010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Production!$S$3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Production!$P$4:$P$15</c:f>
              <c:strCache>
                <c:ptCount val="3"/>
                <c:pt idx="0">
                  <c:v>oct.-10</c:v>
                </c:pt>
                <c:pt idx="1">
                  <c:v>nov.-10</c:v>
                </c:pt>
                <c:pt idx="2">
                  <c:v>déc.-10</c:v>
                </c:pt>
              </c:strCache>
            </c:strRef>
          </c:cat>
          <c:val>
            <c:numRef>
              <c:f>Production!$S$4:$S$15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FD6-4297-8ABB-B7F13A7D23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Production!$Q$3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Production!$P$4:$P$15</c:f>
              <c:strCache>
                <c:ptCount val="3"/>
                <c:pt idx="0">
                  <c:v>oct.-10</c:v>
                </c:pt>
                <c:pt idx="1">
                  <c:v>nov.-10</c:v>
                </c:pt>
                <c:pt idx="2">
                  <c:v>déc.-10</c:v>
                </c:pt>
              </c:strCache>
            </c:strRef>
          </c:cat>
          <c:val>
            <c:numRef>
              <c:f>Production!$Q$4:$Q$15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FD6-4297-8ABB-B7F13A7D2397}"/>
            </c:ext>
          </c:extLst>
        </c:ser>
        <c:ser>
          <c:idx val="1"/>
          <c:order val="1"/>
          <c:tx>
            <c:strRef>
              <c:f>Production!$R$3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Production!$P$4:$P$15</c:f>
              <c:strCache>
                <c:ptCount val="3"/>
                <c:pt idx="0">
                  <c:v>oct.-10</c:v>
                </c:pt>
                <c:pt idx="1">
                  <c:v>nov.-10</c:v>
                </c:pt>
                <c:pt idx="2">
                  <c:v>déc.-10</c:v>
                </c:pt>
              </c:strCache>
            </c:strRef>
          </c:cat>
          <c:val>
            <c:numRef>
              <c:f>Production!$R$4:$R$15</c:f>
              <c:numCache>
                <c:formatCode>#\ ##0" kWh"</c:formatCode>
                <c:ptCount val="12"/>
                <c:pt idx="0">
                  <c:v>7521</c:v>
                </c:pt>
                <c:pt idx="1">
                  <c:v>3498</c:v>
                </c:pt>
                <c:pt idx="2">
                  <c:v>2775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FD6-4297-8ABB-B7F13A7D23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Production!$P$18</c:f>
          <c:strCache>
            <c:ptCount val="1"/>
            <c:pt idx="0">
              <c:v>2011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Production!$S$18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Production!$P$19:$P$30</c:f>
              <c:numCache>
                <c:formatCode>[$-40C]mmm\-yy;@</c:formatCode>
                <c:ptCount val="12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40725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</c:numCache>
            </c:numRef>
          </c:cat>
          <c:val>
            <c:numRef>
              <c:f>Production!$S$19:$S$30</c:f>
              <c:numCache>
                <c:formatCode>0%</c:formatCode>
                <c:ptCount val="12"/>
                <c:pt idx="0">
                  <c:v>0.74846778782406809</c:v>
                </c:pt>
                <c:pt idx="1">
                  <c:v>0.81627913205115743</c:v>
                </c:pt>
                <c:pt idx="2">
                  <c:v>0.85598220676036185</c:v>
                </c:pt>
                <c:pt idx="3">
                  <c:v>0.86157349436467612</c:v>
                </c:pt>
                <c:pt idx="4">
                  <c:v>0.85612747015393853</c:v>
                </c:pt>
                <c:pt idx="5">
                  <c:v>0.85958938301641663</c:v>
                </c:pt>
                <c:pt idx="6">
                  <c:v>0.86886139189881417</c:v>
                </c:pt>
                <c:pt idx="7">
                  <c:v>0.83833832214857973</c:v>
                </c:pt>
                <c:pt idx="8">
                  <c:v>0.85596760068292699</c:v>
                </c:pt>
                <c:pt idx="9">
                  <c:v>0.85149895374961193</c:v>
                </c:pt>
                <c:pt idx="10">
                  <c:v>0.78788289650833365</c:v>
                </c:pt>
                <c:pt idx="11">
                  <c:v>0.69481277650900619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445-4BA0-B212-EFBFE9FA0F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Production!$Q$18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Production!$P$19:$P$30</c:f>
              <c:numCache>
                <c:formatCode>[$-40C]mmm\-yy;@</c:formatCode>
                <c:ptCount val="12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40725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</c:numCache>
            </c:numRef>
          </c:cat>
          <c:val>
            <c:numRef>
              <c:f>Production!$Q$19:$Q$30</c:f>
              <c:numCache>
                <c:formatCode>#\ ##0" kWh"</c:formatCode>
                <c:ptCount val="12"/>
                <c:pt idx="0">
                  <c:v>5427.0872655842313</c:v>
                </c:pt>
                <c:pt idx="1">
                  <c:v>7225.4695341523975</c:v>
                </c:pt>
                <c:pt idx="2">
                  <c:v>11990.903454461031</c:v>
                </c:pt>
                <c:pt idx="3">
                  <c:v>18751.737496188212</c:v>
                </c:pt>
                <c:pt idx="4">
                  <c:v>20459.570111505105</c:v>
                </c:pt>
                <c:pt idx="5">
                  <c:v>16926.686494128233</c:v>
                </c:pt>
                <c:pt idx="6">
                  <c:v>17049.900177547777</c:v>
                </c:pt>
                <c:pt idx="7">
                  <c:v>18270.666621494787</c:v>
                </c:pt>
                <c:pt idx="8">
                  <c:v>13874.356915524404</c:v>
                </c:pt>
                <c:pt idx="9">
                  <c:v>9361.138924363162</c:v>
                </c:pt>
                <c:pt idx="10">
                  <c:v>5631.547555688142</c:v>
                </c:pt>
                <c:pt idx="11">
                  <c:v>4347.933863822439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445-4BA0-B212-EFBFE9FA0F0A}"/>
            </c:ext>
          </c:extLst>
        </c:ser>
        <c:ser>
          <c:idx val="1"/>
          <c:order val="1"/>
          <c:tx>
            <c:strRef>
              <c:f>Production!$R$18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Production!$P$19:$P$30</c:f>
              <c:numCache>
                <c:formatCode>[$-40C]mmm\-yy;@</c:formatCode>
                <c:ptCount val="12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40725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</c:numCache>
            </c:numRef>
          </c:cat>
          <c:val>
            <c:numRef>
              <c:f>Production!$R$19:$R$30</c:f>
              <c:numCache>
                <c:formatCode>#\ ##0" kWh"</c:formatCode>
                <c:ptCount val="12"/>
                <c:pt idx="0">
                  <c:v>4062</c:v>
                </c:pt>
                <c:pt idx="1">
                  <c:v>5898</c:v>
                </c:pt>
                <c:pt idx="2">
                  <c:v>10264</c:v>
                </c:pt>
                <c:pt idx="3">
                  <c:v>16156</c:v>
                </c:pt>
                <c:pt idx="4">
                  <c:v>17516</c:v>
                </c:pt>
                <c:pt idx="5">
                  <c:v>14550</c:v>
                </c:pt>
                <c:pt idx="6">
                  <c:v>14814</c:v>
                </c:pt>
                <c:pt idx="7">
                  <c:v>15317</c:v>
                </c:pt>
                <c:pt idx="8">
                  <c:v>11876</c:v>
                </c:pt>
                <c:pt idx="9">
                  <c:v>7971</c:v>
                </c:pt>
                <c:pt idx="10">
                  <c:v>4437</c:v>
                </c:pt>
                <c:pt idx="11">
                  <c:v>3021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445-4BA0-B212-EFBFE9FA0F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Production!$P$33</c:f>
          <c:strCache>
            <c:ptCount val="1"/>
            <c:pt idx="0">
              <c:v>2012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Production!$S$33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Production!$P$34:$P$45</c:f>
              <c:numCache>
                <c:formatCode>[$-40C]mmm\-yy;@</c:formatCode>
                <c:ptCount val="12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41091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</c:numCache>
            </c:numRef>
          </c:cat>
          <c:val>
            <c:numRef>
              <c:f>Production!$S$34:$S$45</c:f>
              <c:numCache>
                <c:formatCode>0%</c:formatCode>
                <c:ptCount val="12"/>
                <c:pt idx="0">
                  <c:v>0.76620094812018058</c:v>
                </c:pt>
                <c:pt idx="1">
                  <c:v>0.86543869565578257</c:v>
                </c:pt>
                <c:pt idx="2">
                  <c:v>0.86434304077142221</c:v>
                </c:pt>
                <c:pt idx="3">
                  <c:v>0.85074790665536415</c:v>
                </c:pt>
                <c:pt idx="4">
                  <c:v>0.83725773541257309</c:v>
                </c:pt>
                <c:pt idx="5">
                  <c:v>0.84087527722651167</c:v>
                </c:pt>
                <c:pt idx="6">
                  <c:v>0.82464501685768132</c:v>
                </c:pt>
                <c:pt idx="7">
                  <c:v>0.81950571463314015</c:v>
                </c:pt>
                <c:pt idx="8">
                  <c:v>0.77288226016755479</c:v>
                </c:pt>
                <c:pt idx="9">
                  <c:v>0.89966644747995916</c:v>
                </c:pt>
                <c:pt idx="10">
                  <c:v>0.81058131473550454</c:v>
                </c:pt>
                <c:pt idx="11">
                  <c:v>0.80178431587399612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CC-4515-AE6B-CB2F41676A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Production!$Q$33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Production!$P$34:$P$45</c:f>
              <c:numCache>
                <c:formatCode>[$-40C]mmm\-yy;@</c:formatCode>
                <c:ptCount val="12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41091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</c:numCache>
            </c:numRef>
          </c:cat>
          <c:val>
            <c:numRef>
              <c:f>Production!$Q$34:$Q$45</c:f>
              <c:numCache>
                <c:formatCode>#\ ##0" kWh"</c:formatCode>
                <c:ptCount val="12"/>
                <c:pt idx="0">
                  <c:v>4801.6124347355144</c:v>
                </c:pt>
                <c:pt idx="1">
                  <c:v>8165.8008076990482</c:v>
                </c:pt>
                <c:pt idx="2">
                  <c:v>15269.400431824899</c:v>
                </c:pt>
                <c:pt idx="3">
                  <c:v>11929.503347119413</c:v>
                </c:pt>
                <c:pt idx="4">
                  <c:v>18007.597138019333</c:v>
                </c:pt>
                <c:pt idx="5">
                  <c:v>19118.17416374047</c:v>
                </c:pt>
                <c:pt idx="6">
                  <c:v>20109.258724668827</c:v>
                </c:pt>
                <c:pt idx="7">
                  <c:v>18614.87934447053</c:v>
                </c:pt>
                <c:pt idx="8">
                  <c:v>11647.310934589748</c:v>
                </c:pt>
                <c:pt idx="9">
                  <c:v>7934.0515809988619</c:v>
                </c:pt>
                <c:pt idx="10">
                  <c:v>5026.0225913662471</c:v>
                </c:pt>
                <c:pt idx="11">
                  <c:v>4561.0769973888009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ECC-4515-AE6B-CB2F41676AE6}"/>
            </c:ext>
          </c:extLst>
        </c:ser>
        <c:ser>
          <c:idx val="1"/>
          <c:order val="1"/>
          <c:tx>
            <c:strRef>
              <c:f>Production!$R$33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Production!$P$34:$P$45</c:f>
              <c:numCache>
                <c:formatCode>[$-40C]mmm\-yy;@</c:formatCode>
                <c:ptCount val="12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41091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</c:numCache>
            </c:numRef>
          </c:cat>
          <c:val>
            <c:numRef>
              <c:f>Production!$R$34:$R$45</c:f>
              <c:numCache>
                <c:formatCode>#\ ##0" kWh"</c:formatCode>
                <c:ptCount val="12"/>
                <c:pt idx="0">
                  <c:v>3679</c:v>
                </c:pt>
                <c:pt idx="1">
                  <c:v>7067</c:v>
                </c:pt>
                <c:pt idx="2">
                  <c:v>13198</c:v>
                </c:pt>
                <c:pt idx="3">
                  <c:v>10149</c:v>
                </c:pt>
                <c:pt idx="4">
                  <c:v>15077</c:v>
                </c:pt>
                <c:pt idx="5">
                  <c:v>16076</c:v>
                </c:pt>
                <c:pt idx="6">
                  <c:v>16583</c:v>
                </c:pt>
                <c:pt idx="7">
                  <c:v>15255</c:v>
                </c:pt>
                <c:pt idx="8">
                  <c:v>9002</c:v>
                </c:pt>
                <c:pt idx="9">
                  <c:v>7138</c:v>
                </c:pt>
                <c:pt idx="10">
                  <c:v>4074</c:v>
                </c:pt>
                <c:pt idx="11">
                  <c:v>3657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ECC-4515-AE6B-CB2F41676A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Production!$P$48</c:f>
          <c:strCache>
            <c:ptCount val="1"/>
            <c:pt idx="0">
              <c:v>2013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Production!$S$48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Production!$P$49:$P$60</c:f>
              <c:numCache>
                <c:formatCode>[$-40C]mmm\-yy;@</c:formatCode>
                <c:ptCount val="1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</c:numCache>
            </c:numRef>
          </c:cat>
          <c:val>
            <c:numRef>
              <c:f>Production!$S$49:$S$60</c:f>
              <c:numCache>
                <c:formatCode>0%</c:formatCode>
                <c:ptCount val="12"/>
                <c:pt idx="0">
                  <c:v>0.66581212581665261</c:v>
                </c:pt>
                <c:pt idx="1">
                  <c:v>0.74132515236452878</c:v>
                </c:pt>
                <c:pt idx="2">
                  <c:v>0.83421339096124636</c:v>
                </c:pt>
                <c:pt idx="3">
                  <c:v>0.8370490314675002</c:v>
                </c:pt>
                <c:pt idx="4">
                  <c:v>0.85685456292641704</c:v>
                </c:pt>
                <c:pt idx="5">
                  <c:v>0.87199883300544967</c:v>
                </c:pt>
                <c:pt idx="6">
                  <c:v>0.80541995673900968</c:v>
                </c:pt>
                <c:pt idx="7">
                  <c:v>0.82366072438989424</c:v>
                </c:pt>
                <c:pt idx="8">
                  <c:v>0.85480419081992709</c:v>
                </c:pt>
                <c:pt idx="9">
                  <c:v>0.86786250687602262</c:v>
                </c:pt>
                <c:pt idx="10">
                  <c:v>0.74782547466417881</c:v>
                </c:pt>
                <c:pt idx="11">
                  <c:v>0.86506873477952029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881-44B7-B3B1-4AED11467C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Production!$Q$48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Production!$P$49:$P$60</c:f>
              <c:numCache>
                <c:formatCode>[$-40C]mmm\-yy;@</c:formatCode>
                <c:ptCount val="1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</c:numCache>
            </c:numRef>
          </c:cat>
          <c:val>
            <c:numRef>
              <c:f>Production!$Q$49:$Q$60</c:f>
              <c:numCache>
                <c:formatCode>#\ ##0" kWh"</c:formatCode>
                <c:ptCount val="12"/>
                <c:pt idx="0">
                  <c:v>4505.7755539077134</c:v>
                </c:pt>
                <c:pt idx="1">
                  <c:v>5807.1684014346247</c:v>
                </c:pt>
                <c:pt idx="2">
                  <c:v>10285.138182825678</c:v>
                </c:pt>
                <c:pt idx="3">
                  <c:v>12275.26657785631</c:v>
                </c:pt>
                <c:pt idx="4">
                  <c:v>13916.013890707356</c:v>
                </c:pt>
                <c:pt idx="5">
                  <c:v>18574.566142680578</c:v>
                </c:pt>
                <c:pt idx="6">
                  <c:v>21279.58198278636</c:v>
                </c:pt>
                <c:pt idx="7">
                  <c:v>18733.441504606621</c:v>
                </c:pt>
                <c:pt idx="8">
                  <c:v>12637.982026781801</c:v>
                </c:pt>
                <c:pt idx="9">
                  <c:v>7365.2219670242312</c:v>
                </c:pt>
                <c:pt idx="10">
                  <c:v>5307.3880664232966</c:v>
                </c:pt>
                <c:pt idx="11">
                  <c:v>5564.875721958605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881-44B7-B3B1-4AED11467C16}"/>
            </c:ext>
          </c:extLst>
        </c:ser>
        <c:ser>
          <c:idx val="1"/>
          <c:order val="1"/>
          <c:tx>
            <c:strRef>
              <c:f>Production!$R$48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Production!$P$49:$P$60</c:f>
              <c:numCache>
                <c:formatCode>[$-40C]mmm\-yy;@</c:formatCode>
                <c:ptCount val="1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</c:numCache>
            </c:numRef>
          </c:cat>
          <c:val>
            <c:numRef>
              <c:f>Production!$R$49:$R$60</c:f>
              <c:numCache>
                <c:formatCode>#\ ##0" kWh"</c:formatCode>
                <c:ptCount val="12"/>
                <c:pt idx="0">
                  <c:v>3000</c:v>
                </c:pt>
                <c:pt idx="1">
                  <c:v>4305</c:v>
                </c:pt>
                <c:pt idx="2">
                  <c:v>8580</c:v>
                </c:pt>
                <c:pt idx="3">
                  <c:v>10275</c:v>
                </c:pt>
                <c:pt idx="4">
                  <c:v>11924</c:v>
                </c:pt>
                <c:pt idx="5">
                  <c:v>16197</c:v>
                </c:pt>
                <c:pt idx="6">
                  <c:v>17139</c:v>
                </c:pt>
                <c:pt idx="7">
                  <c:v>15430</c:v>
                </c:pt>
                <c:pt idx="8">
                  <c:v>10803</c:v>
                </c:pt>
                <c:pt idx="9">
                  <c:v>6392</c:v>
                </c:pt>
                <c:pt idx="10">
                  <c:v>3969</c:v>
                </c:pt>
                <c:pt idx="11">
                  <c:v>4814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881-44B7-B3B1-4AED11467C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Production!$P$63</c:f>
          <c:strCache>
            <c:ptCount val="1"/>
            <c:pt idx="0">
              <c:v>2014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Production!$S$63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Production!$P$64:$P$75</c:f>
              <c:numCache>
                <c:formatCode>[$-40C]mmm\-yy;@</c:formatCode>
                <c:ptCount val="12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</c:numCache>
            </c:numRef>
          </c:cat>
          <c:val>
            <c:numRef>
              <c:f>Production!$S$64:$S$75</c:f>
              <c:numCache>
                <c:formatCode>0%</c:formatCode>
                <c:ptCount val="12"/>
                <c:pt idx="0">
                  <c:v>0.67874255098960323</c:v>
                </c:pt>
                <c:pt idx="1">
                  <c:v>0.75392784280390523</c:v>
                </c:pt>
                <c:pt idx="2">
                  <c:v>0.82233765076856047</c:v>
                </c:pt>
                <c:pt idx="3">
                  <c:v>0.79400591507202123</c:v>
                </c:pt>
                <c:pt idx="4">
                  <c:v>0.84070837421753086</c:v>
                </c:pt>
                <c:pt idx="5">
                  <c:v>0.66603630395321711</c:v>
                </c:pt>
                <c:pt idx="6">
                  <c:v>0.78887534420097394</c:v>
                </c:pt>
                <c:pt idx="7">
                  <c:v>0.81419601749492709</c:v>
                </c:pt>
                <c:pt idx="8">
                  <c:v>0.79287823465591989</c:v>
                </c:pt>
                <c:pt idx="9">
                  <c:v>0.84082001745693447</c:v>
                </c:pt>
                <c:pt idx="10">
                  <c:v>0.74740466693549168</c:v>
                </c:pt>
                <c:pt idx="11">
                  <c:v>0.59454743280508338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D25-48BF-A832-037FAC5005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Production!$Q$63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Production!$P$64:$P$75</c:f>
              <c:numCache>
                <c:formatCode>[$-40C]mmm\-yy;@</c:formatCode>
                <c:ptCount val="12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</c:numCache>
            </c:numRef>
          </c:cat>
          <c:val>
            <c:numRef>
              <c:f>Production!$Q$64:$Q$75</c:f>
              <c:numCache>
                <c:formatCode>#\ ##0" kWh"</c:formatCode>
                <c:ptCount val="12"/>
                <c:pt idx="0">
                  <c:v>4841.3054334210055</c:v>
                </c:pt>
                <c:pt idx="1">
                  <c:v>7057.7045943957519</c:v>
                </c:pt>
                <c:pt idx="2">
                  <c:v>13833.733612182221</c:v>
                </c:pt>
                <c:pt idx="3">
                  <c:v>15781.99829766175</c:v>
                </c:pt>
                <c:pt idx="4">
                  <c:v>17202.160039692906</c:v>
                </c:pt>
                <c:pt idx="5">
                  <c:v>20240.638415630441</c:v>
                </c:pt>
                <c:pt idx="6">
                  <c:v>15008.708393583209</c:v>
                </c:pt>
                <c:pt idx="7">
                  <c:v>16659.378956105629</c:v>
                </c:pt>
                <c:pt idx="8">
                  <c:v>14087.913517827074</c:v>
                </c:pt>
                <c:pt idx="9">
                  <c:v>9336.1240658165771</c:v>
                </c:pt>
                <c:pt idx="10">
                  <c:v>5236.7882796988424</c:v>
                </c:pt>
                <c:pt idx="11">
                  <c:v>4006.4086876326919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D25-48BF-A832-037FAC5005A7}"/>
            </c:ext>
          </c:extLst>
        </c:ser>
        <c:ser>
          <c:idx val="1"/>
          <c:order val="1"/>
          <c:tx>
            <c:strRef>
              <c:f>Production!$R$63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Production!$P$64:$P$75</c:f>
              <c:numCache>
                <c:formatCode>[$-40C]mmm\-yy;@</c:formatCode>
                <c:ptCount val="12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</c:numCache>
            </c:numRef>
          </c:cat>
          <c:val>
            <c:numRef>
              <c:f>Production!$R$64:$R$75</c:f>
              <c:numCache>
                <c:formatCode>#\ ##0" kWh"</c:formatCode>
                <c:ptCount val="12"/>
                <c:pt idx="0">
                  <c:v>3286</c:v>
                </c:pt>
                <c:pt idx="1">
                  <c:v>5321</c:v>
                </c:pt>
                <c:pt idx="2">
                  <c:v>11376</c:v>
                </c:pt>
                <c:pt idx="3">
                  <c:v>12531</c:v>
                </c:pt>
                <c:pt idx="4">
                  <c:v>14462</c:v>
                </c:pt>
                <c:pt idx="5">
                  <c:v>13481</c:v>
                </c:pt>
                <c:pt idx="6">
                  <c:v>11840</c:v>
                </c:pt>
                <c:pt idx="7">
                  <c:v>13564</c:v>
                </c:pt>
                <c:pt idx="8">
                  <c:v>11170</c:v>
                </c:pt>
                <c:pt idx="9">
                  <c:v>7850</c:v>
                </c:pt>
                <c:pt idx="10">
                  <c:v>3914</c:v>
                </c:pt>
                <c:pt idx="11">
                  <c:v>2382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D25-48BF-A832-037FAC5005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Production!$P$78</c:f>
          <c:strCache>
            <c:ptCount val="1"/>
            <c:pt idx="0">
              <c:v>2015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Production!$S$78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Production!$P$79:$P$90</c:f>
              <c:numCache>
                <c:formatCode>[$-40C]mmm\-yy;@</c:formatCode>
                <c:ptCount val="12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</c:numCache>
            </c:numRef>
          </c:cat>
          <c:val>
            <c:numRef>
              <c:f>Production!$S$79:$S$90</c:f>
              <c:numCache>
                <c:formatCode>0%</c:formatCode>
                <c:ptCount val="12"/>
                <c:pt idx="0">
                  <c:v>0.70303440386697613</c:v>
                </c:pt>
                <c:pt idx="1">
                  <c:v>0.76233880215778438</c:v>
                </c:pt>
                <c:pt idx="2">
                  <c:v>0.82344615431899426</c:v>
                </c:pt>
                <c:pt idx="3">
                  <c:v>0.80761192804108861</c:v>
                </c:pt>
                <c:pt idx="4">
                  <c:v>0.82943190149261481</c:v>
                </c:pt>
                <c:pt idx="5">
                  <c:v>0.80468880000130527</c:v>
                </c:pt>
                <c:pt idx="6">
                  <c:v>0.80362918762858782</c:v>
                </c:pt>
                <c:pt idx="7">
                  <c:v>0.80996012947084639</c:v>
                </c:pt>
                <c:pt idx="8">
                  <c:v>0.84268971175635909</c:v>
                </c:pt>
                <c:pt idx="9">
                  <c:v>0.86020098435903614</c:v>
                </c:pt>
                <c:pt idx="10">
                  <c:v>0.7990099766897778</c:v>
                </c:pt>
                <c:pt idx="11">
                  <c:v>0.74417309139353571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65-4C99-A698-E99BED2532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Production!$Q$78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Production!$P$79:$P$90</c:f>
              <c:numCache>
                <c:formatCode>[$-40C]mmm\-yy;@</c:formatCode>
                <c:ptCount val="12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</c:numCache>
            </c:numRef>
          </c:cat>
          <c:val>
            <c:numRef>
              <c:f>Production!$Q$79:$Q$90</c:f>
              <c:numCache>
                <c:formatCode>#\ ##0" kWh"</c:formatCode>
                <c:ptCount val="12"/>
                <c:pt idx="0">
                  <c:v>5314.1069333882888</c:v>
                </c:pt>
                <c:pt idx="1">
                  <c:v>6440.7058726413316</c:v>
                </c:pt>
                <c:pt idx="2">
                  <c:v>12076.078014140316</c:v>
                </c:pt>
                <c:pt idx="3">
                  <c:v>16732.046086511618</c:v>
                </c:pt>
                <c:pt idx="4">
                  <c:v>18463.239685429864</c:v>
                </c:pt>
                <c:pt idx="5">
                  <c:v>20573.170646805505</c:v>
                </c:pt>
                <c:pt idx="6">
                  <c:v>22280.176324649783</c:v>
                </c:pt>
                <c:pt idx="7">
                  <c:v>17870.01541601311</c:v>
                </c:pt>
                <c:pt idx="8">
                  <c:v>12768.638147454876</c:v>
                </c:pt>
                <c:pt idx="9">
                  <c:v>8220.1719465234437</c:v>
                </c:pt>
                <c:pt idx="10">
                  <c:v>6838.4627969688581</c:v>
                </c:pt>
                <c:pt idx="11">
                  <c:v>5693.5678661342217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265-4C99-A698-E99BED2532C7}"/>
            </c:ext>
          </c:extLst>
        </c:ser>
        <c:ser>
          <c:idx val="1"/>
          <c:order val="1"/>
          <c:tx>
            <c:strRef>
              <c:f>Production!$R$78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Production!$P$79:$P$90</c:f>
              <c:numCache>
                <c:formatCode>[$-40C]mmm\-yy;@</c:formatCode>
                <c:ptCount val="12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</c:numCache>
            </c:numRef>
          </c:cat>
          <c:val>
            <c:numRef>
              <c:f>Production!$R$79:$R$90</c:f>
              <c:numCache>
                <c:formatCode>#\ ##0" kWh"</c:formatCode>
                <c:ptCount val="12"/>
                <c:pt idx="0">
                  <c:v>3736</c:v>
                </c:pt>
                <c:pt idx="1">
                  <c:v>4910</c:v>
                </c:pt>
                <c:pt idx="2">
                  <c:v>9944</c:v>
                </c:pt>
                <c:pt idx="3">
                  <c:v>13513</c:v>
                </c:pt>
                <c:pt idx="4">
                  <c:v>15314</c:v>
                </c:pt>
                <c:pt idx="5">
                  <c:v>16555</c:v>
                </c:pt>
                <c:pt idx="6">
                  <c:v>17905</c:v>
                </c:pt>
                <c:pt idx="7">
                  <c:v>14474</c:v>
                </c:pt>
                <c:pt idx="8">
                  <c:v>10760</c:v>
                </c:pt>
                <c:pt idx="9">
                  <c:v>7071</c:v>
                </c:pt>
                <c:pt idx="10">
                  <c:v>5464</c:v>
                </c:pt>
                <c:pt idx="11">
                  <c:v>4237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265-4C99-A698-E99BED2532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Production!$P$93</c:f>
          <c:strCache>
            <c:ptCount val="1"/>
            <c:pt idx="0">
              <c:v>2016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Production!$S$93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Production!$P$94:$P$105</c:f>
              <c:numCache>
                <c:formatCode>[$-40C]mmm\-yy;@</c:formatCode>
                <c:ptCount val="12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</c:numCache>
            </c:numRef>
          </c:cat>
          <c:val>
            <c:numRef>
              <c:f>Production!$S$94:$S$105</c:f>
              <c:numCache>
                <c:formatCode>0%</c:formatCode>
                <c:ptCount val="12"/>
                <c:pt idx="0">
                  <c:v>0.68193592934669778</c:v>
                </c:pt>
                <c:pt idx="1">
                  <c:v>0.75988525925352002</c:v>
                </c:pt>
                <c:pt idx="2">
                  <c:v>0.81860182629136191</c:v>
                </c:pt>
                <c:pt idx="3">
                  <c:v>0.84571171072659101</c:v>
                </c:pt>
                <c:pt idx="4">
                  <c:v>0.84292533146024362</c:v>
                </c:pt>
                <c:pt idx="5">
                  <c:v>0.81462158701053811</c:v>
                </c:pt>
                <c:pt idx="6">
                  <c:v>0.59631952123717435</c:v>
                </c:pt>
                <c:pt idx="7">
                  <c:v>0.79521618607552458</c:v>
                </c:pt>
                <c:pt idx="8">
                  <c:v>0.81203619271150029</c:v>
                </c:pt>
                <c:pt idx="9">
                  <c:v>0.84242261461851253</c:v>
                </c:pt>
                <c:pt idx="10">
                  <c:v>0.71918077792432133</c:v>
                </c:pt>
                <c:pt idx="11">
                  <c:v>0.98585964410631977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400-4BC9-8AD7-FC93E4C668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Production!$Q$93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Production!$P$94:$P$105</c:f>
              <c:numCache>
                <c:formatCode>[$-40C]mmm\-yy;@</c:formatCode>
                <c:ptCount val="12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</c:numCache>
            </c:numRef>
          </c:cat>
          <c:val>
            <c:numRef>
              <c:f>Production!$Q$94:$Q$105</c:f>
              <c:numCache>
                <c:formatCode>#\ ##0" kWh"</c:formatCode>
                <c:ptCount val="12"/>
                <c:pt idx="0">
                  <c:v>5151.510352835483</c:v>
                </c:pt>
                <c:pt idx="1">
                  <c:v>6246.995769681409</c:v>
                </c:pt>
                <c:pt idx="2">
                  <c:v>11445.124722535527</c:v>
                </c:pt>
                <c:pt idx="3">
                  <c:v>13356.797424851869</c:v>
                </c:pt>
                <c:pt idx="4">
                  <c:v>16141.405996696783</c:v>
                </c:pt>
                <c:pt idx="5">
                  <c:v>17775.124341030609</c:v>
                </c:pt>
                <c:pt idx="6">
                  <c:v>19994.314415975427</c:v>
                </c:pt>
                <c:pt idx="7">
                  <c:v>19695.273152441245</c:v>
                </c:pt>
                <c:pt idx="8">
                  <c:v>13621.3140489044</c:v>
                </c:pt>
                <c:pt idx="9">
                  <c:v>8633.4339484624907</c:v>
                </c:pt>
                <c:pt idx="10">
                  <c:v>5635.578875867137</c:v>
                </c:pt>
                <c:pt idx="11">
                  <c:v>5473.3957640506378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400-4BC9-8AD7-FC93E4C66895}"/>
            </c:ext>
          </c:extLst>
        </c:ser>
        <c:ser>
          <c:idx val="1"/>
          <c:order val="1"/>
          <c:tx>
            <c:strRef>
              <c:f>Production!$R$93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Production!$P$94:$P$105</c:f>
              <c:numCache>
                <c:formatCode>[$-40C]mmm\-yy;@</c:formatCode>
                <c:ptCount val="12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</c:numCache>
            </c:numRef>
          </c:cat>
          <c:val>
            <c:numRef>
              <c:f>Production!$R$94:$R$105</c:f>
              <c:numCache>
                <c:formatCode>#\ ##0" kWh"</c:formatCode>
                <c:ptCount val="12"/>
                <c:pt idx="0">
                  <c:v>3513</c:v>
                </c:pt>
                <c:pt idx="1">
                  <c:v>4747</c:v>
                </c:pt>
                <c:pt idx="2">
                  <c:v>9369</c:v>
                </c:pt>
                <c:pt idx="3">
                  <c:v>11296</c:v>
                </c:pt>
                <c:pt idx="4">
                  <c:v>13606</c:v>
                </c:pt>
                <c:pt idx="5">
                  <c:v>14480</c:v>
                </c:pt>
                <c:pt idx="6">
                  <c:v>11923</c:v>
                </c:pt>
                <c:pt idx="7">
                  <c:v>15662</c:v>
                </c:pt>
                <c:pt idx="8">
                  <c:v>11061</c:v>
                </c:pt>
                <c:pt idx="9">
                  <c:v>7273</c:v>
                </c:pt>
                <c:pt idx="10">
                  <c:v>4053</c:v>
                </c:pt>
                <c:pt idx="11">
                  <c:v>5396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400-4BC9-8AD7-FC93E4C668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Production!$P$108</c:f>
          <c:strCache>
            <c:ptCount val="1"/>
            <c:pt idx="0">
              <c:v>2017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Production!$S$108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Production!$P$109:$P$120</c:f>
              <c:numCache>
                <c:formatCode>[$-40C]mmm\-yy;@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Production!$S$109:$S$120</c:f>
              <c:numCache>
                <c:formatCode>0%</c:formatCode>
                <c:ptCount val="12"/>
                <c:pt idx="0">
                  <c:v>0.3757492060855418</c:v>
                </c:pt>
                <c:pt idx="1">
                  <c:v>0</c:v>
                </c:pt>
                <c:pt idx="2">
                  <c:v>0.70672765794842829</c:v>
                </c:pt>
                <c:pt idx="3">
                  <c:v>0.81256955676113407</c:v>
                </c:pt>
                <c:pt idx="4">
                  <c:v>0.58417823765939358</c:v>
                </c:pt>
                <c:pt idx="5">
                  <c:v>0.55347196987357183</c:v>
                </c:pt>
                <c:pt idx="6">
                  <c:v>0.81154764582691774</c:v>
                </c:pt>
                <c:pt idx="7">
                  <c:v>0.80062060364912635</c:v>
                </c:pt>
                <c:pt idx="8">
                  <c:v>0.83614997633324739</c:v>
                </c:pt>
                <c:pt idx="9">
                  <c:v>0.85049643607872916</c:v>
                </c:pt>
                <c:pt idx="10">
                  <c:v>0.77065376482659964</c:v>
                </c:pt>
                <c:pt idx="11">
                  <c:v>0.56362372051231802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82-4270-B953-187307558B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Production!$Q$108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Production!$P$109:$P$120</c:f>
              <c:numCache>
                <c:formatCode>[$-40C]mmm\-yy;@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Production!$Q$109:$Q$120</c:f>
              <c:numCache>
                <c:formatCode>#\ ##0" kWh"</c:formatCode>
                <c:ptCount val="12"/>
                <c:pt idx="0">
                  <c:v>5418.5077893058569</c:v>
                </c:pt>
                <c:pt idx="1">
                  <c:v>7798.8473042264068</c:v>
                </c:pt>
                <c:pt idx="2">
                  <c:v>12085.27769352315</c:v>
                </c:pt>
                <c:pt idx="3">
                  <c:v>17314.210067232158</c:v>
                </c:pt>
                <c:pt idx="4">
                  <c:v>18408.765179421393</c:v>
                </c:pt>
                <c:pt idx="5">
                  <c:v>20461.740822370717</c:v>
                </c:pt>
                <c:pt idx="6">
                  <c:v>18796.185385341239</c:v>
                </c:pt>
                <c:pt idx="7">
                  <c:v>17738.739092235573</c:v>
                </c:pt>
                <c:pt idx="8">
                  <c:v>11909.346746224437</c:v>
                </c:pt>
                <c:pt idx="9">
                  <c:v>10219.913489673218</c:v>
                </c:pt>
                <c:pt idx="10">
                  <c:v>5696.4621472883719</c:v>
                </c:pt>
                <c:pt idx="11">
                  <c:v>3874.9256294870024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782-4270-B953-187307558B77}"/>
            </c:ext>
          </c:extLst>
        </c:ser>
        <c:ser>
          <c:idx val="1"/>
          <c:order val="1"/>
          <c:tx>
            <c:strRef>
              <c:f>Production!$R$108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Production!$P$109:$P$120</c:f>
              <c:numCache>
                <c:formatCode>[$-40C]mmm\-yy;@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Production!$R$109:$R$120</c:f>
              <c:numCache>
                <c:formatCode>#\ ##0" kWh"</c:formatCode>
                <c:ptCount val="12"/>
                <c:pt idx="0">
                  <c:v>2036</c:v>
                </c:pt>
                <c:pt idx="1">
                  <c:v>0</c:v>
                </c:pt>
                <c:pt idx="2">
                  <c:v>8541</c:v>
                </c:pt>
                <c:pt idx="3">
                  <c:v>14069</c:v>
                </c:pt>
                <c:pt idx="4">
                  <c:v>10754</c:v>
                </c:pt>
                <c:pt idx="5">
                  <c:v>11325</c:v>
                </c:pt>
                <c:pt idx="6">
                  <c:v>15254</c:v>
                </c:pt>
                <c:pt idx="7">
                  <c:v>14202</c:v>
                </c:pt>
                <c:pt idx="8">
                  <c:v>9958</c:v>
                </c:pt>
                <c:pt idx="9">
                  <c:v>8692</c:v>
                </c:pt>
                <c:pt idx="10">
                  <c:v>4390</c:v>
                </c:pt>
                <c:pt idx="11">
                  <c:v>2184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782-4270-B953-187307558B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Production!$P$138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Production!$S$138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Production!$P$139:$P$150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Production!$S$139:$S$150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2F-4F1B-94BD-065B8C7673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Production!$Q$138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Production!$P$139:$P$150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Production!$Q$139:$Q$150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C2F-4F1B-94BD-065B8C7673AB}"/>
            </c:ext>
          </c:extLst>
        </c:ser>
        <c:ser>
          <c:idx val="1"/>
          <c:order val="1"/>
          <c:tx>
            <c:strRef>
              <c:f>Production!$R$138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Production!$P$139:$P$150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Production!$R$139:$R$150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C2F-4F1B-94BD-065B8C7673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Production!$P$153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Production!$S$153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Production!$P$154:$P$165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Production!$S$154:$S$165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B6A-49BD-8C77-846677DEFB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Production!$Q$153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Production!$P$154:$P$165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Production!$Q$154:$Q$165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B6A-49BD-8C77-846677DEFBBB}"/>
            </c:ext>
          </c:extLst>
        </c:ser>
        <c:ser>
          <c:idx val="1"/>
          <c:order val="1"/>
          <c:tx>
            <c:strRef>
              <c:f>Production!$R$153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Production!$P$154:$P$165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Production!$R$154:$R$165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B6A-49BD-8C77-846677DEFB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Production!$P$168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Production!$S$168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Production!$P$169:$P$180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Production!$S$169:$S$180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AD0-4671-85DD-5ECAD421AA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Production!$Q$168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Production!$P$169:$P$180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Production!$Q$169:$Q$180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AD0-4671-85DD-5ECAD421AA7F}"/>
            </c:ext>
          </c:extLst>
        </c:ser>
        <c:ser>
          <c:idx val="1"/>
          <c:order val="1"/>
          <c:tx>
            <c:strRef>
              <c:f>Production!$R$168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Production!$P$169:$P$180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Production!$R$169:$R$180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AD0-4671-85DD-5ECAD421AA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Production!$P$183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Production!$S$183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Production!$P$184:$P$195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Production!$S$184:$S$195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67C-4571-93BD-48A4CC0B0B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Production!$Q$183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Production!$P$184:$P$195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Production!$Q$184:$Q$195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67C-4571-93BD-48A4CC0B0BF5}"/>
            </c:ext>
          </c:extLst>
        </c:ser>
        <c:ser>
          <c:idx val="1"/>
          <c:order val="1"/>
          <c:tx>
            <c:strRef>
              <c:f>Production!$R$183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Production!$P$184:$P$195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Production!$R$184:$R$195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67C-4571-93BD-48A4CC0B0B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Production!$P$198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Production!$S$198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Production!$P$199:$P$210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Production!$S$199:$S$210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477-4400-BFA2-3E24B48F1A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Production!$Q$198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Production!$P$199:$P$210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Production!$Q$199:$Q$210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477-4400-BFA2-3E24B48F1A9D}"/>
            </c:ext>
          </c:extLst>
        </c:ser>
        <c:ser>
          <c:idx val="1"/>
          <c:order val="1"/>
          <c:tx>
            <c:strRef>
              <c:f>Production!$R$198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Production!$P$199:$P$210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Production!$R$199:$R$210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477-4400-BFA2-3E24B48F1A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Production!$P$213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Production!$S$213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Production!$P$214:$P$225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Production!$S$214:$S$225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996-4AF0-BFA8-53860DD21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Production!$Q$213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Production!$P$214:$P$225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Production!$Q$214:$Q$225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996-4AF0-BFA8-53860DD21792}"/>
            </c:ext>
          </c:extLst>
        </c:ser>
        <c:ser>
          <c:idx val="1"/>
          <c:order val="1"/>
          <c:tx>
            <c:strRef>
              <c:f>Production!$R$213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Production!$P$214:$P$225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Production!$R$214:$R$225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996-4AF0-BFA8-53860DD21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Production!$P$228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Production!$S$228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Production!$P$229:$P$240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Production!$S$229:$S$240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EA-4F32-9B33-AC99D48D4D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Production!$Q$228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Production!$P$229:$P$240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Production!$Q$229:$Q$240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5EA-4F32-9B33-AC99D48D4D16}"/>
            </c:ext>
          </c:extLst>
        </c:ser>
        <c:ser>
          <c:idx val="1"/>
          <c:order val="1"/>
          <c:tx>
            <c:strRef>
              <c:f>Production!$R$228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Production!$P$229:$P$240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Production!$R$229:$R$240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5EA-4F32-9B33-AC99D48D4D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Production!$P$243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Production!$S$243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Production!$P$244:$P$255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Production!$S$244:$S$255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1A-4F4F-BF7C-37DF440DB6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Production!$Q$243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Production!$P$244:$P$255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Production!$Q$244:$Q$255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51A-4F4F-BF7C-37DF440DB6A1}"/>
            </c:ext>
          </c:extLst>
        </c:ser>
        <c:ser>
          <c:idx val="1"/>
          <c:order val="1"/>
          <c:tx>
            <c:strRef>
              <c:f>Production!$R$243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Production!$P$244:$P$255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Production!$R$244:$R$255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51A-4F4F-BF7C-37DF440DB6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strRef>
          <c:f>Production!$P$123</c:f>
          <c:strCache>
            <c:ptCount val="1"/>
            <c:pt idx="0">
              <c:v>2018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Production!$S$123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Production!$P$124:$P$135</c:f>
              <c:strCache>
                <c:ptCount val="5"/>
                <c:pt idx="0">
                  <c:v>janv.-18</c:v>
                </c:pt>
                <c:pt idx="1">
                  <c:v>févr.-18</c:v>
                </c:pt>
                <c:pt idx="2">
                  <c:v>mars-18</c:v>
                </c:pt>
                <c:pt idx="3">
                  <c:v>avr.-18</c:v>
                </c:pt>
                <c:pt idx="4">
                  <c:v>mai-18</c:v>
                </c:pt>
              </c:strCache>
            </c:strRef>
          </c:cat>
          <c:val>
            <c:numRef>
              <c:f>Production!$S$124:$S$135</c:f>
              <c:numCache>
                <c:formatCode>0%</c:formatCode>
                <c:ptCount val="12"/>
                <c:pt idx="0">
                  <c:v>0.7070344107863783</c:v>
                </c:pt>
                <c:pt idx="1">
                  <c:v>0.74529914278182863</c:v>
                </c:pt>
                <c:pt idx="2">
                  <c:v>0.78856205741788876</c:v>
                </c:pt>
                <c:pt idx="3">
                  <c:v>0.82335704650389974</c:v>
                </c:pt>
                <c:pt idx="4">
                  <c:v>0.85292327202854923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1C-4BD4-B454-5527CCB624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Production!$Q$123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Production!$P$124:$P$135</c:f>
              <c:strCache>
                <c:ptCount val="5"/>
                <c:pt idx="0">
                  <c:v>janv.-18</c:v>
                </c:pt>
                <c:pt idx="1">
                  <c:v>févr.-18</c:v>
                </c:pt>
                <c:pt idx="2">
                  <c:v>mars-18</c:v>
                </c:pt>
                <c:pt idx="3">
                  <c:v>avr.-18</c:v>
                </c:pt>
                <c:pt idx="4">
                  <c:v>mai-18</c:v>
                </c:pt>
              </c:strCache>
            </c:strRef>
          </c:cat>
          <c:val>
            <c:numRef>
              <c:f>Production!$Q$124:$Q$135</c:f>
              <c:numCache>
                <c:formatCode>#\ ##0" kWh"</c:formatCode>
                <c:ptCount val="12"/>
                <c:pt idx="0">
                  <c:v>4397.2400106270725</c:v>
                </c:pt>
                <c:pt idx="1">
                  <c:v>6284.7247918694402</c:v>
                </c:pt>
                <c:pt idx="2">
                  <c:v>10581.285165205711</c:v>
                </c:pt>
                <c:pt idx="3">
                  <c:v>15376.075365792158</c:v>
                </c:pt>
                <c:pt idx="4">
                  <c:v>14598.030571246081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51C-4BD4-B454-5527CCB6248F}"/>
            </c:ext>
          </c:extLst>
        </c:ser>
        <c:ser>
          <c:idx val="1"/>
          <c:order val="1"/>
          <c:tx>
            <c:strRef>
              <c:f>Production!$R$123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Production!$P$124:$P$135</c:f>
              <c:strCache>
                <c:ptCount val="5"/>
                <c:pt idx="0">
                  <c:v>janv.-18</c:v>
                </c:pt>
                <c:pt idx="1">
                  <c:v>févr.-18</c:v>
                </c:pt>
                <c:pt idx="2">
                  <c:v>mars-18</c:v>
                </c:pt>
                <c:pt idx="3">
                  <c:v>avr.-18</c:v>
                </c:pt>
                <c:pt idx="4">
                  <c:v>mai-18</c:v>
                </c:pt>
              </c:strCache>
            </c:strRef>
          </c:cat>
          <c:val>
            <c:numRef>
              <c:f>Production!$R$124:$R$135</c:f>
              <c:numCache>
                <c:formatCode>#\ ##0" kWh"</c:formatCode>
                <c:ptCount val="12"/>
                <c:pt idx="0">
                  <c:v>3109</c:v>
                </c:pt>
                <c:pt idx="1">
                  <c:v>4684</c:v>
                </c:pt>
                <c:pt idx="2">
                  <c:v>8344</c:v>
                </c:pt>
                <c:pt idx="3">
                  <c:v>12660</c:v>
                </c:pt>
                <c:pt idx="4">
                  <c:v>12451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51C-4BD4-B454-5527CCB624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Production!$P$258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Production!$S$258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Production!$P$259:$P$270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Production!$S$259:$S$270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54E-4BDF-B377-99949742A2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Production!$Q$258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Production!$P$259:$P$270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Production!$Q$259:$Q$270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54E-4BDF-B377-99949742A27B}"/>
            </c:ext>
          </c:extLst>
        </c:ser>
        <c:ser>
          <c:idx val="1"/>
          <c:order val="1"/>
          <c:tx>
            <c:strRef>
              <c:f>Production!$R$258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Production!$P$259:$P$270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Production!$R$259:$R$270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54E-4BDF-B377-99949742A2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185737</xdr:colOff>
      <xdr:row>2</xdr:row>
      <xdr:rowOff>4760</xdr:rowOff>
    </xdr:from>
    <xdr:to>
      <xdr:col>25</xdr:col>
      <xdr:colOff>9525</xdr:colOff>
      <xdr:row>16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4B2566E-5874-4C05-90BE-0F8C96DDF3C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180975</xdr:colOff>
      <xdr:row>17</xdr:row>
      <xdr:rowOff>0</xdr:rowOff>
    </xdr:from>
    <xdr:to>
      <xdr:col>25</xdr:col>
      <xdr:colOff>4763</xdr:colOff>
      <xdr:row>31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19E5270-60A0-4E6C-869E-EFD8FB37A73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180975</xdr:colOff>
      <xdr:row>32</xdr:row>
      <xdr:rowOff>0</xdr:rowOff>
    </xdr:from>
    <xdr:to>
      <xdr:col>25</xdr:col>
      <xdr:colOff>4763</xdr:colOff>
      <xdr:row>46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F0AA5A1-8F95-4440-A29F-C735F0D82C3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180975</xdr:colOff>
      <xdr:row>47</xdr:row>
      <xdr:rowOff>0</xdr:rowOff>
    </xdr:from>
    <xdr:to>
      <xdr:col>25</xdr:col>
      <xdr:colOff>4763</xdr:colOff>
      <xdr:row>61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DE32BD2B-77EF-4755-A976-5911C47BAF9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19</xdr:col>
      <xdr:colOff>180975</xdr:colOff>
      <xdr:row>62</xdr:row>
      <xdr:rowOff>0</xdr:rowOff>
    </xdr:from>
    <xdr:to>
      <xdr:col>25</xdr:col>
      <xdr:colOff>4763</xdr:colOff>
      <xdr:row>76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6DCFCAD-BE4C-48C1-9A29-E95F191D902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19</xdr:col>
      <xdr:colOff>180975</xdr:colOff>
      <xdr:row>77</xdr:row>
      <xdr:rowOff>0</xdr:rowOff>
    </xdr:from>
    <xdr:to>
      <xdr:col>25</xdr:col>
      <xdr:colOff>4763</xdr:colOff>
      <xdr:row>91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47E28CA1-87EC-435E-8E42-0B8F728FA82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19</xdr:col>
      <xdr:colOff>180975</xdr:colOff>
      <xdr:row>92</xdr:row>
      <xdr:rowOff>0</xdr:rowOff>
    </xdr:from>
    <xdr:to>
      <xdr:col>25</xdr:col>
      <xdr:colOff>4763</xdr:colOff>
      <xdr:row>106</xdr:row>
      <xdr:rowOff>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1D43BC64-3838-42AB-A41E-3F347EFB289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19</xdr:col>
      <xdr:colOff>180975</xdr:colOff>
      <xdr:row>107</xdr:row>
      <xdr:rowOff>0</xdr:rowOff>
    </xdr:from>
    <xdr:to>
      <xdr:col>25</xdr:col>
      <xdr:colOff>4763</xdr:colOff>
      <xdr:row>121</xdr:row>
      <xdr:rowOff>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BD5F3F6D-35F7-4340-A0E8-E101CBF0DD8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19</xdr:col>
      <xdr:colOff>180975</xdr:colOff>
      <xdr:row>137</xdr:row>
      <xdr:rowOff>0</xdr:rowOff>
    </xdr:from>
    <xdr:to>
      <xdr:col>25</xdr:col>
      <xdr:colOff>4763</xdr:colOff>
      <xdr:row>151</xdr:row>
      <xdr:rowOff>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DC37419C-2316-4F44-B78F-658A2C0F806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19</xdr:col>
      <xdr:colOff>180975</xdr:colOff>
      <xdr:row>151</xdr:row>
      <xdr:rowOff>209549</xdr:rowOff>
    </xdr:from>
    <xdr:to>
      <xdr:col>25</xdr:col>
      <xdr:colOff>4763</xdr:colOff>
      <xdr:row>166</xdr:row>
      <xdr:rowOff>9524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71F4C5E2-1DCD-4A32-B5D2-413864A84E5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19</xdr:col>
      <xdr:colOff>180975</xdr:colOff>
      <xdr:row>166</xdr:row>
      <xdr:rowOff>209549</xdr:rowOff>
    </xdr:from>
    <xdr:to>
      <xdr:col>25</xdr:col>
      <xdr:colOff>4763</xdr:colOff>
      <xdr:row>180</xdr:row>
      <xdr:rowOff>200024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259DAE41-9F7F-4D5A-8D49-FC79993A310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19</xdr:col>
      <xdr:colOff>180975</xdr:colOff>
      <xdr:row>181</xdr:row>
      <xdr:rowOff>209549</xdr:rowOff>
    </xdr:from>
    <xdr:to>
      <xdr:col>25</xdr:col>
      <xdr:colOff>4763</xdr:colOff>
      <xdr:row>195</xdr:row>
      <xdr:rowOff>200024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A972EE45-6F83-4B47-BDF9-504498941E6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19</xdr:col>
      <xdr:colOff>180975</xdr:colOff>
      <xdr:row>197</xdr:row>
      <xdr:rowOff>0</xdr:rowOff>
    </xdr:from>
    <xdr:to>
      <xdr:col>25</xdr:col>
      <xdr:colOff>4763</xdr:colOff>
      <xdr:row>211</xdr:row>
      <xdr:rowOff>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78E18D77-CCA0-4F4E-ADE1-EF00F26D84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19</xdr:col>
      <xdr:colOff>180975</xdr:colOff>
      <xdr:row>212</xdr:row>
      <xdr:rowOff>0</xdr:rowOff>
    </xdr:from>
    <xdr:to>
      <xdr:col>25</xdr:col>
      <xdr:colOff>4763</xdr:colOff>
      <xdr:row>226</xdr:row>
      <xdr:rowOff>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BA384278-D1CD-42F7-9640-3EA909D36A0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19</xdr:col>
      <xdr:colOff>180975</xdr:colOff>
      <xdr:row>226</xdr:row>
      <xdr:rowOff>209549</xdr:rowOff>
    </xdr:from>
    <xdr:to>
      <xdr:col>25</xdr:col>
      <xdr:colOff>4763</xdr:colOff>
      <xdr:row>240</xdr:row>
      <xdr:rowOff>200024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FC2147DE-D698-49EE-AC9D-1D620A9E38B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19</xdr:col>
      <xdr:colOff>180975</xdr:colOff>
      <xdr:row>242</xdr:row>
      <xdr:rowOff>0</xdr:rowOff>
    </xdr:from>
    <xdr:to>
      <xdr:col>25</xdr:col>
      <xdr:colOff>4763</xdr:colOff>
      <xdr:row>256</xdr:row>
      <xdr:rowOff>0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2C94475A-D3DE-4078-93EA-C7178AFA8C5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19</xdr:col>
      <xdr:colOff>190500</xdr:colOff>
      <xdr:row>122</xdr:row>
      <xdr:rowOff>9525</xdr:rowOff>
    </xdr:from>
    <xdr:to>
      <xdr:col>25</xdr:col>
      <xdr:colOff>14288</xdr:colOff>
      <xdr:row>136</xdr:row>
      <xdr:rowOff>4763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97E6B7FC-61BE-4934-A3FC-36F2F5BADD8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19</xdr:col>
      <xdr:colOff>180975</xdr:colOff>
      <xdr:row>257</xdr:row>
      <xdr:rowOff>0</xdr:rowOff>
    </xdr:from>
    <xdr:to>
      <xdr:col>25</xdr:col>
      <xdr:colOff>4763</xdr:colOff>
      <xdr:row>271</xdr:row>
      <xdr:rowOff>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CFEAB46A-62B4-44AB-992F-E2D27FF7C31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 editAs="absolute">
    <xdr:from>
      <xdr:col>1</xdr:col>
      <xdr:colOff>314324</xdr:colOff>
      <xdr:row>0</xdr:row>
      <xdr:rowOff>28575</xdr:rowOff>
    </xdr:from>
    <xdr:to>
      <xdr:col>6</xdr:col>
      <xdr:colOff>352425</xdr:colOff>
      <xdr:row>0</xdr:row>
      <xdr:rowOff>1628774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0" name="Mois">
              <a:extLst>
                <a:ext uri="{FF2B5EF4-FFF2-40B4-BE49-F238E27FC236}">
                  <a16:creationId xmlns:a16="http://schemas.microsoft.com/office/drawing/2014/main" id="{54021C1C-57AE-48F2-9F5A-C3EC6A02579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0574" y="28575"/>
              <a:ext cx="5829301" cy="16001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&#233;mi%20BERTHON/Desktop/Outil%20Audit%20v0211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 explicative AUDIT"/>
      <sheetName val="Acteurs"/>
      <sheetName val="Contrats"/>
      <sheetName val="New Contrats"/>
      <sheetName val="Prets"/>
      <sheetName val="Newprets"/>
      <sheetName val="CEIAB"/>
      <sheetName val="Général"/>
      <sheetName val="Zones"/>
      <sheetName val="Toitures"/>
      <sheetName val="Relevé"/>
      <sheetName val="Production"/>
      <sheetName val="Synthèse"/>
      <sheetName val="A cacher"/>
      <sheetName val="HistAm"/>
      <sheetName val="Actions"/>
      <sheetName val="NewAm"/>
      <sheetName val="BP Client"/>
      <sheetName val="BP normalisé"/>
      <sheetName val="BP Ener-Pacte"/>
      <sheetName val="Différenti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8">
          <cell r="R18">
            <v>43290</v>
          </cell>
        </row>
        <row r="50">
          <cell r="R50" t="str">
            <v>FERME DE L'OUEST</v>
          </cell>
        </row>
        <row r="59">
          <cell r="R59" t="str">
            <v>P016100</v>
          </cell>
        </row>
        <row r="64">
          <cell r="R64">
            <v>8.3999999999999995E-3</v>
          </cell>
        </row>
        <row r="65">
          <cell r="R65">
            <v>-8.0000000000000002E-3</v>
          </cell>
        </row>
        <row r="66">
          <cell r="R66">
            <v>0.02</v>
          </cell>
        </row>
        <row r="148">
          <cell r="R148">
            <v>118665.52732016641</v>
          </cell>
        </row>
        <row r="150">
          <cell r="R150">
            <v>1400</v>
          </cell>
        </row>
        <row r="153">
          <cell r="R153">
            <v>5.089009964103274E-3</v>
          </cell>
        </row>
        <row r="154">
          <cell r="R154">
            <v>-6.3778351246200574E-3</v>
          </cell>
        </row>
      </sheetData>
      <sheetData sheetId="8">
        <row r="16">
          <cell r="B16">
            <v>1</v>
          </cell>
        </row>
      </sheetData>
      <sheetData sheetId="9">
        <row r="16">
          <cell r="B16">
            <v>1</v>
          </cell>
        </row>
      </sheetData>
      <sheetData sheetId="10"/>
      <sheetData sheetId="11">
        <row r="2">
          <cell r="O2">
            <v>2010</v>
          </cell>
        </row>
      </sheetData>
      <sheetData sheetId="12"/>
      <sheetData sheetId="13"/>
      <sheetData sheetId="14"/>
      <sheetData sheetId="15">
        <row r="4">
          <cell r="A4" t="str">
            <v>Remplacer les panneaux défectueux</v>
          </cell>
          <cell r="C4" t="str">
            <v>X</v>
          </cell>
          <cell r="D4" t="str">
            <v>X</v>
          </cell>
          <cell r="E4" t="str">
            <v>X</v>
          </cell>
        </row>
        <row r="5">
          <cell r="A5" t="str">
            <v>Mettre en place un monitoring</v>
          </cell>
          <cell r="C5" t="str">
            <v>X</v>
          </cell>
        </row>
        <row r="6">
          <cell r="A6" t="str">
            <v>Recâbler les coffrets DC</v>
          </cell>
          <cell r="C6" t="str">
            <v>X</v>
          </cell>
          <cell r="E6" t="str">
            <v>X</v>
          </cell>
        </row>
        <row r="7">
          <cell r="A7" t="str">
            <v>Identifier tous les câbles</v>
          </cell>
          <cell r="E7" t="str">
            <v>X</v>
          </cell>
        </row>
      </sheetData>
      <sheetData sheetId="16"/>
      <sheetData sheetId="17"/>
      <sheetData sheetId="18"/>
      <sheetData sheetId="19"/>
      <sheetData sheetId="20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4587291F-FF1F-4138-9BC6-06B2FAECE675}" sourceName="Mois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D71AB9A-32AC-40B1-B144-25511CDE9506}" cache="Segment_Mois" caption="Mois" columnCount="5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C2E0CB-5FB8-47E4-9149-BA8CD8107E20}" name="Tableau1" displayName="Tableau1" ref="A2:N242" totalsRowShown="0" headerRowDxfId="0" dataDxfId="1" headerRowBorderDxfId="17" tableBorderDxfId="18" totalsRowBorderDxfId="16">
  <autoFilter ref="A2:N242" xr:uid="{AC5C586E-5474-4503-BE61-EEAD9257ACE6}">
    <filterColumn colId="2">
      <filters>
        <dateGroupItem year="2011" month="1" day="1" dateTimeGrouping="day"/>
        <dateGroupItem year="2011" month="2" day="1" dateTimeGrouping="day"/>
        <dateGroupItem year="2011" month="3" day="1" dateTimeGrouping="day"/>
        <dateGroupItem year="2011" month="4" day="1" dateTimeGrouping="day"/>
        <dateGroupItem year="2011" month="5" day="1" dateTimeGrouping="day"/>
        <dateGroupItem year="2011" month="6" day="1" dateTimeGrouping="day"/>
        <dateGroupItem year="2011" month="7" day="1" dateTimeGrouping="day"/>
        <dateGroupItem year="2011" month="8" day="1" dateTimeGrouping="day"/>
        <dateGroupItem year="2011" month="9" day="1" dateTimeGrouping="day"/>
        <dateGroupItem year="2011" month="10" day="1" dateTimeGrouping="day"/>
        <dateGroupItem year="2011" month="11" day="1" dateTimeGrouping="day"/>
        <dateGroupItem year="2011" month="12" day="1" dateTimeGrouping="day"/>
      </filters>
    </filterColumn>
  </autoFilter>
  <tableColumns count="14">
    <tableColumn id="1" xr3:uid="{959245B8-DC78-4490-9CCE-BE7A3F94B156}" name="Num" dataDxfId="15">
      <calculatedColumnFormula>IF(C3&lt;&gt;"",A2+1,"")</calculatedColumnFormula>
    </tableColumn>
    <tableColumn id="2" xr3:uid="{A8B5B471-BDAA-4F7C-82AF-0428568B2D60}" name="Année" dataDxfId="14">
      <calculatedColumnFormula>IF(ISBLANK(C3),"",YEAR(C3))</calculatedColumnFormula>
    </tableColumn>
    <tableColumn id="3" xr3:uid="{6F16D04B-676B-464F-A432-460CC7DFD2F0}" name="Mois" dataDxfId="13"/>
    <tableColumn id="4" xr3:uid="{522AF502-FED5-4C01-9628-125A14197252}" name="Tarif d'achat appliqué" dataDxfId="12"/>
    <tableColumn id="5" xr3:uid="{F98C9502-A834-4762-AA64-36B737181DF8}" name="Tarif d'achat recalculé" dataDxfId="11"/>
    <tableColumn id="6" xr3:uid="{1FB6FD26-C57D-4500-9FAD-7DF0B3527123}" name="Production mens. réelle" dataDxfId="10"/>
    <tableColumn id="7" xr3:uid="{B2249C21-E17D-409A-A697-F2876C5C4EAE}" name="Irradiance historique (kWh/m²)" dataDxfId="9"/>
    <tableColumn id="8" xr3:uid="{5B44B021-EFFF-42F8-B5C7-2D7E411D8054}" name="Production mens. théorique" dataDxfId="8"/>
    <tableColumn id="9" xr3:uid="{95B57E9C-86AA-4E92-8296-2713929FD8B6}" name="Différentiel production" dataDxfId="7">
      <calculatedColumnFormula>IF(AND(F3&gt;0,H3&gt;0),H3-F3,"")</calculatedColumnFormula>
    </tableColumn>
    <tableColumn id="10" xr3:uid="{E4C7013E-BC18-4347-A3A9-898D4C4FCDDF}" name="PR réactualisé calculé" dataDxfId="6">
      <calculatedColumnFormula>IFERROR(F3/H3,"")</calculatedColumnFormula>
    </tableColumn>
    <tableColumn id="11" xr3:uid="{01866ED6-2D23-450B-9E04-FA0556F569AF}" name="Taux de disponibilité estimé" dataDxfId="5"/>
    <tableColumn id="12" xr3:uid="{C0E9D8A9-DBC4-4919-9C65-FD83E5A58C39}" name="Production mens. CVS" dataDxfId="4">
      <calculatedColumnFormula>IF(AND(E3&gt;0,F3&gt;0),E3/F3*(irradiation_solaire/12)/J3,"")</calculatedColumnFormula>
    </tableColumn>
    <tableColumn id="13" xr3:uid="{1D0790F6-1E9D-484C-94B6-486FF855A4D4}" name="Production mens. CVS2" dataDxfId="3">
      <calculatedColumnFormula>IF(AND(F3&gt;0,G3&gt;0),F3/G3*(irradiation_solaire/12)/K3,"")</calculatedColumnFormula>
    </tableColumn>
    <tableColumn id="14" xr3:uid="{974C773F-2241-4788-A1C1-AC0E85497A1D}" name="Evénement référencé" dataDxfId="2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7DEC07-9E02-4956-B7B0-A12C74EBEC18}">
  <dimension ref="A1:T271"/>
  <sheetViews>
    <sheetView tabSelected="1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C4" sqref="C4"/>
    </sheetView>
  </sheetViews>
  <sheetFormatPr baseColWidth="10" defaultColWidth="11.42578125" defaultRowHeight="16.5" x14ac:dyDescent="0.25"/>
  <cols>
    <col min="1" max="1" width="7.140625" style="1" customWidth="1"/>
    <col min="2" max="2" width="8.7109375" style="2" customWidth="1"/>
    <col min="3" max="3" width="10.140625" style="3" customWidth="1"/>
    <col min="4" max="4" width="22" style="4" customWidth="1"/>
    <col min="5" max="5" width="22.28515625" style="4" customWidth="1"/>
    <col min="6" max="6" width="23.7109375" style="1" customWidth="1"/>
    <col min="7" max="7" width="29.28515625" style="5" customWidth="1"/>
    <col min="8" max="8" width="27.28515625" style="1" customWidth="1"/>
    <col min="9" max="9" width="22.85546875" style="6" customWidth="1"/>
    <col min="10" max="10" width="22.28515625" style="5" customWidth="1"/>
    <col min="11" max="11" width="27.5703125" style="5" customWidth="1"/>
    <col min="12" max="12" width="22.28515625" style="6" customWidth="1"/>
    <col min="13" max="13" width="23.28515625" style="6" customWidth="1"/>
    <col min="14" max="14" width="37" style="7" customWidth="1"/>
    <col min="15" max="15" width="11.42578125" style="8"/>
    <col min="16" max="16" width="19.5703125" style="9" bestFit="1" customWidth="1"/>
    <col min="17" max="17" width="11.85546875" style="9" bestFit="1" customWidth="1"/>
    <col min="18" max="19" width="11.42578125" style="9"/>
    <col min="20" max="20" width="11.85546875" style="8" bestFit="1" customWidth="1"/>
    <col min="21" max="16384" width="11.42578125" style="8"/>
  </cols>
  <sheetData>
    <row r="1" spans="1:19" ht="140.25" customHeight="1" x14ac:dyDescent="0.25"/>
    <row r="2" spans="1:19" s="55" customFormat="1" x14ac:dyDescent="0.25">
      <c r="A2" s="48" t="s">
        <v>0</v>
      </c>
      <c r="B2" s="49" t="s">
        <v>1</v>
      </c>
      <c r="C2" s="50" t="s">
        <v>2</v>
      </c>
      <c r="D2" s="51" t="s">
        <v>3</v>
      </c>
      <c r="E2" s="51" t="s">
        <v>4</v>
      </c>
      <c r="F2" s="52" t="s">
        <v>5</v>
      </c>
      <c r="G2" s="52" t="s">
        <v>6</v>
      </c>
      <c r="H2" s="52" t="s">
        <v>7</v>
      </c>
      <c r="I2" s="53" t="s">
        <v>8</v>
      </c>
      <c r="J2" s="52" t="s">
        <v>9</v>
      </c>
      <c r="K2" s="52" t="s">
        <v>10</v>
      </c>
      <c r="L2" s="53" t="s">
        <v>11</v>
      </c>
      <c r="M2" s="53" t="s">
        <v>17</v>
      </c>
      <c r="N2" s="54" t="s">
        <v>12</v>
      </c>
      <c r="P2" s="56"/>
      <c r="Q2" s="57"/>
      <c r="R2" s="57"/>
      <c r="S2" s="57"/>
    </row>
    <row r="3" spans="1:19" hidden="1" x14ac:dyDescent="0.25">
      <c r="A3" s="10">
        <v>1</v>
      </c>
      <c r="B3" s="11">
        <f t="shared" ref="B3:B66" si="0">IF(ISBLANK(C3),"",YEAR(C3))</f>
        <v>2010</v>
      </c>
      <c r="C3" s="12">
        <v>40360</v>
      </c>
      <c r="D3" s="13">
        <v>0.60175999999999996</v>
      </c>
      <c r="E3" s="13"/>
      <c r="F3" s="14"/>
      <c r="G3" s="15"/>
      <c r="H3" s="16">
        <v>0</v>
      </c>
      <c r="I3" s="16" t="str">
        <f>IF(AND(F3&gt;0,H3&gt;0),H3-F3,"")</f>
        <v/>
      </c>
      <c r="J3" s="17" t="str">
        <f>IFERROR(F3/H3,"")</f>
        <v/>
      </c>
      <c r="K3" s="18"/>
      <c r="L3" s="19" t="str">
        <f t="shared" ref="L3:M66" si="1">IF(AND(E3&gt;0,F3&gt;0),E3/F3*(irradiation_solaire/12)/J3,"")</f>
        <v/>
      </c>
      <c r="M3" s="19" t="str">
        <f t="shared" si="1"/>
        <v/>
      </c>
      <c r="N3" s="20"/>
      <c r="P3" s="21">
        <f>MIN(B:B)</f>
        <v>2010</v>
      </c>
      <c r="Q3" s="22" t="s">
        <v>13</v>
      </c>
      <c r="R3" s="22" t="s">
        <v>14</v>
      </c>
      <c r="S3" s="22" t="s">
        <v>15</v>
      </c>
    </row>
    <row r="4" spans="1:19" hidden="1" x14ac:dyDescent="0.25">
      <c r="A4" s="10">
        <f>IF(C4&lt;&gt;"",A3+1,"")</f>
        <v>2</v>
      </c>
      <c r="B4" s="11">
        <f t="shared" si="0"/>
        <v>2010</v>
      </c>
      <c r="C4" s="12">
        <v>40391</v>
      </c>
      <c r="D4" s="13">
        <v>0.60175999999999996</v>
      </c>
      <c r="E4" s="13"/>
      <c r="F4" s="14"/>
      <c r="G4" s="15"/>
      <c r="H4" s="16">
        <v>0</v>
      </c>
      <c r="I4" s="16" t="str">
        <f t="shared" ref="I4:I67" si="2">IF(AND(F4&gt;0,H4&gt;0),H4-F4,"")</f>
        <v/>
      </c>
      <c r="J4" s="17" t="str">
        <f t="shared" ref="J4:J67" si="3">IFERROR(F4/H4,"")</f>
        <v/>
      </c>
      <c r="K4" s="18"/>
      <c r="L4" s="19" t="str">
        <f t="shared" si="1"/>
        <v/>
      </c>
      <c r="M4" s="19" t="str">
        <f t="shared" si="1"/>
        <v/>
      </c>
      <c r="N4" s="20"/>
      <c r="P4" s="23">
        <f>_xlfn.MINIFS(C:C,B:B,P3,F:F,"&gt;"&amp;0)</f>
        <v>40452</v>
      </c>
      <c r="Q4" s="24">
        <f>IFERROR(VLOOKUP($P4,$C:$J,6,FALSE),"")</f>
        <v>0</v>
      </c>
      <c r="R4" s="24">
        <f>IFERROR(VLOOKUP($P4,$C:$J,4,FALSE),"")</f>
        <v>7521</v>
      </c>
      <c r="S4" s="25" t="str">
        <f>IFERROR(VLOOKUP($P4,$C:$J,8,FALSE),"")</f>
        <v/>
      </c>
    </row>
    <row r="5" spans="1:19" hidden="1" x14ac:dyDescent="0.25">
      <c r="A5" s="10">
        <f t="shared" ref="A5:A68" si="4">IF(C5&lt;&gt;"",A4+1,"")</f>
        <v>3</v>
      </c>
      <c r="B5" s="11">
        <f t="shared" si="0"/>
        <v>2010</v>
      </c>
      <c r="C5" s="12">
        <v>40422</v>
      </c>
      <c r="D5" s="13">
        <v>0.60175999999999996</v>
      </c>
      <c r="E5" s="13"/>
      <c r="F5" s="14"/>
      <c r="G5" s="15"/>
      <c r="H5" s="16">
        <v>0</v>
      </c>
      <c r="I5" s="16" t="str">
        <f t="shared" si="2"/>
        <v/>
      </c>
      <c r="J5" s="17" t="str">
        <f t="shared" si="3"/>
        <v/>
      </c>
      <c r="K5" s="18"/>
      <c r="L5" s="19" t="str">
        <f t="shared" si="1"/>
        <v/>
      </c>
      <c r="M5" s="19" t="str">
        <f t="shared" si="1"/>
        <v/>
      </c>
      <c r="N5" s="20"/>
      <c r="P5" s="26">
        <f>IF(_xlfn.MINIFS($C:$C,$B:$B,P3,$C:$C,"&gt;"&amp;MAX(P4:P4),$F:$F,"&lt;&gt;"&amp;"")&gt;0,_xlfn.MINIFS($C:$C,$B:$B,P3,$C:$C,"&gt;"&amp;MAX(P4:P4),$F:$F,"&lt;&gt;"&amp;""),"")</f>
        <v>40483</v>
      </c>
      <c r="Q5" s="27">
        <f>IFERROR(VLOOKUP($P5,$C:$J,6,FALSE),"")</f>
        <v>0</v>
      </c>
      <c r="R5" s="27">
        <f>IFERROR(VLOOKUP($P5,$C:$J,4,FALSE),"")</f>
        <v>3498</v>
      </c>
      <c r="S5" s="28" t="str">
        <f>IFERROR(VLOOKUP($P5,$C:$J,8,FALSE),"")</f>
        <v/>
      </c>
    </row>
    <row r="6" spans="1:19" hidden="1" x14ac:dyDescent="0.25">
      <c r="A6" s="10">
        <f t="shared" si="4"/>
        <v>4</v>
      </c>
      <c r="B6" s="11">
        <f t="shared" si="0"/>
        <v>2010</v>
      </c>
      <c r="C6" s="12">
        <v>40452</v>
      </c>
      <c r="D6" s="13">
        <v>0.60175999999999996</v>
      </c>
      <c r="E6" s="13"/>
      <c r="F6" s="14">
        <v>7521</v>
      </c>
      <c r="G6" s="15"/>
      <c r="H6" s="16">
        <v>0</v>
      </c>
      <c r="I6" s="16" t="str">
        <f t="shared" si="2"/>
        <v/>
      </c>
      <c r="J6" s="17" t="str">
        <f t="shared" si="3"/>
        <v/>
      </c>
      <c r="K6" s="18"/>
      <c r="L6" s="19" t="str">
        <f t="shared" si="1"/>
        <v/>
      </c>
      <c r="M6" s="19" t="str">
        <f t="shared" si="1"/>
        <v/>
      </c>
      <c r="N6" s="20"/>
      <c r="P6" s="26">
        <f>IF(_xlfn.MINIFS($C:$C,$B:$B,P3,$C:$C,"&gt;"&amp;MAX(P4:P5),$F:$F,"&lt;&gt;"&amp;"")&gt;0,_xlfn.MINIFS($C:$C,$B:$B,P3,$C:$C,"&gt;"&amp;MAX(P4:P5),$F:$F,"&lt;&gt;"&amp;""),"")</f>
        <v>40513</v>
      </c>
      <c r="Q6" s="27">
        <f>IFERROR(VLOOKUP($P6,$C:$J,6,FALSE),"")</f>
        <v>0</v>
      </c>
      <c r="R6" s="27">
        <f>IFERROR(VLOOKUP($P6,$C:$J,4,FALSE),"")</f>
        <v>2775</v>
      </c>
      <c r="S6" s="28" t="str">
        <f>IFERROR(VLOOKUP($P6,$C:$J,8,FALSE),"")</f>
        <v/>
      </c>
    </row>
    <row r="7" spans="1:19" hidden="1" x14ac:dyDescent="0.25">
      <c r="A7" s="10">
        <f t="shared" si="4"/>
        <v>5</v>
      </c>
      <c r="B7" s="11">
        <f t="shared" si="0"/>
        <v>2010</v>
      </c>
      <c r="C7" s="12">
        <v>40483</v>
      </c>
      <c r="D7" s="13">
        <v>0.60175999999999996</v>
      </c>
      <c r="E7" s="13"/>
      <c r="F7" s="14">
        <v>3498</v>
      </c>
      <c r="G7" s="15"/>
      <c r="H7" s="16">
        <v>0</v>
      </c>
      <c r="I7" s="16" t="str">
        <f t="shared" si="2"/>
        <v/>
      </c>
      <c r="J7" s="17" t="str">
        <f t="shared" si="3"/>
        <v/>
      </c>
      <c r="K7" s="18"/>
      <c r="L7" s="19" t="str">
        <f t="shared" si="1"/>
        <v/>
      </c>
      <c r="M7" s="19" t="str">
        <f t="shared" si="1"/>
        <v/>
      </c>
      <c r="N7" s="20"/>
      <c r="P7" s="26" t="str">
        <f>IF(_xlfn.MINIFS($C:$C,$B:$B,P3,$C:$C,"&gt;"&amp;MAX(P4:P6),$F:$F,"&lt;&gt;"&amp;"")&gt;0,_xlfn.MINIFS($C:$C,$B:$B,P3,$C:$C,"&gt;"&amp;MAX(P4:P6),$F:$F,"&lt;&gt;"&amp;""),"")</f>
        <v/>
      </c>
      <c r="Q7" s="27" t="str">
        <f>IFERROR(VLOOKUP($P7,$C:$J,6,FALSE),"")</f>
        <v/>
      </c>
      <c r="R7" s="27" t="str">
        <f>IFERROR(VLOOKUP($P7,$C:$J,4,FALSE),"")</f>
        <v/>
      </c>
      <c r="S7" s="28" t="str">
        <f>IFERROR(VLOOKUP($P7,$C:$J,8,FALSE),"")</f>
        <v/>
      </c>
    </row>
    <row r="8" spans="1:19" hidden="1" x14ac:dyDescent="0.25">
      <c r="A8" s="10">
        <f t="shared" si="4"/>
        <v>6</v>
      </c>
      <c r="B8" s="11">
        <f t="shared" si="0"/>
        <v>2010</v>
      </c>
      <c r="C8" s="12">
        <v>40513</v>
      </c>
      <c r="D8" s="13">
        <v>0.60175999999999996</v>
      </c>
      <c r="E8" s="13"/>
      <c r="F8" s="14">
        <v>2775</v>
      </c>
      <c r="G8" s="15"/>
      <c r="H8" s="16">
        <v>0</v>
      </c>
      <c r="I8" s="16" t="str">
        <f t="shared" si="2"/>
        <v/>
      </c>
      <c r="J8" s="17" t="str">
        <f t="shared" si="3"/>
        <v/>
      </c>
      <c r="K8" s="18"/>
      <c r="L8" s="19" t="str">
        <f t="shared" si="1"/>
        <v/>
      </c>
      <c r="M8" s="19" t="str">
        <f t="shared" si="1"/>
        <v/>
      </c>
      <c r="N8" s="20"/>
      <c r="P8" s="26" t="str">
        <f>IF(_xlfn.MINIFS($C:$C,$B:$B,P3,$C:$C,"&gt;"&amp;MAX(P4:P7),$F:$F,"&lt;&gt;"&amp;"")&gt;0,_xlfn.MINIFS($C:$C,$B:$B,P3,$C:$C,"&gt;"&amp;MAX(P4:P7),$F:$F,"&lt;&gt;"&amp;""),"")</f>
        <v/>
      </c>
      <c r="Q8" s="27" t="str">
        <f>IFERROR(VLOOKUP($P8,$C:$J,6,FALSE),"")</f>
        <v/>
      </c>
      <c r="R8" s="27" t="str">
        <f>IFERROR(VLOOKUP($P8,$C:$J,4,FALSE),"")</f>
        <v/>
      </c>
      <c r="S8" s="28" t="str">
        <f>IFERROR(VLOOKUP($P8,$C:$J,8,FALSE),"")</f>
        <v/>
      </c>
    </row>
    <row r="9" spans="1:19" x14ac:dyDescent="0.25">
      <c r="A9" s="10">
        <f t="shared" si="4"/>
        <v>7</v>
      </c>
      <c r="B9" s="11">
        <f t="shared" si="0"/>
        <v>2011</v>
      </c>
      <c r="C9" s="12">
        <v>40544</v>
      </c>
      <c r="D9" s="13">
        <v>0.60175999999999996</v>
      </c>
      <c r="E9" s="13"/>
      <c r="F9" s="14">
        <v>4062</v>
      </c>
      <c r="G9" s="15">
        <v>52.503</v>
      </c>
      <c r="H9" s="16">
        <v>5427.0872655842313</v>
      </c>
      <c r="I9" s="16">
        <f t="shared" si="2"/>
        <v>1365.0872655842313</v>
      </c>
      <c r="J9" s="17">
        <f t="shared" si="3"/>
        <v>0.74846778782406809</v>
      </c>
      <c r="K9" s="18">
        <v>1</v>
      </c>
      <c r="L9" s="19" t="str">
        <f>IF(AND(E9&gt;0,F9&gt;0),E9/F9*(irradiation_solaire/12)/J9,"")</f>
        <v/>
      </c>
      <c r="M9" s="19">
        <f>IF(AND(F9&gt;0,G9&gt;0),F9/G9*(irradiation_solaire/12)/K9,"")</f>
        <v>9026.1508866160038</v>
      </c>
      <c r="N9" s="20"/>
      <c r="P9" s="26" t="str">
        <f>IF(_xlfn.MINIFS($C:$C,$B:$B,P3,$C:$C,"&gt;"&amp;MAX(P4:P8),$F:$F,"&lt;&gt;"&amp;"")&gt;0,_xlfn.MINIFS($C:$C,$B:$B,P3,$C:$C,"&gt;"&amp;MAX(P4:P8),$F:$F,"&lt;&gt;"&amp;""),"")</f>
        <v/>
      </c>
      <c r="Q9" s="27" t="str">
        <f>IFERROR(VLOOKUP($P9,$C:$J,6,FALSE),"")</f>
        <v/>
      </c>
      <c r="R9" s="27" t="str">
        <f>IFERROR(VLOOKUP($P9,$C:$J,4,FALSE),"")</f>
        <v/>
      </c>
      <c r="S9" s="28" t="str">
        <f>IFERROR(VLOOKUP($P9,$C:$J,8,FALSE),"")</f>
        <v/>
      </c>
    </row>
    <row r="10" spans="1:19" x14ac:dyDescent="0.25">
      <c r="A10" s="10">
        <f t="shared" si="4"/>
        <v>8</v>
      </c>
      <c r="B10" s="11">
        <f t="shared" si="0"/>
        <v>2011</v>
      </c>
      <c r="C10" s="12">
        <v>40575</v>
      </c>
      <c r="D10" s="13">
        <v>0.60175999999999996</v>
      </c>
      <c r="E10" s="13"/>
      <c r="F10" s="14">
        <v>5898</v>
      </c>
      <c r="G10" s="15">
        <v>69.900999999999996</v>
      </c>
      <c r="H10" s="16">
        <v>7225.4695341523975</v>
      </c>
      <c r="I10" s="16">
        <f t="shared" si="2"/>
        <v>1327.4695341523975</v>
      </c>
      <c r="J10" s="17">
        <f t="shared" si="3"/>
        <v>0.81627913205115743</v>
      </c>
      <c r="K10" s="18">
        <v>1</v>
      </c>
      <c r="L10" s="19" t="str">
        <f t="shared" si="1"/>
        <v/>
      </c>
      <c r="M10" s="19">
        <f t="shared" si="1"/>
        <v>9843.9221184246308</v>
      </c>
      <c r="N10" s="20"/>
      <c r="P10" s="26" t="str">
        <f>IF(_xlfn.MINIFS($C:$C,$B:$B,P3,$C:$C,"&gt;"&amp;MAX(P4:P9),$F:$F,"&lt;&gt;"&amp;"")&gt;0,_xlfn.MINIFS($C:$C,$B:$B,P3,$C:$C,"&gt;"&amp;MAX(P4:P9),$F:$F,"&lt;&gt;"&amp;""),"")</f>
        <v/>
      </c>
      <c r="Q10" s="27" t="str">
        <f>IFERROR(VLOOKUP($P10,$C:$J,6,FALSE),"")</f>
        <v/>
      </c>
      <c r="R10" s="27" t="str">
        <f>IFERROR(VLOOKUP($P10,$C:$J,4,FALSE),"")</f>
        <v/>
      </c>
      <c r="S10" s="28" t="str">
        <f>IFERROR(VLOOKUP($P10,$C:$J,8,FALSE),"")</f>
        <v/>
      </c>
    </row>
    <row r="11" spans="1:19" x14ac:dyDescent="0.25">
      <c r="A11" s="10">
        <f t="shared" si="4"/>
        <v>9</v>
      </c>
      <c r="B11" s="11">
        <f t="shared" si="0"/>
        <v>2011</v>
      </c>
      <c r="C11" s="12">
        <v>40603</v>
      </c>
      <c r="D11" s="13">
        <v>0.60175999999999996</v>
      </c>
      <c r="E11" s="13"/>
      <c r="F11" s="14">
        <v>10264</v>
      </c>
      <c r="G11" s="15">
        <v>116.003</v>
      </c>
      <c r="H11" s="16">
        <v>11990.903454461031</v>
      </c>
      <c r="I11" s="16">
        <f t="shared" si="2"/>
        <v>1726.9034544610313</v>
      </c>
      <c r="J11" s="17">
        <f t="shared" si="3"/>
        <v>0.85598220676036185</v>
      </c>
      <c r="K11" s="18">
        <v>1</v>
      </c>
      <c r="L11" s="19" t="str">
        <f t="shared" si="1"/>
        <v/>
      </c>
      <c r="M11" s="19">
        <f t="shared" si="1"/>
        <v>10322.721538810778</v>
      </c>
      <c r="N11" s="20"/>
      <c r="P11" s="26" t="str">
        <f>IF(_xlfn.MINIFS($C:$C,$B:$B,P3,$C:$C,"&gt;"&amp;MAX(P4:P10),$F:$F,"&lt;&gt;"&amp;"")&gt;0,_xlfn.MINIFS($C:$C,$B:$B,P3,$C:$C,"&gt;"&amp;MAX(P4:P10),$F:$F,"&lt;&gt;"&amp;""),"")</f>
        <v/>
      </c>
      <c r="Q11" s="27" t="str">
        <f>IFERROR(VLOOKUP($P11,$C:$J,6,FALSE),"")</f>
        <v/>
      </c>
      <c r="R11" s="27" t="str">
        <f>IFERROR(VLOOKUP($P11,$C:$J,4,FALSE),"")</f>
        <v/>
      </c>
      <c r="S11" s="28" t="str">
        <f>IFERROR(VLOOKUP($P11,$C:$J,8,FALSE),"")</f>
        <v/>
      </c>
    </row>
    <row r="12" spans="1:19" x14ac:dyDescent="0.25">
      <c r="A12" s="10">
        <f t="shared" si="4"/>
        <v>10</v>
      </c>
      <c r="B12" s="11">
        <f t="shared" si="0"/>
        <v>2011</v>
      </c>
      <c r="C12" s="12">
        <v>40634</v>
      </c>
      <c r="D12" s="13">
        <v>0.60175999999999996</v>
      </c>
      <c r="E12" s="13"/>
      <c r="F12" s="14">
        <v>16156</v>
      </c>
      <c r="G12" s="15">
        <v>181.40899999999999</v>
      </c>
      <c r="H12" s="16">
        <v>18751.737496188212</v>
      </c>
      <c r="I12" s="16">
        <f t="shared" si="2"/>
        <v>2595.7374961882124</v>
      </c>
      <c r="J12" s="17">
        <f t="shared" si="3"/>
        <v>0.86157349436467612</v>
      </c>
      <c r="K12" s="18">
        <v>1</v>
      </c>
      <c r="L12" s="19" t="str">
        <f t="shared" si="1"/>
        <v/>
      </c>
      <c r="M12" s="19">
        <f t="shared" si="1"/>
        <v>10390.149698563286</v>
      </c>
      <c r="N12" s="20"/>
      <c r="P12" s="26" t="str">
        <f>IF(_xlfn.MINIFS($C:$C,$B:$B,P3,$C:$C,"&gt;"&amp;MAX(P4:P11),$F:$F,"&lt;&gt;"&amp;"")&gt;0,_xlfn.MINIFS($C:$C,$B:$B,P3,$C:$C,"&gt;"&amp;MAX(P4:P11),$F:$F,"&lt;&gt;"&amp;""),"")</f>
        <v/>
      </c>
      <c r="Q12" s="27" t="str">
        <f>IFERROR(VLOOKUP($P12,$C:$J,6,FALSE),"")</f>
        <v/>
      </c>
      <c r="R12" s="27" t="str">
        <f>IFERROR(VLOOKUP($P12,$C:$J,4,FALSE),"")</f>
        <v/>
      </c>
      <c r="S12" s="28" t="str">
        <f>IFERROR(VLOOKUP($P12,$C:$J,8,FALSE),"")</f>
        <v/>
      </c>
    </row>
    <row r="13" spans="1:19" x14ac:dyDescent="0.25">
      <c r="A13" s="10">
        <f t="shared" si="4"/>
        <v>11</v>
      </c>
      <c r="B13" s="11">
        <f t="shared" si="0"/>
        <v>2011</v>
      </c>
      <c r="C13" s="12">
        <v>40664</v>
      </c>
      <c r="D13" s="13">
        <v>0.60175999999999996</v>
      </c>
      <c r="E13" s="13"/>
      <c r="F13" s="14">
        <v>17516</v>
      </c>
      <c r="G13" s="15">
        <v>197.93100000000001</v>
      </c>
      <c r="H13" s="16">
        <v>20459.570111505105</v>
      </c>
      <c r="I13" s="16">
        <f t="shared" si="2"/>
        <v>2943.5701115051052</v>
      </c>
      <c r="J13" s="17">
        <f t="shared" si="3"/>
        <v>0.85612747015393853</v>
      </c>
      <c r="K13" s="18">
        <v>1</v>
      </c>
      <c r="L13" s="19" t="str">
        <f t="shared" si="1"/>
        <v/>
      </c>
      <c r="M13" s="19">
        <f t="shared" si="1"/>
        <v>10324.473343404183</v>
      </c>
      <c r="N13" s="20"/>
      <c r="P13" s="26" t="str">
        <f>IF(_xlfn.MINIFS($C:$C,$B:$B,P3,$C:$C,"&gt;"&amp;MAX(P4:P12),$F:$F,"&lt;&gt;"&amp;"")&gt;0,_xlfn.MINIFS($C:$C,$B:$B,P3,$C:$C,"&gt;"&amp;MAX(P4:P12),$F:$F,"&lt;&gt;"&amp;""),"")</f>
        <v/>
      </c>
      <c r="Q13" s="27" t="str">
        <f>IFERROR(VLOOKUP($P13,$C:$J,6,FALSE),"")</f>
        <v/>
      </c>
      <c r="R13" s="27" t="str">
        <f>IFERROR(VLOOKUP($P13,$C:$J,4,FALSE),"")</f>
        <v/>
      </c>
      <c r="S13" s="28" t="str">
        <f>IFERROR(VLOOKUP($P13,$C:$J,8,FALSE),"")</f>
        <v/>
      </c>
    </row>
    <row r="14" spans="1:19" x14ac:dyDescent="0.25">
      <c r="A14" s="10">
        <f t="shared" si="4"/>
        <v>12</v>
      </c>
      <c r="B14" s="11">
        <f t="shared" si="0"/>
        <v>2011</v>
      </c>
      <c r="C14" s="12">
        <v>40695</v>
      </c>
      <c r="D14" s="13">
        <v>0.60175999999999996</v>
      </c>
      <c r="E14" s="13"/>
      <c r="F14" s="14">
        <v>14550</v>
      </c>
      <c r="G14" s="15">
        <v>163.75299999999999</v>
      </c>
      <c r="H14" s="16">
        <v>16926.686494128233</v>
      </c>
      <c r="I14" s="16">
        <f t="shared" si="2"/>
        <v>2376.6864941282329</v>
      </c>
      <c r="J14" s="17">
        <f t="shared" si="3"/>
        <v>0.85958938301641663</v>
      </c>
      <c r="K14" s="18">
        <v>1</v>
      </c>
      <c r="L14" s="19" t="str">
        <f t="shared" si="1"/>
        <v/>
      </c>
      <c r="M14" s="19">
        <f t="shared" si="1"/>
        <v>10366.222298217439</v>
      </c>
      <c r="N14" s="20"/>
      <c r="P14" s="26" t="str">
        <f>IF(_xlfn.MINIFS($C:$C,$B:$B,P3,$C:$C,"&gt;"&amp;MAX(P4:P13),$F:$F,"&lt;&gt;"&amp;"")&gt;0,_xlfn.MINIFS($C:$C,$B:$B,P3,$C:$C,"&gt;"&amp;MAX(P4:P13),$F:$F,"&lt;&gt;"&amp;""),"")</f>
        <v/>
      </c>
      <c r="Q14" s="27" t="str">
        <f>IFERROR(VLOOKUP($P14,$C:$J,6,FALSE),"")</f>
        <v/>
      </c>
      <c r="R14" s="27" t="str">
        <f>IFERROR(VLOOKUP($P14,$C:$J,4,FALSE),"")</f>
        <v/>
      </c>
      <c r="S14" s="28" t="str">
        <f>IFERROR(VLOOKUP($P14,$C:$J,8,FALSE),"")</f>
        <v/>
      </c>
    </row>
    <row r="15" spans="1:19" x14ac:dyDescent="0.25">
      <c r="A15" s="10">
        <f t="shared" si="4"/>
        <v>13</v>
      </c>
      <c r="B15" s="11">
        <f t="shared" si="0"/>
        <v>2011</v>
      </c>
      <c r="C15" s="12">
        <v>40725</v>
      </c>
      <c r="D15" s="13">
        <v>0.60175999999999996</v>
      </c>
      <c r="E15" s="13"/>
      <c r="F15" s="14">
        <v>14814</v>
      </c>
      <c r="G15" s="15">
        <v>164.94499999999999</v>
      </c>
      <c r="H15" s="16">
        <v>17049.900177547777</v>
      </c>
      <c r="I15" s="16">
        <f t="shared" si="2"/>
        <v>2235.9001775477773</v>
      </c>
      <c r="J15" s="17">
        <f t="shared" si="3"/>
        <v>0.86886139189881417</v>
      </c>
      <c r="K15" s="18">
        <v>1</v>
      </c>
      <c r="L15" s="19" t="str">
        <f t="shared" si="1"/>
        <v/>
      </c>
      <c r="M15" s="19">
        <f t="shared" si="1"/>
        <v>10478.03813392343</v>
      </c>
      <c r="N15" s="20"/>
      <c r="P15" s="29" t="str">
        <f>IF(_xlfn.MINIFS($C:$C,$B:$B,P3,$C:$C,"&gt;"&amp;MAX(P4:P14),$F:$F,"&lt;&gt;"&amp;"")&gt;0,_xlfn.MINIFS($C:$C,$B:$B,P3,$C:$C,"&gt;"&amp;MAX(P4:P14),$F:$F,"&lt;&gt;"&amp;""),"")</f>
        <v/>
      </c>
      <c r="Q15" s="30" t="str">
        <f>IFERROR(VLOOKUP($P15,$C:$J,6,FALSE),"")</f>
        <v/>
      </c>
      <c r="R15" s="30" t="str">
        <f>IFERROR(VLOOKUP($P15,$C:$J,4,FALSE),"")</f>
        <v/>
      </c>
      <c r="S15" s="31" t="str">
        <f>IFERROR(VLOOKUP($P15,$C:$J,8,FALSE),"")</f>
        <v/>
      </c>
    </row>
    <row r="16" spans="1:19" x14ac:dyDescent="0.25">
      <c r="A16" s="10">
        <f t="shared" si="4"/>
        <v>14</v>
      </c>
      <c r="B16" s="11">
        <f t="shared" si="0"/>
        <v>2011</v>
      </c>
      <c r="C16" s="12">
        <v>40756</v>
      </c>
      <c r="D16" s="13">
        <v>0.62199000000000004</v>
      </c>
      <c r="E16" s="13"/>
      <c r="F16" s="14">
        <v>15317</v>
      </c>
      <c r="G16" s="15">
        <v>176.755</v>
      </c>
      <c r="H16" s="16">
        <v>18270.666621494787</v>
      </c>
      <c r="I16" s="16">
        <f t="shared" si="2"/>
        <v>2953.6666214947873</v>
      </c>
      <c r="J16" s="17">
        <f t="shared" si="3"/>
        <v>0.83833832214857973</v>
      </c>
      <c r="K16" s="18">
        <v>1</v>
      </c>
      <c r="L16" s="19" t="str">
        <f t="shared" si="1"/>
        <v/>
      </c>
      <c r="M16" s="19">
        <f t="shared" si="1"/>
        <v>10109.945027486257</v>
      </c>
      <c r="N16" s="20"/>
      <c r="P16" s="32" t="str">
        <f>"TOTAL "&amp;$P3</f>
        <v>TOTAL 2010</v>
      </c>
      <c r="Q16" s="33">
        <f>SUM(Q4:Q15)</f>
        <v>0</v>
      </c>
      <c r="R16" s="33">
        <f>SUM(R4:R15)</f>
        <v>13794</v>
      </c>
      <c r="S16" s="34" t="str">
        <f>IFERROR(R16/Q16,"")</f>
        <v/>
      </c>
    </row>
    <row r="17" spans="1:20" x14ac:dyDescent="0.25">
      <c r="A17" s="10">
        <f t="shared" si="4"/>
        <v>15</v>
      </c>
      <c r="B17" s="11">
        <f t="shared" si="0"/>
        <v>2011</v>
      </c>
      <c r="C17" s="12">
        <v>40787</v>
      </c>
      <c r="D17" s="13">
        <v>0.62199000000000004</v>
      </c>
      <c r="E17" s="13"/>
      <c r="F17" s="14">
        <v>11876</v>
      </c>
      <c r="G17" s="15">
        <v>134.22399999999999</v>
      </c>
      <c r="H17" s="16">
        <v>13874.356915524404</v>
      </c>
      <c r="I17" s="16">
        <f t="shared" si="2"/>
        <v>1998.356915524404</v>
      </c>
      <c r="J17" s="17">
        <f t="shared" si="3"/>
        <v>0.85596760068292699</v>
      </c>
      <c r="K17" s="18">
        <v>1</v>
      </c>
      <c r="L17" s="19" t="str">
        <f t="shared" si="1"/>
        <v/>
      </c>
      <c r="M17" s="19">
        <f t="shared" si="1"/>
        <v>10322.545396749712</v>
      </c>
      <c r="N17" s="20"/>
    </row>
    <row r="18" spans="1:20" x14ac:dyDescent="0.25">
      <c r="A18" s="10">
        <f t="shared" si="4"/>
        <v>16</v>
      </c>
      <c r="B18" s="11">
        <f t="shared" si="0"/>
        <v>2011</v>
      </c>
      <c r="C18" s="12">
        <v>40817</v>
      </c>
      <c r="D18" s="13">
        <v>0.62199000000000004</v>
      </c>
      <c r="E18" s="13"/>
      <c r="F18" s="14">
        <v>7971</v>
      </c>
      <c r="G18" s="15">
        <v>90.561999999999998</v>
      </c>
      <c r="H18" s="16">
        <v>9361.138924363162</v>
      </c>
      <c r="I18" s="16">
        <f t="shared" si="2"/>
        <v>1390.138924363162</v>
      </c>
      <c r="J18" s="17">
        <f t="shared" si="3"/>
        <v>0.85149895374961193</v>
      </c>
      <c r="K18" s="18">
        <v>1</v>
      </c>
      <c r="L18" s="19" t="str">
        <f t="shared" si="1"/>
        <v/>
      </c>
      <c r="M18" s="19">
        <f t="shared" si="1"/>
        <v>10268.655727567855</v>
      </c>
      <c r="N18" s="20"/>
      <c r="P18" s="21">
        <f>_xlfn.MINIFS($B:$B,$B:$B,"&gt;"&amp;MAX($P$3))</f>
        <v>2011</v>
      </c>
      <c r="Q18" s="22" t="s">
        <v>13</v>
      </c>
      <c r="R18" s="22" t="s">
        <v>14</v>
      </c>
      <c r="S18" s="22" t="s">
        <v>15</v>
      </c>
    </row>
    <row r="19" spans="1:20" x14ac:dyDescent="0.25">
      <c r="A19" s="10">
        <f t="shared" si="4"/>
        <v>17</v>
      </c>
      <c r="B19" s="11">
        <f t="shared" si="0"/>
        <v>2011</v>
      </c>
      <c r="C19" s="12">
        <v>40848</v>
      </c>
      <c r="D19" s="13">
        <v>0.62199000000000004</v>
      </c>
      <c r="E19" s="13"/>
      <c r="F19" s="14">
        <v>4437</v>
      </c>
      <c r="G19" s="15">
        <v>54.481000000000002</v>
      </c>
      <c r="H19" s="16">
        <v>5631.547555688142</v>
      </c>
      <c r="I19" s="16">
        <f t="shared" si="2"/>
        <v>1194.547555688142</v>
      </c>
      <c r="J19" s="17">
        <f t="shared" si="3"/>
        <v>0.78788289650833365</v>
      </c>
      <c r="K19" s="18">
        <v>1</v>
      </c>
      <c r="L19" s="19" t="str">
        <f t="shared" si="1"/>
        <v/>
      </c>
      <c r="M19" s="19">
        <f t="shared" si="1"/>
        <v>9501.4775793395875</v>
      </c>
      <c r="N19" s="20"/>
      <c r="P19" s="23">
        <f>_xlfn.MINIFS(C:C,B:B,P18,F:F,"&gt;"&amp;0)</f>
        <v>40544</v>
      </c>
      <c r="Q19" s="24">
        <f>IFERROR(VLOOKUP($P19,$C:$J,6,FALSE),"")</f>
        <v>5427.0872655842313</v>
      </c>
      <c r="R19" s="24">
        <f>IFERROR(VLOOKUP($P19,$C:$J,4,FALSE),"")</f>
        <v>4062</v>
      </c>
      <c r="S19" s="25">
        <f>IFERROR(VLOOKUP($P19,$C:$J,8,FALSE),"")</f>
        <v>0.74846778782406809</v>
      </c>
    </row>
    <row r="20" spans="1:20" x14ac:dyDescent="0.25">
      <c r="A20" s="10">
        <f t="shared" si="4"/>
        <v>18</v>
      </c>
      <c r="B20" s="11">
        <f t="shared" si="0"/>
        <v>2011</v>
      </c>
      <c r="C20" s="12">
        <v>40878</v>
      </c>
      <c r="D20" s="13">
        <v>0.62199000000000004</v>
      </c>
      <c r="E20" s="13"/>
      <c r="F20" s="14">
        <v>3021</v>
      </c>
      <c r="G20" s="15">
        <v>42.063000000000002</v>
      </c>
      <c r="H20" s="16">
        <v>4347.933863822439</v>
      </c>
      <c r="I20" s="16">
        <f t="shared" si="2"/>
        <v>1326.933863822439</v>
      </c>
      <c r="J20" s="17">
        <f t="shared" si="3"/>
        <v>0.69481277650900619</v>
      </c>
      <c r="K20" s="18">
        <v>1</v>
      </c>
      <c r="L20" s="19" t="str">
        <f t="shared" si="1"/>
        <v/>
      </c>
      <c r="M20" s="19">
        <f t="shared" si="1"/>
        <v>8379.0980196372111</v>
      </c>
      <c r="N20" s="20"/>
      <c r="P20" s="26">
        <f>IF(_xlfn.MINIFS($C:$C,$B:$B,P18,$C:$C,"&gt;"&amp;MAX(P19:P19),$F:$F,"&lt;&gt;"&amp;"")&gt;0,_xlfn.MINIFS($C:$C,$B:$B,P18,$C:$C,"&gt;"&amp;MAX(P19:P19),$F:$F,"&lt;&gt;"&amp;""),"")</f>
        <v>40575</v>
      </c>
      <c r="Q20" s="27">
        <f>IFERROR(VLOOKUP($P20,$C:$J,6,FALSE),"")</f>
        <v>7225.4695341523975</v>
      </c>
      <c r="R20" s="27">
        <f>IFERROR(VLOOKUP($P20,$C:$J,4,FALSE),"")</f>
        <v>5898</v>
      </c>
      <c r="S20" s="28">
        <f>IFERROR(VLOOKUP($P20,$C:$J,8,FALSE),"")</f>
        <v>0.81627913205115743</v>
      </c>
    </row>
    <row r="21" spans="1:20" hidden="1" x14ac:dyDescent="0.25">
      <c r="A21" s="10">
        <f t="shared" si="4"/>
        <v>19</v>
      </c>
      <c r="B21" s="11">
        <f t="shared" si="0"/>
        <v>2012</v>
      </c>
      <c r="C21" s="12">
        <v>40909</v>
      </c>
      <c r="D21" s="13">
        <v>0.62199000000000004</v>
      </c>
      <c r="E21" s="13"/>
      <c r="F21" s="14">
        <v>3679</v>
      </c>
      <c r="G21" s="15">
        <v>46.451999999999998</v>
      </c>
      <c r="H21" s="16">
        <v>4801.6124347355144</v>
      </c>
      <c r="I21" s="16">
        <f t="shared" si="2"/>
        <v>1122.6124347355144</v>
      </c>
      <c r="J21" s="17">
        <f t="shared" si="3"/>
        <v>0.76620094812018058</v>
      </c>
      <c r="K21" s="18">
        <v>1</v>
      </c>
      <c r="L21" s="19" t="str">
        <f t="shared" si="1"/>
        <v/>
      </c>
      <c r="M21" s="19">
        <f t="shared" si="1"/>
        <v>9240.0040184850313</v>
      </c>
      <c r="N21" s="20"/>
      <c r="P21" s="26">
        <f>IF(_xlfn.MINIFS($C:$C,$B:$B,P18,$C:$C,"&gt;"&amp;MAX(P19:P20),$F:$F,"&lt;&gt;"&amp;"")&gt;0,_xlfn.MINIFS($C:$C,$B:$B,P18,$C:$C,"&gt;"&amp;MAX(P19:P20),$F:$F,"&lt;&gt;"&amp;""),"")</f>
        <v>40603</v>
      </c>
      <c r="Q21" s="27">
        <f>IFERROR(VLOOKUP($P21,$C:$J,6,FALSE),"")</f>
        <v>11990.903454461031</v>
      </c>
      <c r="R21" s="27">
        <f>IFERROR(VLOOKUP($P21,$C:$J,4,FALSE),"")</f>
        <v>10264</v>
      </c>
      <c r="S21" s="28">
        <f>IFERROR(VLOOKUP($P21,$C:$J,8,FALSE),"")</f>
        <v>0.85598220676036185</v>
      </c>
    </row>
    <row r="22" spans="1:20" hidden="1" x14ac:dyDescent="0.25">
      <c r="A22" s="10">
        <f t="shared" si="4"/>
        <v>20</v>
      </c>
      <c r="B22" s="11">
        <f t="shared" si="0"/>
        <v>2012</v>
      </c>
      <c r="C22" s="12">
        <v>40940</v>
      </c>
      <c r="D22" s="13">
        <v>0.62199000000000004</v>
      </c>
      <c r="E22" s="13"/>
      <c r="F22" s="14">
        <v>7067</v>
      </c>
      <c r="G22" s="15">
        <v>78.998000000000005</v>
      </c>
      <c r="H22" s="16">
        <v>8165.8008076990482</v>
      </c>
      <c r="I22" s="16">
        <f t="shared" si="2"/>
        <v>1098.8008076990482</v>
      </c>
      <c r="J22" s="17">
        <f t="shared" si="3"/>
        <v>0.86543869565578257</v>
      </c>
      <c r="K22" s="18">
        <v>1</v>
      </c>
      <c r="L22" s="19" t="str">
        <f t="shared" si="1"/>
        <v/>
      </c>
      <c r="M22" s="19">
        <f t="shared" si="1"/>
        <v>10436.762112120983</v>
      </c>
      <c r="N22" s="20"/>
      <c r="P22" s="26">
        <f>IF(_xlfn.MINIFS($C:$C,$B:$B,P18,$C:$C,"&gt;"&amp;MAX(P19:P21),$F:$F,"&lt;&gt;"&amp;"")&gt;0,_xlfn.MINIFS($C:$C,$B:$B,P18,$C:$C,"&gt;"&amp;MAX(P19:P21),$F:$F,"&lt;&gt;"&amp;""),"")</f>
        <v>40634</v>
      </c>
      <c r="Q22" s="27">
        <f>IFERROR(VLOOKUP($P22,$C:$J,6,FALSE),"")</f>
        <v>18751.737496188212</v>
      </c>
      <c r="R22" s="27">
        <f>IFERROR(VLOOKUP($P22,$C:$J,4,FALSE),"")</f>
        <v>16156</v>
      </c>
      <c r="S22" s="28">
        <f>IFERROR(VLOOKUP($P22,$C:$J,8,FALSE),"")</f>
        <v>0.86157349436467612</v>
      </c>
    </row>
    <row r="23" spans="1:20" hidden="1" x14ac:dyDescent="0.25">
      <c r="A23" s="10">
        <f t="shared" si="4"/>
        <v>21</v>
      </c>
      <c r="B23" s="11">
        <f t="shared" si="0"/>
        <v>2012</v>
      </c>
      <c r="C23" s="12">
        <v>40969</v>
      </c>
      <c r="D23" s="13">
        <v>0.62199000000000004</v>
      </c>
      <c r="E23" s="13"/>
      <c r="F23" s="14">
        <v>13198</v>
      </c>
      <c r="G23" s="15">
        <v>147.72</v>
      </c>
      <c r="H23" s="16">
        <v>15269.400431824899</v>
      </c>
      <c r="I23" s="16">
        <f t="shared" si="2"/>
        <v>2071.400431824899</v>
      </c>
      <c r="J23" s="17">
        <f t="shared" si="3"/>
        <v>0.86434304077142221</v>
      </c>
      <c r="K23" s="18">
        <v>1</v>
      </c>
      <c r="L23" s="19" t="str">
        <f t="shared" si="1"/>
        <v/>
      </c>
      <c r="M23" s="19">
        <f t="shared" si="1"/>
        <v>10423.549056774076</v>
      </c>
      <c r="N23" s="20"/>
      <c r="P23" s="26">
        <f>IF(_xlfn.MINIFS($C:$C,$B:$B,P18,$C:$C,"&gt;"&amp;MAX(P19:P22),$F:$F,"&lt;&gt;"&amp;"")&gt;0,_xlfn.MINIFS($C:$C,$B:$B,P18,$C:$C,"&gt;"&amp;MAX(P19:P22),$F:$F,"&lt;&gt;"&amp;""),"")</f>
        <v>40664</v>
      </c>
      <c r="Q23" s="27">
        <f>IFERROR(VLOOKUP($P23,$C:$J,6,FALSE),"")</f>
        <v>20459.570111505105</v>
      </c>
      <c r="R23" s="27">
        <f>IFERROR(VLOOKUP($P23,$C:$J,4,FALSE),"")</f>
        <v>17516</v>
      </c>
      <c r="S23" s="28">
        <f>IFERROR(VLOOKUP($P23,$C:$J,8,FALSE),"")</f>
        <v>0.85612747015393853</v>
      </c>
    </row>
    <row r="24" spans="1:20" hidden="1" x14ac:dyDescent="0.25">
      <c r="A24" s="10">
        <f t="shared" si="4"/>
        <v>22</v>
      </c>
      <c r="B24" s="11">
        <f t="shared" si="0"/>
        <v>2012</v>
      </c>
      <c r="C24" s="12">
        <v>41000</v>
      </c>
      <c r="D24" s="13">
        <v>0.62199000000000004</v>
      </c>
      <c r="E24" s="13"/>
      <c r="F24" s="14">
        <v>10149</v>
      </c>
      <c r="G24" s="15">
        <v>115.40900000000001</v>
      </c>
      <c r="H24" s="16">
        <v>11929.503347119413</v>
      </c>
      <c r="I24" s="16">
        <f t="shared" si="2"/>
        <v>1780.5033471194129</v>
      </c>
      <c r="J24" s="17">
        <f t="shared" si="3"/>
        <v>0.85074790665536415</v>
      </c>
      <c r="K24" s="18">
        <v>1</v>
      </c>
      <c r="L24" s="19" t="str">
        <f t="shared" si="1"/>
        <v/>
      </c>
      <c r="M24" s="19">
        <f t="shared" si="1"/>
        <v>10259.598471523017</v>
      </c>
      <c r="N24" s="20"/>
      <c r="P24" s="26">
        <f>IF(_xlfn.MINIFS($C:$C,$B:$B,P18,$C:$C,"&gt;"&amp;MAX(P19:P23),$F:$F,"&lt;&gt;"&amp;"")&gt;0,_xlfn.MINIFS($C:$C,$B:$B,P18,$C:$C,"&gt;"&amp;MAX(P19:P23),$F:$F,"&lt;&gt;"&amp;""),"")</f>
        <v>40695</v>
      </c>
      <c r="Q24" s="27">
        <f>IFERROR(VLOOKUP($P24,$C:$J,6,FALSE),"")</f>
        <v>16926.686494128233</v>
      </c>
      <c r="R24" s="27">
        <f>IFERROR(VLOOKUP($P24,$C:$J,4,FALSE),"")</f>
        <v>14550</v>
      </c>
      <c r="S24" s="28">
        <f>IFERROR(VLOOKUP($P24,$C:$J,8,FALSE),"")</f>
        <v>0.85958938301641663</v>
      </c>
    </row>
    <row r="25" spans="1:20" hidden="1" x14ac:dyDescent="0.25">
      <c r="A25" s="10">
        <f t="shared" si="4"/>
        <v>23</v>
      </c>
      <c r="B25" s="11">
        <f t="shared" si="0"/>
        <v>2012</v>
      </c>
      <c r="C25" s="12">
        <v>41030</v>
      </c>
      <c r="D25" s="13">
        <v>0.62199000000000004</v>
      </c>
      <c r="E25" s="13"/>
      <c r="F25" s="14">
        <v>15077</v>
      </c>
      <c r="G25" s="15">
        <v>174.21</v>
      </c>
      <c r="H25" s="16">
        <v>18007.597138019333</v>
      </c>
      <c r="I25" s="16">
        <f t="shared" si="2"/>
        <v>2930.5971380193332</v>
      </c>
      <c r="J25" s="17">
        <f t="shared" si="3"/>
        <v>0.83725773541257309</v>
      </c>
      <c r="K25" s="18">
        <v>1</v>
      </c>
      <c r="L25" s="19" t="str">
        <f t="shared" si="1"/>
        <v/>
      </c>
      <c r="M25" s="19">
        <f t="shared" si="1"/>
        <v>10096.913686546888</v>
      </c>
      <c r="N25" s="20"/>
      <c r="P25" s="26">
        <f>IF(_xlfn.MINIFS($C:$C,$B:$B,P18,$C:$C,"&gt;"&amp;MAX(P19:P24),$F:$F,"&lt;&gt;"&amp;"")&gt;0,_xlfn.MINIFS($C:$C,$B:$B,P18,$C:$C,"&gt;"&amp;MAX(P19:P24),$F:$F,"&lt;&gt;"&amp;""),"")</f>
        <v>40725</v>
      </c>
      <c r="Q25" s="27">
        <f>IFERROR(VLOOKUP($P25,$C:$J,6,FALSE),"")</f>
        <v>17049.900177547777</v>
      </c>
      <c r="R25" s="27">
        <f>IFERROR(VLOOKUP($P25,$C:$J,4,FALSE),"")</f>
        <v>14814</v>
      </c>
      <c r="S25" s="28">
        <f>IFERROR(VLOOKUP($P25,$C:$J,8,FALSE),"")</f>
        <v>0.86886139189881417</v>
      </c>
    </row>
    <row r="26" spans="1:20" hidden="1" x14ac:dyDescent="0.25">
      <c r="A26" s="10">
        <f t="shared" si="4"/>
        <v>24</v>
      </c>
      <c r="B26" s="11">
        <f t="shared" si="0"/>
        <v>2012</v>
      </c>
      <c r="C26" s="12">
        <v>41061</v>
      </c>
      <c r="D26" s="13">
        <v>0.62199000000000004</v>
      </c>
      <c r="E26" s="13"/>
      <c r="F26" s="14">
        <v>16076</v>
      </c>
      <c r="G26" s="15">
        <v>184.95400000000001</v>
      </c>
      <c r="H26" s="16">
        <v>19118.17416374047</v>
      </c>
      <c r="I26" s="16">
        <f t="shared" si="2"/>
        <v>3042.1741637404702</v>
      </c>
      <c r="J26" s="17">
        <f t="shared" si="3"/>
        <v>0.84087527722651167</v>
      </c>
      <c r="K26" s="18">
        <v>1</v>
      </c>
      <c r="L26" s="19" t="str">
        <f t="shared" si="1"/>
        <v/>
      </c>
      <c r="M26" s="19">
        <f t="shared" si="1"/>
        <v>10140.539449448692</v>
      </c>
      <c r="N26" s="20"/>
      <c r="P26" s="26">
        <f>IF(_xlfn.MINIFS($C:$C,$B:$B,P18,$C:$C,"&gt;"&amp;MAX(P19:P25),$F:$F,"&lt;&gt;"&amp;"")&gt;0,_xlfn.MINIFS($C:$C,$B:$B,P18,$C:$C,"&gt;"&amp;MAX(P19:P25),$F:$F,"&lt;&gt;"&amp;""),"")</f>
        <v>40756</v>
      </c>
      <c r="Q26" s="27">
        <f>IFERROR(VLOOKUP($P26,$C:$J,6,FALSE),"")</f>
        <v>18270.666621494787</v>
      </c>
      <c r="R26" s="27">
        <f>IFERROR(VLOOKUP($P26,$C:$J,4,FALSE),"")</f>
        <v>15317</v>
      </c>
      <c r="S26" s="28">
        <f>IFERROR(VLOOKUP($P26,$C:$J,8,FALSE),"")</f>
        <v>0.83833832214857973</v>
      </c>
    </row>
    <row r="27" spans="1:20" hidden="1" x14ac:dyDescent="0.25">
      <c r="A27" s="10">
        <f t="shared" si="4"/>
        <v>25</v>
      </c>
      <c r="B27" s="11">
        <f t="shared" si="0"/>
        <v>2012</v>
      </c>
      <c r="C27" s="12">
        <v>41091</v>
      </c>
      <c r="D27" s="13">
        <v>0.62199000000000004</v>
      </c>
      <c r="E27" s="13"/>
      <c r="F27" s="14">
        <v>16583</v>
      </c>
      <c r="G27" s="15">
        <v>194.542</v>
      </c>
      <c r="H27" s="16">
        <v>20109.258724668827</v>
      </c>
      <c r="I27" s="16">
        <f t="shared" si="2"/>
        <v>3526.2587246688272</v>
      </c>
      <c r="J27" s="17">
        <f t="shared" si="3"/>
        <v>0.82464501685768132</v>
      </c>
      <c r="K27" s="18">
        <v>1</v>
      </c>
      <c r="L27" s="19" t="str">
        <f t="shared" si="1"/>
        <v/>
      </c>
      <c r="M27" s="19">
        <f t="shared" si="1"/>
        <v>9944.8105464801101</v>
      </c>
      <c r="N27" s="20"/>
      <c r="P27" s="26">
        <f>IF(_xlfn.MINIFS($C:$C,$B:$B,P18,$C:$C,"&gt;"&amp;MAX(P19:P26),$F:$F,"&lt;&gt;"&amp;"")&gt;0,_xlfn.MINIFS($C:$C,$B:$B,P18,$C:$C,"&gt;"&amp;MAX(P19:P26),$F:$F,"&lt;&gt;"&amp;""),"")</f>
        <v>40787</v>
      </c>
      <c r="Q27" s="27">
        <f>IFERROR(VLOOKUP($P27,$C:$J,6,FALSE),"")</f>
        <v>13874.356915524404</v>
      </c>
      <c r="R27" s="27">
        <f>IFERROR(VLOOKUP($P27,$C:$J,4,FALSE),"")</f>
        <v>11876</v>
      </c>
      <c r="S27" s="28">
        <f>IFERROR(VLOOKUP($P27,$C:$J,8,FALSE),"")</f>
        <v>0.85596760068292699</v>
      </c>
    </row>
    <row r="28" spans="1:20" hidden="1" x14ac:dyDescent="0.25">
      <c r="A28" s="10">
        <f t="shared" si="4"/>
        <v>26</v>
      </c>
      <c r="B28" s="11">
        <f t="shared" si="0"/>
        <v>2012</v>
      </c>
      <c r="C28" s="12">
        <v>41122</v>
      </c>
      <c r="D28" s="13">
        <v>0.63634000000000002</v>
      </c>
      <c r="E28" s="13"/>
      <c r="F28" s="14">
        <v>15255</v>
      </c>
      <c r="G28" s="15">
        <v>180.08500000000001</v>
      </c>
      <c r="H28" s="16">
        <v>18614.87934447053</v>
      </c>
      <c r="I28" s="16">
        <f t="shared" si="2"/>
        <v>3359.8793444705298</v>
      </c>
      <c r="J28" s="17">
        <f t="shared" si="3"/>
        <v>0.81950571463314015</v>
      </c>
      <c r="K28" s="18">
        <v>1</v>
      </c>
      <c r="L28" s="19" t="str">
        <f t="shared" si="1"/>
        <v/>
      </c>
      <c r="M28" s="19">
        <f t="shared" si="1"/>
        <v>9882.8331065885541</v>
      </c>
      <c r="N28" s="20"/>
      <c r="P28" s="26">
        <f>IF(_xlfn.MINIFS($C:$C,$B:$B,P18,$C:$C,"&gt;"&amp;MAX(P19:P27),$F:$F,"&lt;&gt;"&amp;"")&gt;0,_xlfn.MINIFS($C:$C,$B:$B,P18,$C:$C,"&gt;"&amp;MAX(P19:P27),$F:$F,"&lt;&gt;"&amp;""),"")</f>
        <v>40817</v>
      </c>
      <c r="Q28" s="27">
        <f>IFERROR(VLOOKUP($P28,$C:$J,6,FALSE),"")</f>
        <v>9361.138924363162</v>
      </c>
      <c r="R28" s="27">
        <f>IFERROR(VLOOKUP($P28,$C:$J,4,FALSE),"")</f>
        <v>7971</v>
      </c>
      <c r="S28" s="28">
        <f>IFERROR(VLOOKUP($P28,$C:$J,8,FALSE),"")</f>
        <v>0.85149895374961193</v>
      </c>
    </row>
    <row r="29" spans="1:20" hidden="1" x14ac:dyDescent="0.25">
      <c r="A29" s="10">
        <f t="shared" si="4"/>
        <v>27</v>
      </c>
      <c r="B29" s="11">
        <f t="shared" si="0"/>
        <v>2012</v>
      </c>
      <c r="C29" s="12">
        <v>41153</v>
      </c>
      <c r="D29" s="13">
        <v>0.63634000000000002</v>
      </c>
      <c r="E29" s="13"/>
      <c r="F29" s="14">
        <v>9002</v>
      </c>
      <c r="G29" s="15">
        <v>112.679</v>
      </c>
      <c r="H29" s="16">
        <v>11647.310934589748</v>
      </c>
      <c r="I29" s="16">
        <f t="shared" si="2"/>
        <v>2645.3109345897483</v>
      </c>
      <c r="J29" s="17">
        <f t="shared" si="3"/>
        <v>0.77288226016755479</v>
      </c>
      <c r="K29" s="18">
        <v>1</v>
      </c>
      <c r="L29" s="19" t="str">
        <f t="shared" si="1"/>
        <v/>
      </c>
      <c r="M29" s="19">
        <f t="shared" si="1"/>
        <v>9320.5773332505014</v>
      </c>
      <c r="N29" s="20"/>
      <c r="P29" s="26">
        <f>IF(_xlfn.MINIFS($C:$C,$B:$B,P18,$C:$C,"&gt;"&amp;MAX(P19:P28),$F:$F,"&lt;&gt;"&amp;"")&gt;0,_xlfn.MINIFS($C:$C,$B:$B,P18,$C:$C,"&gt;"&amp;MAX(P19:P28),$F:$F,"&lt;&gt;"&amp;""),"")</f>
        <v>40848</v>
      </c>
      <c r="Q29" s="27">
        <f>IFERROR(VLOOKUP($P29,$C:$J,6,FALSE),"")</f>
        <v>5631.547555688142</v>
      </c>
      <c r="R29" s="27">
        <f>IFERROR(VLOOKUP($P29,$C:$J,4,FALSE),"")</f>
        <v>4437</v>
      </c>
      <c r="S29" s="28">
        <f>IFERROR(VLOOKUP($P29,$C:$J,8,FALSE),"")</f>
        <v>0.78788289650833365</v>
      </c>
      <c r="T29" s="35"/>
    </row>
    <row r="30" spans="1:20" hidden="1" x14ac:dyDescent="0.25">
      <c r="A30" s="10">
        <f t="shared" si="4"/>
        <v>28</v>
      </c>
      <c r="B30" s="11">
        <f t="shared" si="0"/>
        <v>2012</v>
      </c>
      <c r="C30" s="12">
        <v>41183</v>
      </c>
      <c r="D30" s="13">
        <v>0.63634000000000002</v>
      </c>
      <c r="E30" s="13"/>
      <c r="F30" s="14">
        <v>7138</v>
      </c>
      <c r="G30" s="15">
        <v>76.756</v>
      </c>
      <c r="H30" s="16">
        <v>7934.0515809988619</v>
      </c>
      <c r="I30" s="16">
        <f t="shared" si="2"/>
        <v>796.05158099886194</v>
      </c>
      <c r="J30" s="17">
        <f t="shared" si="3"/>
        <v>0.89966644747995916</v>
      </c>
      <c r="K30" s="18">
        <v>1</v>
      </c>
      <c r="L30" s="19" t="str">
        <f t="shared" si="1"/>
        <v/>
      </c>
      <c r="M30" s="19">
        <f t="shared" si="1"/>
        <v>10849.531849844529</v>
      </c>
      <c r="N30" s="20"/>
      <c r="P30" s="29">
        <f>IF(_xlfn.MINIFS($C:$C,$B:$B,P18,$C:$C,"&gt;"&amp;MAX(P19:P29),$F:$F,"&lt;&gt;"&amp;"")&gt;0,_xlfn.MINIFS($C:$C,$B:$B,P18,$C:$C,"&gt;"&amp;MAX(P19:P29),$F:$F,"&lt;&gt;"&amp;""),"")</f>
        <v>40878</v>
      </c>
      <c r="Q30" s="30">
        <f>IFERROR(VLOOKUP($P30,$C:$J,6,FALSE),"")</f>
        <v>4347.933863822439</v>
      </c>
      <c r="R30" s="30">
        <f>IFERROR(VLOOKUP($P30,$C:$J,4,FALSE),"")</f>
        <v>3021</v>
      </c>
      <c r="S30" s="31">
        <f>IFERROR(VLOOKUP($P30,$C:$J,8,FALSE),"")</f>
        <v>0.69481277650900619</v>
      </c>
      <c r="T30" s="35"/>
    </row>
    <row r="31" spans="1:20" hidden="1" x14ac:dyDescent="0.25">
      <c r="A31" s="10">
        <f t="shared" si="4"/>
        <v>29</v>
      </c>
      <c r="B31" s="11">
        <f t="shared" si="0"/>
        <v>2012</v>
      </c>
      <c r="C31" s="12">
        <v>41214</v>
      </c>
      <c r="D31" s="13">
        <v>0.63634000000000002</v>
      </c>
      <c r="E31" s="13"/>
      <c r="F31" s="14">
        <v>4074</v>
      </c>
      <c r="G31" s="15">
        <v>48.622999999999998</v>
      </c>
      <c r="H31" s="16">
        <v>5026.0225913662471</v>
      </c>
      <c r="I31" s="16">
        <f t="shared" si="2"/>
        <v>952.02259136624707</v>
      </c>
      <c r="J31" s="17">
        <f t="shared" si="3"/>
        <v>0.81058131473550454</v>
      </c>
      <c r="K31" s="18">
        <v>1</v>
      </c>
      <c r="L31" s="19" t="str">
        <f t="shared" si="1"/>
        <v/>
      </c>
      <c r="M31" s="19">
        <f t="shared" si="1"/>
        <v>9775.2092631059386</v>
      </c>
      <c r="N31" s="20"/>
      <c r="P31" s="32" t="str">
        <f>"TOTAL "&amp;$P18</f>
        <v>TOTAL 2011</v>
      </c>
      <c r="Q31" s="33">
        <f>SUM(Q19:Q30)</f>
        <v>149316.9984144599</v>
      </c>
      <c r="R31" s="33">
        <f>SUM(R19:R30)</f>
        <v>125882</v>
      </c>
      <c r="S31" s="34">
        <f>IFERROR(R31/Q31,"")</f>
        <v>0.84305203919642646</v>
      </c>
    </row>
    <row r="32" spans="1:20" hidden="1" x14ac:dyDescent="0.25">
      <c r="A32" s="10">
        <f t="shared" si="4"/>
        <v>30</v>
      </c>
      <c r="B32" s="11">
        <f t="shared" si="0"/>
        <v>2012</v>
      </c>
      <c r="C32" s="12">
        <v>41244</v>
      </c>
      <c r="D32" s="13">
        <v>0.63634000000000002</v>
      </c>
      <c r="E32" s="13"/>
      <c r="F32" s="14">
        <v>3657</v>
      </c>
      <c r="G32" s="15">
        <v>44.125</v>
      </c>
      <c r="H32" s="16">
        <v>4561.0769973888009</v>
      </c>
      <c r="I32" s="16">
        <f t="shared" si="2"/>
        <v>904.07699738880092</v>
      </c>
      <c r="J32" s="17">
        <f t="shared" si="3"/>
        <v>0.80178431587399612</v>
      </c>
      <c r="K32" s="18">
        <v>1</v>
      </c>
      <c r="L32" s="19" t="str">
        <f t="shared" si="1"/>
        <v/>
      </c>
      <c r="M32" s="19">
        <f t="shared" si="1"/>
        <v>9669.1218130311609</v>
      </c>
      <c r="N32" s="20"/>
      <c r="Q32" s="36"/>
      <c r="T32" s="35"/>
    </row>
    <row r="33" spans="1:20" hidden="1" x14ac:dyDescent="0.25">
      <c r="A33" s="10">
        <f t="shared" si="4"/>
        <v>31</v>
      </c>
      <c r="B33" s="11">
        <f t="shared" si="0"/>
        <v>2013</v>
      </c>
      <c r="C33" s="12">
        <v>41275</v>
      </c>
      <c r="D33" s="13">
        <v>0.63634000000000002</v>
      </c>
      <c r="E33" s="13"/>
      <c r="F33" s="14">
        <v>3000</v>
      </c>
      <c r="G33" s="15">
        <v>43.59</v>
      </c>
      <c r="H33" s="16">
        <v>4505.7755539077134</v>
      </c>
      <c r="I33" s="16">
        <f t="shared" si="2"/>
        <v>1505.7755539077134</v>
      </c>
      <c r="J33" s="17">
        <f t="shared" si="3"/>
        <v>0.66581212581665261</v>
      </c>
      <c r="K33" s="18">
        <v>1</v>
      </c>
      <c r="L33" s="19" t="str">
        <f t="shared" si="1"/>
        <v/>
      </c>
      <c r="M33" s="19">
        <f t="shared" si="1"/>
        <v>8029.3645331498046</v>
      </c>
      <c r="N33" s="20"/>
      <c r="P33" s="21">
        <f>_xlfn.MINIFS($B:$B,$B:$B,"&gt;"&amp;MAX($P3,P18))</f>
        <v>2012</v>
      </c>
      <c r="Q33" s="22" t="s">
        <v>13</v>
      </c>
      <c r="R33" s="22" t="s">
        <v>14</v>
      </c>
      <c r="S33" s="22" t="s">
        <v>15</v>
      </c>
    </row>
    <row r="34" spans="1:20" hidden="1" x14ac:dyDescent="0.25">
      <c r="A34" s="10">
        <f t="shared" si="4"/>
        <v>32</v>
      </c>
      <c r="B34" s="11">
        <f t="shared" si="0"/>
        <v>2013</v>
      </c>
      <c r="C34" s="12">
        <v>41306</v>
      </c>
      <c r="D34" s="13">
        <v>0.63634000000000002</v>
      </c>
      <c r="E34" s="13"/>
      <c r="F34" s="14">
        <v>4305</v>
      </c>
      <c r="G34" s="15">
        <v>56.18</v>
      </c>
      <c r="H34" s="16">
        <v>5807.1684014346247</v>
      </c>
      <c r="I34" s="16">
        <f t="shared" si="2"/>
        <v>1502.1684014346247</v>
      </c>
      <c r="J34" s="17">
        <f t="shared" si="3"/>
        <v>0.74132515236452878</v>
      </c>
      <c r="K34" s="18">
        <v>1</v>
      </c>
      <c r="L34" s="19" t="str">
        <f t="shared" si="1"/>
        <v/>
      </c>
      <c r="M34" s="19">
        <f t="shared" si="1"/>
        <v>8940.0142399430406</v>
      </c>
      <c r="N34" s="20"/>
      <c r="P34" s="23">
        <f>_xlfn.MINIFS(C:C,B:B,P33,F:F,"&gt;"&amp;0)</f>
        <v>40909</v>
      </c>
      <c r="Q34" s="24">
        <f>IFERROR(VLOOKUP($P34,$C:$J,6,FALSE),"")</f>
        <v>4801.6124347355144</v>
      </c>
      <c r="R34" s="24">
        <f>IFERROR(VLOOKUP($P34,$C:$J,4,FALSE),"")</f>
        <v>3679</v>
      </c>
      <c r="S34" s="25">
        <f>IFERROR(VLOOKUP($P34,$C:$J,8,FALSE),"")</f>
        <v>0.76620094812018058</v>
      </c>
    </row>
    <row r="35" spans="1:20" hidden="1" x14ac:dyDescent="0.25">
      <c r="A35" s="10">
        <f t="shared" si="4"/>
        <v>33</v>
      </c>
      <c r="B35" s="11">
        <f t="shared" si="0"/>
        <v>2013</v>
      </c>
      <c r="C35" s="12">
        <v>41334</v>
      </c>
      <c r="D35" s="13">
        <v>0.63634000000000002</v>
      </c>
      <c r="E35" s="13"/>
      <c r="F35" s="14">
        <v>8580</v>
      </c>
      <c r="G35" s="15">
        <v>99.501000000000005</v>
      </c>
      <c r="H35" s="16">
        <v>10285.138182825678</v>
      </c>
      <c r="I35" s="16">
        <f t="shared" si="2"/>
        <v>1705.1381828256781</v>
      </c>
      <c r="J35" s="17">
        <f t="shared" si="3"/>
        <v>0.83421339096124636</v>
      </c>
      <c r="K35" s="18">
        <v>1</v>
      </c>
      <c r="L35" s="19" t="str">
        <f t="shared" si="1"/>
        <v/>
      </c>
      <c r="M35" s="19">
        <f t="shared" si="1"/>
        <v>10060.20039999598</v>
      </c>
      <c r="N35" s="20"/>
      <c r="P35" s="26">
        <f>IF(_xlfn.MINIFS($C:$C,$B:$B,P33,$C:$C,"&gt;"&amp;MAX(P34:P34),$F:$F,"&lt;&gt;"&amp;"")&gt;0,_xlfn.MINIFS($C:$C,$B:$B,P33,$C:$C,"&gt;"&amp;MAX(P34:P34),$F:$F,"&lt;&gt;"&amp;""),"")</f>
        <v>40940</v>
      </c>
      <c r="Q35" s="27">
        <f>IFERROR(VLOOKUP($P35,$C:$J,6,FALSE),"")</f>
        <v>8165.8008076990482</v>
      </c>
      <c r="R35" s="27">
        <f>IFERROR(VLOOKUP($P35,$C:$J,4,FALSE),"")</f>
        <v>7067</v>
      </c>
      <c r="S35" s="28">
        <f>IFERROR(VLOOKUP($P35,$C:$J,8,FALSE),"")</f>
        <v>0.86543869565578257</v>
      </c>
    </row>
    <row r="36" spans="1:20" hidden="1" x14ac:dyDescent="0.25">
      <c r="A36" s="10">
        <f t="shared" si="4"/>
        <v>34</v>
      </c>
      <c r="B36" s="11">
        <f t="shared" si="0"/>
        <v>2013</v>
      </c>
      <c r="C36" s="12">
        <v>41365</v>
      </c>
      <c r="D36" s="13">
        <v>0.63634000000000002</v>
      </c>
      <c r="E36" s="13"/>
      <c r="F36" s="14">
        <v>10275</v>
      </c>
      <c r="G36" s="15">
        <v>118.754</v>
      </c>
      <c r="H36" s="16">
        <v>12275.26657785631</v>
      </c>
      <c r="I36" s="16">
        <f t="shared" si="2"/>
        <v>2000.2665778563096</v>
      </c>
      <c r="J36" s="17">
        <f t="shared" si="3"/>
        <v>0.8370490314675002</v>
      </c>
      <c r="K36" s="18">
        <v>1</v>
      </c>
      <c r="L36" s="19" t="str">
        <f t="shared" si="1"/>
        <v/>
      </c>
      <c r="M36" s="19">
        <f t="shared" si="1"/>
        <v>10094.396820317632</v>
      </c>
      <c r="N36" s="20"/>
      <c r="P36" s="26">
        <f>IF(_xlfn.MINIFS($C:$C,$B:$B,P33,$C:$C,"&gt;"&amp;MAX(P34:P35),$F:$F,"&lt;&gt;"&amp;"")&gt;0,_xlfn.MINIFS($C:$C,$B:$B,P33,$C:$C,"&gt;"&amp;MAX(P34:P35),$F:$F,"&lt;&gt;"&amp;""),"")</f>
        <v>40969</v>
      </c>
      <c r="Q36" s="27">
        <f>IFERROR(VLOOKUP($P36,$C:$J,6,FALSE),"")</f>
        <v>15269.400431824899</v>
      </c>
      <c r="R36" s="27">
        <f>IFERROR(VLOOKUP($P36,$C:$J,4,FALSE),"")</f>
        <v>13198</v>
      </c>
      <c r="S36" s="28">
        <f>IFERROR(VLOOKUP($P36,$C:$J,8,FALSE),"")</f>
        <v>0.86434304077142221</v>
      </c>
    </row>
    <row r="37" spans="1:20" hidden="1" x14ac:dyDescent="0.25">
      <c r="A37" s="10">
        <f t="shared" si="4"/>
        <v>35</v>
      </c>
      <c r="B37" s="11">
        <f t="shared" si="0"/>
        <v>2013</v>
      </c>
      <c r="C37" s="12">
        <v>41395</v>
      </c>
      <c r="D37" s="13">
        <v>0.63634000000000002</v>
      </c>
      <c r="E37" s="13"/>
      <c r="F37" s="14">
        <v>11924</v>
      </c>
      <c r="G37" s="15">
        <v>134.62700000000001</v>
      </c>
      <c r="H37" s="16">
        <v>13916.013890707356</v>
      </c>
      <c r="I37" s="16">
        <f t="shared" si="2"/>
        <v>1992.013890707356</v>
      </c>
      <c r="J37" s="17">
        <f t="shared" si="3"/>
        <v>0.85685456292641704</v>
      </c>
      <c r="K37" s="18">
        <v>1</v>
      </c>
      <c r="L37" s="19" t="str">
        <f t="shared" si="1"/>
        <v/>
      </c>
      <c r="M37" s="19">
        <f t="shared" si="1"/>
        <v>10333.241722190447</v>
      </c>
      <c r="N37" s="20"/>
      <c r="P37" s="26">
        <f>IF(_xlfn.MINIFS($C:$C,$B:$B,P33,$C:$C,"&gt;"&amp;MAX(P34:P36),$F:$F,"&lt;&gt;"&amp;"")&gt;0,_xlfn.MINIFS($C:$C,$B:$B,P33,$C:$C,"&gt;"&amp;MAX(P34:P36),$F:$F,"&lt;&gt;"&amp;""),"")</f>
        <v>41000</v>
      </c>
      <c r="Q37" s="27">
        <f>IFERROR(VLOOKUP($P37,$C:$J,6,FALSE),"")</f>
        <v>11929.503347119413</v>
      </c>
      <c r="R37" s="27">
        <f>IFERROR(VLOOKUP($P37,$C:$J,4,FALSE),"")</f>
        <v>10149</v>
      </c>
      <c r="S37" s="28">
        <f>IFERROR(VLOOKUP($P37,$C:$J,8,FALSE),"")</f>
        <v>0.85074790665536415</v>
      </c>
    </row>
    <row r="38" spans="1:20" hidden="1" x14ac:dyDescent="0.25">
      <c r="A38" s="10">
        <f t="shared" si="4"/>
        <v>36</v>
      </c>
      <c r="B38" s="11">
        <f t="shared" si="0"/>
        <v>2013</v>
      </c>
      <c r="C38" s="12">
        <v>41426</v>
      </c>
      <c r="D38" s="13">
        <v>0.63634000000000002</v>
      </c>
      <c r="E38" s="13"/>
      <c r="F38" s="14">
        <v>16197</v>
      </c>
      <c r="G38" s="15">
        <v>179.69499999999999</v>
      </c>
      <c r="H38" s="16">
        <v>18574.566142680578</v>
      </c>
      <c r="I38" s="16">
        <f t="shared" si="2"/>
        <v>2377.5661426805782</v>
      </c>
      <c r="J38" s="17">
        <f t="shared" si="3"/>
        <v>0.87199883300544967</v>
      </c>
      <c r="K38" s="18">
        <v>1</v>
      </c>
      <c r="L38" s="19" t="str">
        <f t="shared" si="1"/>
        <v/>
      </c>
      <c r="M38" s="19">
        <f t="shared" si="1"/>
        <v>10515.874120036729</v>
      </c>
      <c r="N38" s="20"/>
      <c r="P38" s="26">
        <f>IF(_xlfn.MINIFS($C:$C,$B:$B,P33,$C:$C,"&gt;"&amp;MAX(P34:P37),$F:$F,"&lt;&gt;"&amp;"")&gt;0,_xlfn.MINIFS($C:$C,$B:$B,P33,$C:$C,"&gt;"&amp;MAX(P34:P37),$F:$F,"&lt;&gt;"&amp;""),"")</f>
        <v>41030</v>
      </c>
      <c r="Q38" s="27">
        <f>IFERROR(VLOOKUP($P38,$C:$J,6,FALSE),"")</f>
        <v>18007.597138019333</v>
      </c>
      <c r="R38" s="27">
        <f>IFERROR(VLOOKUP($P38,$C:$J,4,FALSE),"")</f>
        <v>15077</v>
      </c>
      <c r="S38" s="28">
        <f>IFERROR(VLOOKUP($P38,$C:$J,8,FALSE),"")</f>
        <v>0.83725773541257309</v>
      </c>
    </row>
    <row r="39" spans="1:20" hidden="1" x14ac:dyDescent="0.25">
      <c r="A39" s="10">
        <f t="shared" si="4"/>
        <v>37</v>
      </c>
      <c r="B39" s="11">
        <f t="shared" si="0"/>
        <v>2013</v>
      </c>
      <c r="C39" s="12">
        <v>41456</v>
      </c>
      <c r="D39" s="13">
        <v>0.63634000000000002</v>
      </c>
      <c r="E39" s="13"/>
      <c r="F39" s="14">
        <v>17139</v>
      </c>
      <c r="G39" s="15">
        <v>205.864</v>
      </c>
      <c r="H39" s="16">
        <v>21279.58198278636</v>
      </c>
      <c r="I39" s="16">
        <f t="shared" si="2"/>
        <v>4140.5819827863597</v>
      </c>
      <c r="J39" s="17">
        <f t="shared" si="3"/>
        <v>0.80541995673900968</v>
      </c>
      <c r="K39" s="18">
        <v>1</v>
      </c>
      <c r="L39" s="19" t="str">
        <f t="shared" si="1"/>
        <v/>
      </c>
      <c r="M39" s="19">
        <f t="shared" si="1"/>
        <v>9712.9658415264439</v>
      </c>
      <c r="N39" s="20"/>
      <c r="P39" s="26">
        <f>IF(_xlfn.MINIFS($C:$C,$B:$B,P33,$C:$C,"&gt;"&amp;MAX(P34:P38),$F:$F,"&lt;&gt;"&amp;"")&gt;0,_xlfn.MINIFS($C:$C,$B:$B,P33,$C:$C,"&gt;"&amp;MAX(P34:P38),$F:$F,"&lt;&gt;"&amp;""),"")</f>
        <v>41061</v>
      </c>
      <c r="Q39" s="27">
        <f>IFERROR(VLOOKUP($P39,$C:$J,6,FALSE),"")</f>
        <v>19118.17416374047</v>
      </c>
      <c r="R39" s="27">
        <f>IFERROR(VLOOKUP($P39,$C:$J,4,FALSE),"")</f>
        <v>16076</v>
      </c>
      <c r="S39" s="28">
        <f>IFERROR(VLOOKUP($P39,$C:$J,8,FALSE),"")</f>
        <v>0.84087527722651167</v>
      </c>
    </row>
    <row r="40" spans="1:20" hidden="1" x14ac:dyDescent="0.25">
      <c r="A40" s="10">
        <f t="shared" si="4"/>
        <v>38</v>
      </c>
      <c r="B40" s="11">
        <f t="shared" si="0"/>
        <v>2013</v>
      </c>
      <c r="C40" s="12">
        <v>41487</v>
      </c>
      <c r="D40" s="13">
        <v>0.64349999999999996</v>
      </c>
      <c r="E40" s="13"/>
      <c r="F40" s="14">
        <v>15430</v>
      </c>
      <c r="G40" s="15">
        <v>181.232</v>
      </c>
      <c r="H40" s="16">
        <v>18733.441504606621</v>
      </c>
      <c r="I40" s="16">
        <f t="shared" si="2"/>
        <v>3303.4415046066206</v>
      </c>
      <c r="J40" s="17">
        <f t="shared" si="3"/>
        <v>0.82366072438989424</v>
      </c>
      <c r="K40" s="18">
        <v>1</v>
      </c>
      <c r="L40" s="19" t="str">
        <f t="shared" si="1"/>
        <v/>
      </c>
      <c r="M40" s="19">
        <f t="shared" si="1"/>
        <v>9932.9404667314102</v>
      </c>
      <c r="N40" s="20"/>
      <c r="P40" s="26">
        <f>IF(_xlfn.MINIFS($C:$C,$B:$B,P33,$C:$C,"&gt;"&amp;MAX(P34:P39),$F:$F,"&lt;&gt;"&amp;"")&gt;0,_xlfn.MINIFS($C:$C,$B:$B,P33,$C:$C,"&gt;"&amp;MAX(P34:P39),$F:$F,"&lt;&gt;"&amp;""),"")</f>
        <v>41091</v>
      </c>
      <c r="Q40" s="27">
        <f>IFERROR(VLOOKUP($P40,$C:$J,6,FALSE),"")</f>
        <v>20109.258724668827</v>
      </c>
      <c r="R40" s="27">
        <f>IFERROR(VLOOKUP($P40,$C:$J,4,FALSE),"")</f>
        <v>16583</v>
      </c>
      <c r="S40" s="28">
        <f>IFERROR(VLOOKUP($P40,$C:$J,8,FALSE),"")</f>
        <v>0.82464501685768132</v>
      </c>
    </row>
    <row r="41" spans="1:20" hidden="1" x14ac:dyDescent="0.25">
      <c r="A41" s="10">
        <f t="shared" si="4"/>
        <v>39</v>
      </c>
      <c r="B41" s="11">
        <f t="shared" si="0"/>
        <v>2013</v>
      </c>
      <c r="C41" s="12">
        <v>41518</v>
      </c>
      <c r="D41" s="13">
        <v>0.64349999999999996</v>
      </c>
      <c r="E41" s="13"/>
      <c r="F41" s="14">
        <v>10803</v>
      </c>
      <c r="G41" s="15">
        <v>122.26300000000001</v>
      </c>
      <c r="H41" s="16">
        <v>12637.982026781801</v>
      </c>
      <c r="I41" s="16">
        <f t="shared" si="2"/>
        <v>1834.9820267818013</v>
      </c>
      <c r="J41" s="17">
        <f t="shared" si="3"/>
        <v>0.85480419081992709</v>
      </c>
      <c r="K41" s="18">
        <v>1</v>
      </c>
      <c r="L41" s="19" t="str">
        <f t="shared" si="1"/>
        <v/>
      </c>
      <c r="M41" s="19">
        <f t="shared" si="1"/>
        <v>10308.515249912074</v>
      </c>
      <c r="N41" s="20"/>
      <c r="P41" s="26">
        <f>IF(_xlfn.MINIFS($C:$C,$B:$B,P33,$C:$C,"&gt;"&amp;MAX(P34:P40),$F:$F,"&lt;&gt;"&amp;"")&gt;0,_xlfn.MINIFS($C:$C,$B:$B,P33,$C:$C,"&gt;"&amp;MAX(P34:P40),$F:$F,"&lt;&gt;"&amp;""),"")</f>
        <v>41122</v>
      </c>
      <c r="Q41" s="27">
        <f>IFERROR(VLOOKUP($P41,$C:$J,6,FALSE),"")</f>
        <v>18614.87934447053</v>
      </c>
      <c r="R41" s="27">
        <f>IFERROR(VLOOKUP($P41,$C:$J,4,FALSE),"")</f>
        <v>15255</v>
      </c>
      <c r="S41" s="28">
        <f>IFERROR(VLOOKUP($P41,$C:$J,8,FALSE),"")</f>
        <v>0.81950571463314015</v>
      </c>
    </row>
    <row r="42" spans="1:20" hidden="1" x14ac:dyDescent="0.25">
      <c r="A42" s="10">
        <f t="shared" si="4"/>
        <v>40</v>
      </c>
      <c r="B42" s="11">
        <f t="shared" si="0"/>
        <v>2013</v>
      </c>
      <c r="C42" s="12">
        <v>41548</v>
      </c>
      <c r="D42" s="13">
        <v>0.64349999999999996</v>
      </c>
      <c r="E42" s="13"/>
      <c r="F42" s="14">
        <v>6392</v>
      </c>
      <c r="G42" s="15">
        <v>71.253</v>
      </c>
      <c r="H42" s="16">
        <v>7365.2219670242312</v>
      </c>
      <c r="I42" s="16">
        <f t="shared" si="2"/>
        <v>973.22196702423116</v>
      </c>
      <c r="J42" s="17">
        <f t="shared" si="3"/>
        <v>0.86786250687602262</v>
      </c>
      <c r="K42" s="18">
        <v>1</v>
      </c>
      <c r="L42" s="19" t="str">
        <f t="shared" si="1"/>
        <v/>
      </c>
      <c r="M42" s="19">
        <f t="shared" si="1"/>
        <v>10465.992075187478</v>
      </c>
      <c r="N42" s="20"/>
      <c r="P42" s="26">
        <f>IF(_xlfn.MINIFS($C:$C,$B:$B,P33,$C:$C,"&gt;"&amp;MAX(P34:P41),$F:$F,"&lt;&gt;"&amp;"")&gt;0,_xlfn.MINIFS($C:$C,$B:$B,P33,$C:$C,"&gt;"&amp;MAX(P34:P41),$F:$F,"&lt;&gt;"&amp;""),"")</f>
        <v>41153</v>
      </c>
      <c r="Q42" s="27">
        <f>IFERROR(VLOOKUP($P42,$C:$J,6,FALSE),"")</f>
        <v>11647.310934589748</v>
      </c>
      <c r="R42" s="27">
        <f>IFERROR(VLOOKUP($P42,$C:$J,4,FALSE),"")</f>
        <v>9002</v>
      </c>
      <c r="S42" s="28">
        <f>IFERROR(VLOOKUP($P42,$C:$J,8,FALSE),"")</f>
        <v>0.77288226016755479</v>
      </c>
    </row>
    <row r="43" spans="1:20" hidden="1" x14ac:dyDescent="0.25">
      <c r="A43" s="10">
        <f t="shared" si="4"/>
        <v>41</v>
      </c>
      <c r="B43" s="11">
        <f t="shared" si="0"/>
        <v>2013</v>
      </c>
      <c r="C43" s="12">
        <v>41579</v>
      </c>
      <c r="D43" s="13">
        <v>0.64349999999999996</v>
      </c>
      <c r="E43" s="13"/>
      <c r="F43" s="14">
        <v>3969</v>
      </c>
      <c r="G43" s="15">
        <v>51.344999999999999</v>
      </c>
      <c r="H43" s="16">
        <v>5307.3880664232966</v>
      </c>
      <c r="I43" s="16">
        <f t="shared" si="2"/>
        <v>1338.3880664232966</v>
      </c>
      <c r="J43" s="17">
        <f t="shared" si="3"/>
        <v>0.74782547466417881</v>
      </c>
      <c r="K43" s="18">
        <v>1</v>
      </c>
      <c r="L43" s="19" t="str">
        <f t="shared" si="1"/>
        <v/>
      </c>
      <c r="M43" s="19">
        <f t="shared" si="1"/>
        <v>9018.4049079754604</v>
      </c>
      <c r="N43" s="20"/>
      <c r="P43" s="26">
        <f>IF(_xlfn.MINIFS($C:$C,$B:$B,P33,$C:$C,"&gt;"&amp;MAX(P34:P42),$F:$F,"&lt;&gt;"&amp;"")&gt;0,_xlfn.MINIFS($C:$C,$B:$B,P33,$C:$C,"&gt;"&amp;MAX(P34:P42),$F:$F,"&lt;&gt;"&amp;""),"")</f>
        <v>41183</v>
      </c>
      <c r="Q43" s="27">
        <f>IFERROR(VLOOKUP($P43,$C:$J,6,FALSE),"")</f>
        <v>7934.0515809988619</v>
      </c>
      <c r="R43" s="27">
        <f>IFERROR(VLOOKUP($P43,$C:$J,4,FALSE),"")</f>
        <v>7138</v>
      </c>
      <c r="S43" s="28">
        <f>IFERROR(VLOOKUP($P43,$C:$J,8,FALSE),"")</f>
        <v>0.89966644747995916</v>
      </c>
    </row>
    <row r="44" spans="1:20" hidden="1" x14ac:dyDescent="0.25">
      <c r="A44" s="10">
        <f t="shared" si="4"/>
        <v>42</v>
      </c>
      <c r="B44" s="11">
        <f t="shared" si="0"/>
        <v>2013</v>
      </c>
      <c r="C44" s="12">
        <v>41609</v>
      </c>
      <c r="D44" s="13">
        <v>0.64349999999999996</v>
      </c>
      <c r="E44" s="13"/>
      <c r="F44" s="14">
        <v>4814</v>
      </c>
      <c r="G44" s="15">
        <v>53.835999999999999</v>
      </c>
      <c r="H44" s="16">
        <v>5564.875721958605</v>
      </c>
      <c r="I44" s="16">
        <f t="shared" si="2"/>
        <v>750.87572195860503</v>
      </c>
      <c r="J44" s="17">
        <f t="shared" si="3"/>
        <v>0.86506873477952029</v>
      </c>
      <c r="K44" s="18">
        <v>1</v>
      </c>
      <c r="L44" s="19" t="str">
        <f t="shared" si="1"/>
        <v/>
      </c>
      <c r="M44" s="19">
        <f t="shared" si="1"/>
        <v>10432.300567154569</v>
      </c>
      <c r="N44" s="20"/>
      <c r="P44" s="26">
        <f>IF(_xlfn.MINIFS($C:$C,$B:$B,P33,$C:$C,"&gt;"&amp;MAX(P34:P43),$F:$F,"&lt;&gt;"&amp;"")&gt;0,_xlfn.MINIFS($C:$C,$B:$B,P33,$C:$C,"&gt;"&amp;MAX(P34:P43),$F:$F,"&lt;&gt;"&amp;""),"")</f>
        <v>41214</v>
      </c>
      <c r="Q44" s="27">
        <f>IFERROR(VLOOKUP($P44,$C:$J,6,FALSE),"")</f>
        <v>5026.0225913662471</v>
      </c>
      <c r="R44" s="27">
        <f>IFERROR(VLOOKUP($P44,$C:$J,4,FALSE),"")</f>
        <v>4074</v>
      </c>
      <c r="S44" s="28">
        <f>IFERROR(VLOOKUP($P44,$C:$J,8,FALSE),"")</f>
        <v>0.81058131473550454</v>
      </c>
      <c r="T44" s="35"/>
    </row>
    <row r="45" spans="1:20" hidden="1" x14ac:dyDescent="0.25">
      <c r="A45" s="10">
        <f t="shared" si="4"/>
        <v>43</v>
      </c>
      <c r="B45" s="11">
        <f t="shared" si="0"/>
        <v>2014</v>
      </c>
      <c r="C45" s="12">
        <v>41640</v>
      </c>
      <c r="D45" s="13">
        <v>0.64349999999999996</v>
      </c>
      <c r="E45" s="13"/>
      <c r="F45" s="14">
        <v>3286</v>
      </c>
      <c r="G45" s="15">
        <v>46.835999999999999</v>
      </c>
      <c r="H45" s="16">
        <v>4841.3054334210055</v>
      </c>
      <c r="I45" s="16">
        <f t="shared" si="2"/>
        <v>1555.3054334210055</v>
      </c>
      <c r="J45" s="17">
        <f t="shared" si="3"/>
        <v>0.67874255098960323</v>
      </c>
      <c r="K45" s="18">
        <v>1</v>
      </c>
      <c r="L45" s="19" t="str">
        <f t="shared" si="1"/>
        <v/>
      </c>
      <c r="M45" s="19">
        <f t="shared" si="1"/>
        <v>8185.2990577048995</v>
      </c>
      <c r="N45" s="20"/>
      <c r="P45" s="29">
        <f>IF(_xlfn.MINIFS($C:$C,$B:$B,P33,$C:$C,"&gt;"&amp;MAX(P34:P44),$F:$F,"&lt;&gt;"&amp;"")&gt;0,_xlfn.MINIFS($C:$C,$B:$B,P33,$C:$C,"&gt;"&amp;MAX(P34:P44),$F:$F,"&lt;&gt;"&amp;""),"")</f>
        <v>41244</v>
      </c>
      <c r="Q45" s="30">
        <f>IFERROR(VLOOKUP($P45,$C:$J,6,FALSE),"")</f>
        <v>4561.0769973888009</v>
      </c>
      <c r="R45" s="30">
        <f>IFERROR(VLOOKUP($P45,$C:$J,4,FALSE),"")</f>
        <v>3657</v>
      </c>
      <c r="S45" s="31">
        <f>IFERROR(VLOOKUP($P45,$C:$J,8,FALSE),"")</f>
        <v>0.80178431587399612</v>
      </c>
      <c r="T45" s="35"/>
    </row>
    <row r="46" spans="1:20" hidden="1" x14ac:dyDescent="0.25">
      <c r="A46" s="10">
        <f t="shared" si="4"/>
        <v>44</v>
      </c>
      <c r="B46" s="11">
        <f t="shared" si="0"/>
        <v>2014</v>
      </c>
      <c r="C46" s="12">
        <v>41671</v>
      </c>
      <c r="D46" s="13">
        <v>0.64349999999999996</v>
      </c>
      <c r="E46" s="13"/>
      <c r="F46" s="14">
        <v>5321</v>
      </c>
      <c r="G46" s="15">
        <v>68.278000000000006</v>
      </c>
      <c r="H46" s="16">
        <v>7057.7045943957519</v>
      </c>
      <c r="I46" s="16">
        <f t="shared" si="2"/>
        <v>1736.7045943957519</v>
      </c>
      <c r="J46" s="17">
        <f t="shared" si="3"/>
        <v>0.75392784280390523</v>
      </c>
      <c r="K46" s="18">
        <v>1</v>
      </c>
      <c r="L46" s="19" t="str">
        <f t="shared" si="1"/>
        <v/>
      </c>
      <c r="M46" s="19">
        <f t="shared" si="1"/>
        <v>9091.9964459025359</v>
      </c>
      <c r="N46" s="20"/>
      <c r="P46" s="32" t="str">
        <f>"TOTAL "&amp;$P33</f>
        <v>TOTAL 2012</v>
      </c>
      <c r="Q46" s="33">
        <f>SUM(Q34:Q45)</f>
        <v>145184.6884966217</v>
      </c>
      <c r="R46" s="33">
        <f>SUM(R34:R45)</f>
        <v>120955</v>
      </c>
      <c r="S46" s="34">
        <f>IFERROR(R46/Q46,"")</f>
        <v>0.83311126849863715</v>
      </c>
    </row>
    <row r="47" spans="1:20" hidden="1" x14ac:dyDescent="0.25">
      <c r="A47" s="10">
        <f t="shared" si="4"/>
        <v>45</v>
      </c>
      <c r="B47" s="11">
        <f t="shared" si="0"/>
        <v>2014</v>
      </c>
      <c r="C47" s="12">
        <v>41699</v>
      </c>
      <c r="D47" s="13">
        <v>0.64349999999999996</v>
      </c>
      <c r="E47" s="13"/>
      <c r="F47" s="14">
        <v>11376</v>
      </c>
      <c r="G47" s="15">
        <v>133.83099999999999</v>
      </c>
      <c r="H47" s="16">
        <v>13833.733612182221</v>
      </c>
      <c r="I47" s="16">
        <f t="shared" si="2"/>
        <v>2457.7336121822209</v>
      </c>
      <c r="J47" s="17">
        <f t="shared" si="3"/>
        <v>0.82233765076856047</v>
      </c>
      <c r="K47" s="18">
        <v>1</v>
      </c>
      <c r="L47" s="19" t="str">
        <f t="shared" si="1"/>
        <v/>
      </c>
      <c r="M47" s="19">
        <f t="shared" si="1"/>
        <v>9916.9848540323255</v>
      </c>
      <c r="N47" s="20"/>
    </row>
    <row r="48" spans="1:20" hidden="1" x14ac:dyDescent="0.25">
      <c r="A48" s="10">
        <f t="shared" si="4"/>
        <v>46</v>
      </c>
      <c r="B48" s="11">
        <f t="shared" si="0"/>
        <v>2014</v>
      </c>
      <c r="C48" s="12">
        <v>41730</v>
      </c>
      <c r="D48" s="13">
        <v>0.64349999999999996</v>
      </c>
      <c r="E48" s="13"/>
      <c r="F48" s="14">
        <v>12531</v>
      </c>
      <c r="G48" s="15">
        <v>152.679</v>
      </c>
      <c r="H48" s="16">
        <v>15781.99829766175</v>
      </c>
      <c r="I48" s="16">
        <f t="shared" si="2"/>
        <v>3250.9982976617503</v>
      </c>
      <c r="J48" s="17">
        <f t="shared" si="3"/>
        <v>0.79400591507202123</v>
      </c>
      <c r="K48" s="18">
        <v>0.95666666666666667</v>
      </c>
      <c r="L48" s="19" t="str">
        <f t="shared" si="1"/>
        <v/>
      </c>
      <c r="M48" s="19">
        <f t="shared" si="1"/>
        <v>10009.043363575325</v>
      </c>
      <c r="N48" s="20"/>
      <c r="P48" s="21">
        <f>_xlfn.MINIFS($B:$B,$B:$B,"&gt;"&amp;MAX($P$3,$P$18,$P$33))</f>
        <v>2013</v>
      </c>
      <c r="Q48" s="22" t="s">
        <v>13</v>
      </c>
      <c r="R48" s="22" t="s">
        <v>14</v>
      </c>
      <c r="S48" s="22" t="s">
        <v>15</v>
      </c>
    </row>
    <row r="49" spans="1:20" hidden="1" x14ac:dyDescent="0.25">
      <c r="A49" s="10">
        <f t="shared" si="4"/>
        <v>47</v>
      </c>
      <c r="B49" s="11">
        <f t="shared" si="0"/>
        <v>2014</v>
      </c>
      <c r="C49" s="12">
        <v>41760</v>
      </c>
      <c r="D49" s="13">
        <v>0.64349999999999996</v>
      </c>
      <c r="E49" s="13"/>
      <c r="F49" s="14">
        <v>14462</v>
      </c>
      <c r="G49" s="15">
        <v>166.41800000000001</v>
      </c>
      <c r="H49" s="16">
        <v>17202.160039692906</v>
      </c>
      <c r="I49" s="16">
        <f t="shared" si="2"/>
        <v>2740.1600396929061</v>
      </c>
      <c r="J49" s="17">
        <f t="shared" si="3"/>
        <v>0.84070837421753086</v>
      </c>
      <c r="K49" s="18">
        <v>1</v>
      </c>
      <c r="L49" s="19" t="str">
        <f t="shared" si="1"/>
        <v/>
      </c>
      <c r="M49" s="19">
        <f t="shared" si="1"/>
        <v>10138.52668180926</v>
      </c>
      <c r="N49" s="20"/>
      <c r="P49" s="23">
        <f>_xlfn.MINIFS(C:C,B:B,P48,F:F,"&gt;"&amp;0)</f>
        <v>41275</v>
      </c>
      <c r="Q49" s="24">
        <f>IFERROR(VLOOKUP($P49,$C:$J,6,FALSE),"")</f>
        <v>4505.7755539077134</v>
      </c>
      <c r="R49" s="24">
        <f>IFERROR(VLOOKUP($P49,$C:$J,4,FALSE),"")</f>
        <v>3000</v>
      </c>
      <c r="S49" s="25">
        <f>IFERROR(VLOOKUP($P49,$C:$J,8,FALSE),"")</f>
        <v>0.66581212581665261</v>
      </c>
    </row>
    <row r="50" spans="1:20" hidden="1" x14ac:dyDescent="0.25">
      <c r="A50" s="10">
        <f t="shared" si="4"/>
        <v>48</v>
      </c>
      <c r="B50" s="11">
        <f t="shared" si="0"/>
        <v>2014</v>
      </c>
      <c r="C50" s="12">
        <v>41791</v>
      </c>
      <c r="D50" s="13">
        <v>0.64349999999999996</v>
      </c>
      <c r="E50" s="13"/>
      <c r="F50" s="14">
        <v>13481</v>
      </c>
      <c r="G50" s="15">
        <v>195.81299999999999</v>
      </c>
      <c r="H50" s="16">
        <v>20240.638415630441</v>
      </c>
      <c r="I50" s="16">
        <f t="shared" si="2"/>
        <v>6759.6384156304412</v>
      </c>
      <c r="J50" s="17">
        <f t="shared" si="3"/>
        <v>0.66603630395321711</v>
      </c>
      <c r="K50" s="18">
        <v>0.85333333333333328</v>
      </c>
      <c r="L50" s="19" t="str">
        <f t="shared" si="1"/>
        <v/>
      </c>
      <c r="M50" s="19">
        <f t="shared" si="1"/>
        <v>9412.5796997645739</v>
      </c>
      <c r="N50" s="20"/>
      <c r="P50" s="26">
        <f>IF(_xlfn.MINIFS($C:$C,$B:$B,P48,$C:$C,"&gt;"&amp;MAX(P49:P49),$F:$F,"&lt;&gt;"&amp;"")&gt;0,_xlfn.MINIFS($C:$C,$B:$B,P48,$C:$C,"&gt;"&amp;MAX(P49:P49),$F:$F,"&lt;&gt;"&amp;""),"")</f>
        <v>41306</v>
      </c>
      <c r="Q50" s="27">
        <f>IFERROR(VLOOKUP($P50,$C:$J,6,FALSE),"")</f>
        <v>5807.1684014346247</v>
      </c>
      <c r="R50" s="27">
        <f>IFERROR(VLOOKUP($P50,$C:$J,4,FALSE),"")</f>
        <v>4305</v>
      </c>
      <c r="S50" s="28">
        <f>IFERROR(VLOOKUP($P50,$C:$J,8,FALSE),"")</f>
        <v>0.74132515236452878</v>
      </c>
    </row>
    <row r="51" spans="1:20" hidden="1" x14ac:dyDescent="0.25">
      <c r="A51" s="10">
        <f t="shared" si="4"/>
        <v>49</v>
      </c>
      <c r="B51" s="11">
        <f t="shared" si="0"/>
        <v>2014</v>
      </c>
      <c r="C51" s="12">
        <v>41821</v>
      </c>
      <c r="D51" s="13">
        <v>0.64349999999999996</v>
      </c>
      <c r="E51" s="13"/>
      <c r="F51" s="14">
        <v>11840</v>
      </c>
      <c r="G51" s="15">
        <v>145.19800000000001</v>
      </c>
      <c r="H51" s="16">
        <v>15008.708393583209</v>
      </c>
      <c r="I51" s="16">
        <f t="shared" si="2"/>
        <v>3168.7083935832088</v>
      </c>
      <c r="J51" s="17">
        <f t="shared" si="3"/>
        <v>0.78887534420097394</v>
      </c>
      <c r="K51" s="18">
        <v>0.92</v>
      </c>
      <c r="L51" s="19" t="str">
        <f t="shared" si="1"/>
        <v/>
      </c>
      <c r="M51" s="19">
        <f t="shared" si="1"/>
        <v>10340.702181588718</v>
      </c>
      <c r="N51" s="20"/>
      <c r="P51" s="26">
        <f>IF(_xlfn.MINIFS($C:$C,$B:$B,P48,$C:$C,"&gt;"&amp;MAX(P49:P50),$F:$F,"&lt;&gt;"&amp;"")&gt;0,_xlfn.MINIFS($C:$C,$B:$B,P48,$C:$C,"&gt;"&amp;MAX(P49:P50),$F:$F,"&lt;&gt;"&amp;""),"")</f>
        <v>41334</v>
      </c>
      <c r="Q51" s="27">
        <f>IFERROR(VLOOKUP($P51,$C:$J,6,FALSE),"")</f>
        <v>10285.138182825678</v>
      </c>
      <c r="R51" s="27">
        <f>IFERROR(VLOOKUP($P51,$C:$J,4,FALSE),"")</f>
        <v>8580</v>
      </c>
      <c r="S51" s="28">
        <f>IFERROR(VLOOKUP($P51,$C:$J,8,FALSE),"")</f>
        <v>0.83421339096124636</v>
      </c>
    </row>
    <row r="52" spans="1:20" hidden="1" x14ac:dyDescent="0.25">
      <c r="A52" s="10">
        <f t="shared" si="4"/>
        <v>50</v>
      </c>
      <c r="B52" s="11">
        <f t="shared" si="0"/>
        <v>2014</v>
      </c>
      <c r="C52" s="12">
        <v>41852</v>
      </c>
      <c r="D52" s="13">
        <v>0.64359</v>
      </c>
      <c r="E52" s="13"/>
      <c r="F52" s="14">
        <v>13564</v>
      </c>
      <c r="G52" s="15">
        <v>161.167</v>
      </c>
      <c r="H52" s="16">
        <v>16659.378956105629</v>
      </c>
      <c r="I52" s="16">
        <f t="shared" si="2"/>
        <v>3095.3789561056292</v>
      </c>
      <c r="J52" s="17">
        <f t="shared" si="3"/>
        <v>0.81419601749492709</v>
      </c>
      <c r="K52" s="18">
        <v>1</v>
      </c>
      <c r="L52" s="19" t="str">
        <f t="shared" si="1"/>
        <v/>
      </c>
      <c r="M52" s="19">
        <f t="shared" si="1"/>
        <v>9818.8007884161561</v>
      </c>
      <c r="N52" s="20"/>
      <c r="P52" s="26">
        <f>IF(_xlfn.MINIFS($C:$C,$B:$B,P48,$C:$C,"&gt;"&amp;MAX(P49:P51),$F:$F,"&lt;&gt;"&amp;"")&gt;0,_xlfn.MINIFS($C:$C,$B:$B,P48,$C:$C,"&gt;"&amp;MAX(P49:P51),$F:$F,"&lt;&gt;"&amp;""),"")</f>
        <v>41365</v>
      </c>
      <c r="Q52" s="27">
        <f>IFERROR(VLOOKUP($P52,$C:$J,6,FALSE),"")</f>
        <v>12275.26657785631</v>
      </c>
      <c r="R52" s="27">
        <f>IFERROR(VLOOKUP($P52,$C:$J,4,FALSE),"")</f>
        <v>10275</v>
      </c>
      <c r="S52" s="28">
        <f>IFERROR(VLOOKUP($P52,$C:$J,8,FALSE),"")</f>
        <v>0.8370490314675002</v>
      </c>
    </row>
    <row r="53" spans="1:20" hidden="1" x14ac:dyDescent="0.25">
      <c r="A53" s="10">
        <f t="shared" si="4"/>
        <v>51</v>
      </c>
      <c r="B53" s="11">
        <f t="shared" si="0"/>
        <v>2014</v>
      </c>
      <c r="C53" s="12">
        <v>41883</v>
      </c>
      <c r="D53" s="13">
        <v>0.64359</v>
      </c>
      <c r="E53" s="13"/>
      <c r="F53" s="14">
        <v>11170</v>
      </c>
      <c r="G53" s="15">
        <v>136.29</v>
      </c>
      <c r="H53" s="16">
        <v>14087.913517827074</v>
      </c>
      <c r="I53" s="16">
        <f t="shared" si="2"/>
        <v>2917.9135178270735</v>
      </c>
      <c r="J53" s="17">
        <f t="shared" si="3"/>
        <v>0.79287823465591989</v>
      </c>
      <c r="K53" s="18">
        <v>1</v>
      </c>
      <c r="L53" s="19" t="str">
        <f t="shared" si="1"/>
        <v/>
      </c>
      <c r="M53" s="19">
        <f t="shared" si="1"/>
        <v>9561.7188837527829</v>
      </c>
      <c r="N53" s="20"/>
      <c r="P53" s="26">
        <f>IF(_xlfn.MINIFS($C:$C,$B:$B,P48,$C:$C,"&gt;"&amp;MAX(P49:P52),$F:$F,"&lt;&gt;"&amp;"")&gt;0,_xlfn.MINIFS($C:$C,$B:$B,P48,$C:$C,"&gt;"&amp;MAX(P49:P52),$F:$F,"&lt;&gt;"&amp;""),"")</f>
        <v>41395</v>
      </c>
      <c r="Q53" s="27">
        <f>IFERROR(VLOOKUP($P53,$C:$J,6,FALSE),"")</f>
        <v>13916.013890707356</v>
      </c>
      <c r="R53" s="27">
        <f>IFERROR(VLOOKUP($P53,$C:$J,4,FALSE),"")</f>
        <v>11924</v>
      </c>
      <c r="S53" s="28">
        <f>IFERROR(VLOOKUP($P53,$C:$J,8,FALSE),"")</f>
        <v>0.85685456292641704</v>
      </c>
    </row>
    <row r="54" spans="1:20" hidden="1" x14ac:dyDescent="0.25">
      <c r="A54" s="10">
        <f t="shared" si="4"/>
        <v>52</v>
      </c>
      <c r="B54" s="11">
        <f t="shared" si="0"/>
        <v>2014</v>
      </c>
      <c r="C54" s="12">
        <v>41913</v>
      </c>
      <c r="D54" s="13">
        <v>0.64359</v>
      </c>
      <c r="E54" s="13"/>
      <c r="F54" s="14">
        <v>7850</v>
      </c>
      <c r="G54" s="15">
        <v>90.32</v>
      </c>
      <c r="H54" s="16">
        <v>9336.1240658165771</v>
      </c>
      <c r="I54" s="16">
        <f t="shared" si="2"/>
        <v>1486.1240658165771</v>
      </c>
      <c r="J54" s="17">
        <f t="shared" si="3"/>
        <v>0.84082001745693447</v>
      </c>
      <c r="K54" s="18">
        <v>1</v>
      </c>
      <c r="L54" s="19" t="str">
        <f t="shared" si="1"/>
        <v/>
      </c>
      <c r="M54" s="19">
        <f t="shared" si="1"/>
        <v>10139.873043991734</v>
      </c>
      <c r="N54" s="20"/>
      <c r="P54" s="26">
        <f>IF(_xlfn.MINIFS($C:$C,$B:$B,P48,$C:$C,"&gt;"&amp;MAX(P49:P53),$F:$F,"&lt;&gt;"&amp;"")&gt;0,_xlfn.MINIFS($C:$C,$B:$B,P48,$C:$C,"&gt;"&amp;MAX(P49:P53),$F:$F,"&lt;&gt;"&amp;""),"")</f>
        <v>41426</v>
      </c>
      <c r="Q54" s="27">
        <f>IFERROR(VLOOKUP($P54,$C:$J,6,FALSE),"")</f>
        <v>18574.566142680578</v>
      </c>
      <c r="R54" s="27">
        <f>IFERROR(VLOOKUP($P54,$C:$J,4,FALSE),"")</f>
        <v>16197</v>
      </c>
      <c r="S54" s="28">
        <f>IFERROR(VLOOKUP($P54,$C:$J,8,FALSE),"")</f>
        <v>0.87199883300544967</v>
      </c>
    </row>
    <row r="55" spans="1:20" hidden="1" x14ac:dyDescent="0.25">
      <c r="A55" s="10">
        <f t="shared" si="4"/>
        <v>53</v>
      </c>
      <c r="B55" s="11">
        <f t="shared" si="0"/>
        <v>2014</v>
      </c>
      <c r="C55" s="12">
        <v>41944</v>
      </c>
      <c r="D55" s="13">
        <v>0.64359</v>
      </c>
      <c r="E55" s="13"/>
      <c r="F55" s="14">
        <v>3914</v>
      </c>
      <c r="G55" s="15">
        <v>50.661999999999999</v>
      </c>
      <c r="H55" s="16">
        <v>5236.7882796988424</v>
      </c>
      <c r="I55" s="16">
        <f t="shared" si="2"/>
        <v>1322.7882796988424</v>
      </c>
      <c r="J55" s="17">
        <f t="shared" si="3"/>
        <v>0.74740466693549168</v>
      </c>
      <c r="K55" s="18">
        <v>1</v>
      </c>
      <c r="L55" s="19" t="str">
        <f t="shared" si="1"/>
        <v/>
      </c>
      <c r="M55" s="19">
        <f t="shared" si="1"/>
        <v>9013.330175147712</v>
      </c>
      <c r="N55" s="20"/>
      <c r="P55" s="26">
        <f>IF(_xlfn.MINIFS($C:$C,$B:$B,P48,$C:$C,"&gt;"&amp;MAX(P49:P54),$F:$F,"&lt;&gt;"&amp;"")&gt;0,_xlfn.MINIFS($C:$C,$B:$B,P48,$C:$C,"&gt;"&amp;MAX(P49:P54),$F:$F,"&lt;&gt;"&amp;""),"")</f>
        <v>41456</v>
      </c>
      <c r="Q55" s="27">
        <f>IFERROR(VLOOKUP($P55,$C:$J,6,FALSE),"")</f>
        <v>21279.58198278636</v>
      </c>
      <c r="R55" s="27">
        <f>IFERROR(VLOOKUP($P55,$C:$J,4,FALSE),"")</f>
        <v>17139</v>
      </c>
      <c r="S55" s="28">
        <f>IFERROR(VLOOKUP($P55,$C:$J,8,FALSE),"")</f>
        <v>0.80541995673900968</v>
      </c>
    </row>
    <row r="56" spans="1:20" hidden="1" x14ac:dyDescent="0.25">
      <c r="A56" s="10">
        <f t="shared" si="4"/>
        <v>54</v>
      </c>
      <c r="B56" s="11">
        <f t="shared" si="0"/>
        <v>2014</v>
      </c>
      <c r="C56" s="12">
        <v>41974</v>
      </c>
      <c r="D56" s="13">
        <v>0.64359</v>
      </c>
      <c r="E56" s="13"/>
      <c r="F56" s="14">
        <v>2382</v>
      </c>
      <c r="G56" s="15">
        <v>38.759</v>
      </c>
      <c r="H56" s="16">
        <v>4006.4086876326919</v>
      </c>
      <c r="I56" s="16">
        <f t="shared" si="2"/>
        <v>1624.4086876326919</v>
      </c>
      <c r="J56" s="17">
        <f t="shared" si="3"/>
        <v>0.59454743280508338</v>
      </c>
      <c r="K56" s="18">
        <v>1</v>
      </c>
      <c r="L56" s="19" t="str">
        <f t="shared" si="1"/>
        <v/>
      </c>
      <c r="M56" s="19">
        <f t="shared" si="1"/>
        <v>7169.9476250677262</v>
      </c>
      <c r="N56" s="20"/>
      <c r="P56" s="26">
        <f>IF(_xlfn.MINIFS($C:$C,$B:$B,P48,$C:$C,"&gt;"&amp;MAX(P49:P55),$F:$F,"&lt;&gt;"&amp;"")&gt;0,_xlfn.MINIFS($C:$C,$B:$B,P48,$C:$C,"&gt;"&amp;MAX(P49:P55),$F:$F,"&lt;&gt;"&amp;""),"")</f>
        <v>41487</v>
      </c>
      <c r="Q56" s="27">
        <f>IFERROR(VLOOKUP($P56,$C:$J,6,FALSE),"")</f>
        <v>18733.441504606621</v>
      </c>
      <c r="R56" s="27">
        <f>IFERROR(VLOOKUP($P56,$C:$J,4,FALSE),"")</f>
        <v>15430</v>
      </c>
      <c r="S56" s="28">
        <f>IFERROR(VLOOKUP($P56,$C:$J,8,FALSE),"")</f>
        <v>0.82366072438989424</v>
      </c>
    </row>
    <row r="57" spans="1:20" hidden="1" x14ac:dyDescent="0.25">
      <c r="A57" s="10">
        <f t="shared" si="4"/>
        <v>55</v>
      </c>
      <c r="B57" s="11">
        <f t="shared" si="0"/>
        <v>2015</v>
      </c>
      <c r="C57" s="12">
        <v>42005</v>
      </c>
      <c r="D57" s="13">
        <v>0.64359</v>
      </c>
      <c r="E57" s="13"/>
      <c r="F57" s="14">
        <v>3736</v>
      </c>
      <c r="G57" s="15">
        <v>51.41</v>
      </c>
      <c r="H57" s="16">
        <v>5314.1069333882888</v>
      </c>
      <c r="I57" s="16">
        <f t="shared" si="2"/>
        <v>1578.1069333882888</v>
      </c>
      <c r="J57" s="17">
        <f t="shared" si="3"/>
        <v>0.70303440386697613</v>
      </c>
      <c r="K57" s="18">
        <v>1</v>
      </c>
      <c r="L57" s="19" t="str">
        <f t="shared" si="1"/>
        <v/>
      </c>
      <c r="M57" s="19">
        <f t="shared" si="1"/>
        <v>8478.2467742981262</v>
      </c>
      <c r="N57" s="20"/>
      <c r="P57" s="26">
        <f>IF(_xlfn.MINIFS($C:$C,$B:$B,P48,$C:$C,"&gt;"&amp;MAX(P49:P56),$F:$F,"&lt;&gt;"&amp;"")&gt;0,_xlfn.MINIFS($C:$C,$B:$B,P48,$C:$C,"&gt;"&amp;MAX(P49:P56),$F:$F,"&lt;&gt;"&amp;""),"")</f>
        <v>41518</v>
      </c>
      <c r="Q57" s="27">
        <f>IFERROR(VLOOKUP($P57,$C:$J,6,FALSE),"")</f>
        <v>12637.982026781801</v>
      </c>
      <c r="R57" s="27">
        <f>IFERROR(VLOOKUP($P57,$C:$J,4,FALSE),"")</f>
        <v>10803</v>
      </c>
      <c r="S57" s="28">
        <f>IFERROR(VLOOKUP($P57,$C:$J,8,FALSE),"")</f>
        <v>0.85480419081992709</v>
      </c>
    </row>
    <row r="58" spans="1:20" hidden="1" x14ac:dyDescent="0.25">
      <c r="A58" s="10">
        <f t="shared" si="4"/>
        <v>56</v>
      </c>
      <c r="B58" s="11">
        <f t="shared" si="0"/>
        <v>2015</v>
      </c>
      <c r="C58" s="12">
        <v>42036</v>
      </c>
      <c r="D58" s="13">
        <v>0.64359</v>
      </c>
      <c r="E58" s="13"/>
      <c r="F58" s="14">
        <v>4910</v>
      </c>
      <c r="G58" s="15">
        <v>62.308999999999997</v>
      </c>
      <c r="H58" s="16">
        <v>6440.7058726413316</v>
      </c>
      <c r="I58" s="16">
        <f t="shared" si="2"/>
        <v>1530.7058726413316</v>
      </c>
      <c r="J58" s="17">
        <f t="shared" si="3"/>
        <v>0.76233880215778438</v>
      </c>
      <c r="K58" s="18">
        <v>1</v>
      </c>
      <c r="L58" s="19" t="str">
        <f t="shared" si="1"/>
        <v/>
      </c>
      <c r="M58" s="19">
        <f t="shared" si="1"/>
        <v>9193.428450678608</v>
      </c>
      <c r="N58" s="20"/>
      <c r="P58" s="26">
        <f>IF(_xlfn.MINIFS($C:$C,$B:$B,P48,$C:$C,"&gt;"&amp;MAX(P49:P57),$F:$F,"&lt;&gt;"&amp;"")&gt;0,_xlfn.MINIFS($C:$C,$B:$B,P48,$C:$C,"&gt;"&amp;MAX(P49:P57),$F:$F,"&lt;&gt;"&amp;""),"")</f>
        <v>41548</v>
      </c>
      <c r="Q58" s="27">
        <f>IFERROR(VLOOKUP($P58,$C:$J,6,FALSE),"")</f>
        <v>7365.2219670242312</v>
      </c>
      <c r="R58" s="27">
        <f>IFERROR(VLOOKUP($P58,$C:$J,4,FALSE),"")</f>
        <v>6392</v>
      </c>
      <c r="S58" s="28">
        <f>IFERROR(VLOOKUP($P58,$C:$J,8,FALSE),"")</f>
        <v>0.86786250687602262</v>
      </c>
    </row>
    <row r="59" spans="1:20" hidden="1" x14ac:dyDescent="0.25">
      <c r="A59" s="10">
        <f t="shared" si="4"/>
        <v>57</v>
      </c>
      <c r="B59" s="11">
        <f t="shared" si="0"/>
        <v>2015</v>
      </c>
      <c r="C59" s="12">
        <v>42064</v>
      </c>
      <c r="D59" s="13">
        <v>0.64359</v>
      </c>
      <c r="E59" s="13"/>
      <c r="F59" s="14">
        <v>9944</v>
      </c>
      <c r="G59" s="15">
        <v>116.827</v>
      </c>
      <c r="H59" s="16">
        <v>12076.078014140316</v>
      </c>
      <c r="I59" s="16">
        <f t="shared" si="2"/>
        <v>2132.0780141403156</v>
      </c>
      <c r="J59" s="17">
        <f t="shared" si="3"/>
        <v>0.82344615431899426</v>
      </c>
      <c r="K59" s="18">
        <v>1</v>
      </c>
      <c r="L59" s="19" t="str">
        <f t="shared" si="1"/>
        <v/>
      </c>
      <c r="M59" s="19">
        <f t="shared" si="1"/>
        <v>9930.3528579295325</v>
      </c>
      <c r="N59" s="20"/>
      <c r="P59" s="26">
        <f>IF(_xlfn.MINIFS($C:$C,$B:$B,P48,$C:$C,"&gt;"&amp;MAX(P49:P58),$F:$F,"&lt;&gt;"&amp;"")&gt;0,_xlfn.MINIFS($C:$C,$B:$B,P48,$C:$C,"&gt;"&amp;MAX(P49:P58),$F:$F,"&lt;&gt;"&amp;""),"")</f>
        <v>41579</v>
      </c>
      <c r="Q59" s="27">
        <f>IFERROR(VLOOKUP($P59,$C:$J,6,FALSE),"")</f>
        <v>5307.3880664232966</v>
      </c>
      <c r="R59" s="27">
        <f>IFERROR(VLOOKUP($P59,$C:$J,4,FALSE),"")</f>
        <v>3969</v>
      </c>
      <c r="S59" s="28">
        <f>IFERROR(VLOOKUP($P59,$C:$J,8,FALSE),"")</f>
        <v>0.74782547466417881</v>
      </c>
      <c r="T59" s="35"/>
    </row>
    <row r="60" spans="1:20" hidden="1" x14ac:dyDescent="0.25">
      <c r="A60" s="10">
        <f t="shared" si="4"/>
        <v>58</v>
      </c>
      <c r="B60" s="11">
        <f t="shared" si="0"/>
        <v>2015</v>
      </c>
      <c r="C60" s="12">
        <v>42095</v>
      </c>
      <c r="D60" s="13">
        <v>0.64359</v>
      </c>
      <c r="E60" s="13"/>
      <c r="F60" s="14">
        <v>13513</v>
      </c>
      <c r="G60" s="15">
        <v>161.87</v>
      </c>
      <c r="H60" s="16">
        <v>16732.046086511618</v>
      </c>
      <c r="I60" s="16">
        <f t="shared" si="2"/>
        <v>3219.0460865116183</v>
      </c>
      <c r="J60" s="17">
        <f t="shared" si="3"/>
        <v>0.80761192804108861</v>
      </c>
      <c r="K60" s="18">
        <v>1</v>
      </c>
      <c r="L60" s="19" t="str">
        <f t="shared" si="1"/>
        <v/>
      </c>
      <c r="M60" s="19">
        <f t="shared" si="1"/>
        <v>9739.3999299849675</v>
      </c>
      <c r="N60" s="20"/>
      <c r="P60" s="29">
        <f>IF(_xlfn.MINIFS($C:$C,$B:$B,P48,$C:$C,"&gt;"&amp;MAX(P49:P59),$F:$F,"&lt;&gt;"&amp;"")&gt;0,_xlfn.MINIFS($C:$C,$B:$B,P48,$C:$C,"&gt;"&amp;MAX(P49:P59),$F:$F,"&lt;&gt;"&amp;""),"")</f>
        <v>41609</v>
      </c>
      <c r="Q60" s="30">
        <f>IFERROR(VLOOKUP($P60,$C:$J,6,FALSE),"")</f>
        <v>5564.875721958605</v>
      </c>
      <c r="R60" s="30">
        <f>IFERROR(VLOOKUP($P60,$C:$J,4,FALSE),"")</f>
        <v>4814</v>
      </c>
      <c r="S60" s="31">
        <f>IFERROR(VLOOKUP($P60,$C:$J,8,FALSE),"")</f>
        <v>0.86506873477952029</v>
      </c>
      <c r="T60" s="35"/>
    </row>
    <row r="61" spans="1:20" hidden="1" x14ac:dyDescent="0.25">
      <c r="A61" s="10">
        <f t="shared" si="4"/>
        <v>59</v>
      </c>
      <c r="B61" s="11">
        <f t="shared" si="0"/>
        <v>2015</v>
      </c>
      <c r="C61" s="12">
        <v>42125</v>
      </c>
      <c r="D61" s="13">
        <v>0.64359</v>
      </c>
      <c r="E61" s="13"/>
      <c r="F61" s="14">
        <v>15314</v>
      </c>
      <c r="G61" s="15">
        <v>178.61799999999999</v>
      </c>
      <c r="H61" s="16">
        <v>18463.239685429864</v>
      </c>
      <c r="I61" s="16">
        <f t="shared" si="2"/>
        <v>3149.239685429864</v>
      </c>
      <c r="J61" s="17">
        <f t="shared" si="3"/>
        <v>0.82943190149261481</v>
      </c>
      <c r="K61" s="18">
        <v>1</v>
      </c>
      <c r="L61" s="19" t="str">
        <f t="shared" si="1"/>
        <v/>
      </c>
      <c r="M61" s="19">
        <f t="shared" si="1"/>
        <v>10002.538004755028</v>
      </c>
      <c r="N61" s="20"/>
      <c r="P61" s="32" t="str">
        <f>"TOTAL "&amp;$P48</f>
        <v>TOTAL 2013</v>
      </c>
      <c r="Q61" s="33">
        <f>SUM(Q49:Q60)</f>
        <v>136252.42001899317</v>
      </c>
      <c r="R61" s="33">
        <f>SUM(R49:R60)</f>
        <v>112828</v>
      </c>
      <c r="S61" s="34">
        <f>IFERROR(R61/Q61,"")</f>
        <v>0.82808070479975415</v>
      </c>
    </row>
    <row r="62" spans="1:20" hidden="1" x14ac:dyDescent="0.25">
      <c r="A62" s="10">
        <f t="shared" si="4"/>
        <v>60</v>
      </c>
      <c r="B62" s="11">
        <f t="shared" si="0"/>
        <v>2015</v>
      </c>
      <c r="C62" s="12">
        <v>42156</v>
      </c>
      <c r="D62" s="13">
        <v>0.64359</v>
      </c>
      <c r="E62" s="13"/>
      <c r="F62" s="14">
        <v>16555</v>
      </c>
      <c r="G62" s="15">
        <v>199.03</v>
      </c>
      <c r="H62" s="16">
        <v>20573.170646805505</v>
      </c>
      <c r="I62" s="16">
        <f t="shared" si="2"/>
        <v>4018.1706468055054</v>
      </c>
      <c r="J62" s="17">
        <f t="shared" si="3"/>
        <v>0.80468880000130527</v>
      </c>
      <c r="K62" s="18">
        <v>1</v>
      </c>
      <c r="L62" s="19" t="str">
        <f t="shared" si="1"/>
        <v/>
      </c>
      <c r="M62" s="19">
        <f t="shared" si="1"/>
        <v>9704.1484533319945</v>
      </c>
      <c r="N62" s="20"/>
    </row>
    <row r="63" spans="1:20" hidden="1" x14ac:dyDescent="0.25">
      <c r="A63" s="10">
        <f t="shared" si="4"/>
        <v>61</v>
      </c>
      <c r="B63" s="11">
        <f t="shared" si="0"/>
        <v>2015</v>
      </c>
      <c r="C63" s="12">
        <v>42186</v>
      </c>
      <c r="D63" s="13">
        <v>0.64359</v>
      </c>
      <c r="E63" s="13"/>
      <c r="F63" s="14">
        <v>17905</v>
      </c>
      <c r="G63" s="15">
        <v>215.54400000000001</v>
      </c>
      <c r="H63" s="16">
        <v>22280.176324649783</v>
      </c>
      <c r="I63" s="16">
        <f t="shared" si="2"/>
        <v>4375.1763246497831</v>
      </c>
      <c r="J63" s="17">
        <f t="shared" si="3"/>
        <v>0.80362918762858782</v>
      </c>
      <c r="K63" s="18">
        <v>1</v>
      </c>
      <c r="L63" s="19" t="str">
        <f t="shared" si="1"/>
        <v/>
      </c>
      <c r="M63" s="19">
        <f t="shared" si="1"/>
        <v>9691.3700528275749</v>
      </c>
      <c r="N63" s="20"/>
      <c r="P63" s="21">
        <f>_xlfn.MINIFS($B:$B,$B:$B,"&gt;"&amp;MAX($P$3,$P$18,$P$33,P48))</f>
        <v>2014</v>
      </c>
      <c r="Q63" s="22" t="s">
        <v>13</v>
      </c>
      <c r="R63" s="22" t="s">
        <v>14</v>
      </c>
      <c r="S63" s="22" t="s">
        <v>15</v>
      </c>
    </row>
    <row r="64" spans="1:20" hidden="1" x14ac:dyDescent="0.25">
      <c r="A64" s="10">
        <f t="shared" si="4"/>
        <v>62</v>
      </c>
      <c r="B64" s="11">
        <f t="shared" si="0"/>
        <v>2015</v>
      </c>
      <c r="C64" s="12">
        <v>42217</v>
      </c>
      <c r="D64" s="13">
        <v>0.64314000000000004</v>
      </c>
      <c r="E64" s="13"/>
      <c r="F64" s="14">
        <v>14474</v>
      </c>
      <c r="G64" s="15">
        <v>172.87899999999999</v>
      </c>
      <c r="H64" s="16">
        <v>17870.01541601311</v>
      </c>
      <c r="I64" s="16">
        <f t="shared" si="2"/>
        <v>3396.0154160131096</v>
      </c>
      <c r="J64" s="17">
        <f t="shared" si="3"/>
        <v>0.80996012947084639</v>
      </c>
      <c r="K64" s="18">
        <v>1</v>
      </c>
      <c r="L64" s="19" t="str">
        <f t="shared" si="1"/>
        <v/>
      </c>
      <c r="M64" s="19">
        <f t="shared" si="1"/>
        <v>9767.7180764195382</v>
      </c>
      <c r="N64" s="20"/>
      <c r="P64" s="23">
        <f>_xlfn.MINIFS(C:C,B:B,P63,F:F,"&gt;"&amp;0)</f>
        <v>41640</v>
      </c>
      <c r="Q64" s="24">
        <f>IFERROR(VLOOKUP($P64,$C:$J,6,FALSE),"")</f>
        <v>4841.3054334210055</v>
      </c>
      <c r="R64" s="24">
        <f>IFERROR(VLOOKUP($P64,$C:$J,4,FALSE),"")</f>
        <v>3286</v>
      </c>
      <c r="S64" s="25">
        <f>IFERROR(VLOOKUP($P64,$C:$J,8,FALSE),"")</f>
        <v>0.67874255098960323</v>
      </c>
    </row>
    <row r="65" spans="1:20" hidden="1" x14ac:dyDescent="0.25">
      <c r="A65" s="10">
        <f t="shared" si="4"/>
        <v>63</v>
      </c>
      <c r="B65" s="11">
        <f t="shared" si="0"/>
        <v>2015</v>
      </c>
      <c r="C65" s="12">
        <v>42248</v>
      </c>
      <c r="D65" s="13">
        <v>0.64314000000000004</v>
      </c>
      <c r="E65" s="13"/>
      <c r="F65" s="14">
        <v>10760</v>
      </c>
      <c r="G65" s="15">
        <v>123.527</v>
      </c>
      <c r="H65" s="16">
        <v>12768.638147454876</v>
      </c>
      <c r="I65" s="16">
        <f t="shared" si="2"/>
        <v>2008.6381474548762</v>
      </c>
      <c r="J65" s="17">
        <f t="shared" si="3"/>
        <v>0.84268971175635909</v>
      </c>
      <c r="K65" s="18">
        <v>1</v>
      </c>
      <c r="L65" s="19" t="str">
        <f t="shared" si="1"/>
        <v/>
      </c>
      <c r="M65" s="19">
        <f t="shared" si="1"/>
        <v>10162.420631386931</v>
      </c>
      <c r="N65" s="20"/>
      <c r="P65" s="26">
        <f>IF(_xlfn.MINIFS($C:$C,$B:$B,P63,$C:$C,"&gt;"&amp;MAX(P64:P64),$F:$F,"&lt;&gt;"&amp;"")&gt;0,_xlfn.MINIFS($C:$C,$B:$B,P63,$C:$C,"&gt;"&amp;MAX(P64:P64),$F:$F,"&lt;&gt;"&amp;""),"")</f>
        <v>41671</v>
      </c>
      <c r="Q65" s="27">
        <f>IFERROR(VLOOKUP($P65,$C:$J,6,FALSE),"")</f>
        <v>7057.7045943957519</v>
      </c>
      <c r="R65" s="27">
        <f>IFERROR(VLOOKUP($P65,$C:$J,4,FALSE),"")</f>
        <v>5321</v>
      </c>
      <c r="S65" s="28">
        <f>IFERROR(VLOOKUP($P65,$C:$J,8,FALSE),"")</f>
        <v>0.75392784280390523</v>
      </c>
    </row>
    <row r="66" spans="1:20" hidden="1" x14ac:dyDescent="0.25">
      <c r="A66" s="10">
        <f t="shared" si="4"/>
        <v>64</v>
      </c>
      <c r="B66" s="11">
        <f t="shared" si="0"/>
        <v>2015</v>
      </c>
      <c r="C66" s="12">
        <v>42278</v>
      </c>
      <c r="D66" s="13">
        <v>0.64314000000000004</v>
      </c>
      <c r="E66" s="13"/>
      <c r="F66" s="14">
        <v>7071</v>
      </c>
      <c r="G66" s="15">
        <v>79.524000000000001</v>
      </c>
      <c r="H66" s="16">
        <v>8220.1719465234437</v>
      </c>
      <c r="I66" s="16">
        <f t="shared" si="2"/>
        <v>1149.1719465234437</v>
      </c>
      <c r="J66" s="17">
        <f t="shared" si="3"/>
        <v>0.86020098435903614</v>
      </c>
      <c r="K66" s="18">
        <v>1</v>
      </c>
      <c r="L66" s="19" t="str">
        <f t="shared" si="1"/>
        <v/>
      </c>
      <c r="M66" s="19">
        <f t="shared" si="1"/>
        <v>10373.597907549924</v>
      </c>
      <c r="N66" s="20"/>
      <c r="P66" s="26">
        <f>IF(_xlfn.MINIFS($C:$C,$B:$B,P63,$C:$C,"&gt;"&amp;MAX(P64:P65),$F:$F,"&lt;&gt;"&amp;"")&gt;0,_xlfn.MINIFS($C:$C,$B:$B,P63,$C:$C,"&gt;"&amp;MAX(P64:P65),$F:$F,"&lt;&gt;"&amp;""),"")</f>
        <v>41699</v>
      </c>
      <c r="Q66" s="27">
        <f>IFERROR(VLOOKUP($P66,$C:$J,6,FALSE),"")</f>
        <v>13833.733612182221</v>
      </c>
      <c r="R66" s="27">
        <f>IFERROR(VLOOKUP($P66,$C:$J,4,FALSE),"")</f>
        <v>11376</v>
      </c>
      <c r="S66" s="28">
        <f>IFERROR(VLOOKUP($P66,$C:$J,8,FALSE),"")</f>
        <v>0.82233765076856047</v>
      </c>
    </row>
    <row r="67" spans="1:20" hidden="1" x14ac:dyDescent="0.25">
      <c r="A67" s="10">
        <f t="shared" si="4"/>
        <v>65</v>
      </c>
      <c r="B67" s="11">
        <f t="shared" ref="B67:B130" si="5">IF(ISBLANK(C67),"",YEAR(C67))</f>
        <v>2015</v>
      </c>
      <c r="C67" s="12">
        <v>42309</v>
      </c>
      <c r="D67" s="13">
        <v>0.64314000000000004</v>
      </c>
      <c r="E67" s="13"/>
      <c r="F67" s="14">
        <v>5464</v>
      </c>
      <c r="G67" s="15">
        <v>66.156999999999996</v>
      </c>
      <c r="H67" s="16">
        <v>6838.4627969688581</v>
      </c>
      <c r="I67" s="16">
        <f t="shared" si="2"/>
        <v>1374.4627969688581</v>
      </c>
      <c r="J67" s="17">
        <f t="shared" si="3"/>
        <v>0.7990099766897778</v>
      </c>
      <c r="K67" s="18">
        <v>1</v>
      </c>
      <c r="L67" s="19" t="str">
        <f t="shared" ref="L67:M130" si="6">IF(AND(E67&gt;0,F67&gt;0),E67/F67*(irradiation_solaire/12)/J67,"")</f>
        <v/>
      </c>
      <c r="M67" s="19">
        <f t="shared" si="6"/>
        <v>9635.6646562973947</v>
      </c>
      <c r="N67" s="20"/>
      <c r="P67" s="26">
        <f>IF(_xlfn.MINIFS($C:$C,$B:$B,P63,$C:$C,"&gt;"&amp;MAX(P64:P66),$F:$F,"&lt;&gt;"&amp;"")&gt;0,_xlfn.MINIFS($C:$C,$B:$B,P63,$C:$C,"&gt;"&amp;MAX(P64:P66),$F:$F,"&lt;&gt;"&amp;""),"")</f>
        <v>41730</v>
      </c>
      <c r="Q67" s="27">
        <f>IFERROR(VLOOKUP($P67,$C:$J,6,FALSE),"")</f>
        <v>15781.99829766175</v>
      </c>
      <c r="R67" s="27">
        <f>IFERROR(VLOOKUP($P67,$C:$J,4,FALSE),"")</f>
        <v>12531</v>
      </c>
      <c r="S67" s="28">
        <f>IFERROR(VLOOKUP($P67,$C:$J,8,FALSE),"")</f>
        <v>0.79400591507202123</v>
      </c>
    </row>
    <row r="68" spans="1:20" hidden="1" x14ac:dyDescent="0.25">
      <c r="A68" s="10">
        <f t="shared" si="4"/>
        <v>66</v>
      </c>
      <c r="B68" s="11">
        <f t="shared" si="5"/>
        <v>2015</v>
      </c>
      <c r="C68" s="12">
        <v>42339</v>
      </c>
      <c r="D68" s="13">
        <v>0.64314000000000004</v>
      </c>
      <c r="E68" s="13"/>
      <c r="F68" s="14">
        <v>4237</v>
      </c>
      <c r="G68" s="15">
        <v>55.081000000000003</v>
      </c>
      <c r="H68" s="16">
        <v>5693.5678661342217</v>
      </c>
      <c r="I68" s="16">
        <f t="shared" ref="I68:I131" si="7">IF(AND(F68&gt;0,H68&gt;0),H68-F68,"")</f>
        <v>1456.5678661342217</v>
      </c>
      <c r="J68" s="17">
        <f t="shared" ref="J68:J131" si="8">IFERROR(F68/H68,"")</f>
        <v>0.74417309139353571</v>
      </c>
      <c r="K68" s="18">
        <v>1</v>
      </c>
      <c r="L68" s="19" t="str">
        <f t="shared" si="6"/>
        <v/>
      </c>
      <c r="M68" s="19">
        <f t="shared" si="6"/>
        <v>8974.3589743589746</v>
      </c>
      <c r="N68" s="20"/>
      <c r="P68" s="26">
        <f>IF(_xlfn.MINIFS($C:$C,$B:$B,P63,$C:$C,"&gt;"&amp;MAX(P64:P67),$F:$F,"&lt;&gt;"&amp;"")&gt;0,_xlfn.MINIFS($C:$C,$B:$B,P63,$C:$C,"&gt;"&amp;MAX(P64:P67),$F:$F,"&lt;&gt;"&amp;""),"")</f>
        <v>41760</v>
      </c>
      <c r="Q68" s="27">
        <f>IFERROR(VLOOKUP($P68,$C:$J,6,FALSE),"")</f>
        <v>17202.160039692906</v>
      </c>
      <c r="R68" s="27">
        <f>IFERROR(VLOOKUP($P68,$C:$J,4,FALSE),"")</f>
        <v>14462</v>
      </c>
      <c r="S68" s="28">
        <f>IFERROR(VLOOKUP($P68,$C:$J,8,FALSE),"")</f>
        <v>0.84070837421753086</v>
      </c>
    </row>
    <row r="69" spans="1:20" hidden="1" x14ac:dyDescent="0.25">
      <c r="A69" s="10">
        <f t="shared" ref="A69:A132" si="9">IF(C69&lt;&gt;"",A68+1,"")</f>
        <v>67</v>
      </c>
      <c r="B69" s="11">
        <f t="shared" si="5"/>
        <v>2016</v>
      </c>
      <c r="C69" s="12">
        <v>42370</v>
      </c>
      <c r="D69" s="13">
        <v>0.64314000000000004</v>
      </c>
      <c r="E69" s="13"/>
      <c r="F69" s="14">
        <v>3513</v>
      </c>
      <c r="G69" s="15">
        <v>49.837000000000003</v>
      </c>
      <c r="H69" s="16">
        <v>5151.510352835483</v>
      </c>
      <c r="I69" s="16">
        <f t="shared" si="7"/>
        <v>1638.510352835483</v>
      </c>
      <c r="J69" s="17">
        <f t="shared" si="8"/>
        <v>0.68193592934669778</v>
      </c>
      <c r="K69" s="18">
        <v>1</v>
      </c>
      <c r="L69" s="19" t="str">
        <f t="shared" si="6"/>
        <v/>
      </c>
      <c r="M69" s="19">
        <f t="shared" si="6"/>
        <v>8223.80961935911</v>
      </c>
      <c r="N69" s="20"/>
      <c r="P69" s="26">
        <f>IF(_xlfn.MINIFS($C:$C,$B:$B,P63,$C:$C,"&gt;"&amp;MAX(P64:P68),$F:$F,"&lt;&gt;"&amp;"")&gt;0,_xlfn.MINIFS($C:$C,$B:$B,P63,$C:$C,"&gt;"&amp;MAX(P64:P68),$F:$F,"&lt;&gt;"&amp;""),"")</f>
        <v>41791</v>
      </c>
      <c r="Q69" s="27">
        <f>IFERROR(VLOOKUP($P69,$C:$J,6,FALSE),"")</f>
        <v>20240.638415630441</v>
      </c>
      <c r="R69" s="27">
        <f>IFERROR(VLOOKUP($P69,$C:$J,4,FALSE),"")</f>
        <v>13481</v>
      </c>
      <c r="S69" s="28">
        <f>IFERROR(VLOOKUP($P69,$C:$J,8,FALSE),"")</f>
        <v>0.66603630395321711</v>
      </c>
    </row>
    <row r="70" spans="1:20" hidden="1" x14ac:dyDescent="0.25">
      <c r="A70" s="10">
        <f t="shared" si="9"/>
        <v>68</v>
      </c>
      <c r="B70" s="11">
        <f t="shared" si="5"/>
        <v>2016</v>
      </c>
      <c r="C70" s="12">
        <v>42401</v>
      </c>
      <c r="D70" s="13">
        <v>0.64314000000000004</v>
      </c>
      <c r="E70" s="13"/>
      <c r="F70" s="14">
        <v>4747</v>
      </c>
      <c r="G70" s="15">
        <v>60.435000000000002</v>
      </c>
      <c r="H70" s="16">
        <v>6246.995769681409</v>
      </c>
      <c r="I70" s="16">
        <f t="shared" si="7"/>
        <v>1499.995769681409</v>
      </c>
      <c r="J70" s="17">
        <f t="shared" si="8"/>
        <v>0.75988525925352002</v>
      </c>
      <c r="K70" s="18">
        <v>1</v>
      </c>
      <c r="L70" s="19" t="str">
        <f t="shared" si="6"/>
        <v/>
      </c>
      <c r="M70" s="19">
        <f t="shared" si="6"/>
        <v>9163.839938225643</v>
      </c>
      <c r="N70" s="20"/>
      <c r="P70" s="26">
        <f>IF(_xlfn.MINIFS($C:$C,$B:$B,P63,$C:$C,"&gt;"&amp;MAX(P64:P69),$F:$F,"&lt;&gt;"&amp;"")&gt;0,_xlfn.MINIFS($C:$C,$B:$B,P63,$C:$C,"&gt;"&amp;MAX(P64:P69),$F:$F,"&lt;&gt;"&amp;""),"")</f>
        <v>41821</v>
      </c>
      <c r="Q70" s="27">
        <f>IFERROR(VLOOKUP($P70,$C:$J,6,FALSE),"")</f>
        <v>15008.708393583209</v>
      </c>
      <c r="R70" s="27">
        <f>IFERROR(VLOOKUP($P70,$C:$J,4,FALSE),"")</f>
        <v>11840</v>
      </c>
      <c r="S70" s="28">
        <f>IFERROR(VLOOKUP($P70,$C:$J,8,FALSE),"")</f>
        <v>0.78887534420097394</v>
      </c>
    </row>
    <row r="71" spans="1:20" hidden="1" x14ac:dyDescent="0.25">
      <c r="A71" s="10">
        <f t="shared" si="9"/>
        <v>69</v>
      </c>
      <c r="B71" s="11">
        <f t="shared" si="5"/>
        <v>2016</v>
      </c>
      <c r="C71" s="12">
        <v>42430</v>
      </c>
      <c r="D71" s="13">
        <v>0.64314000000000004</v>
      </c>
      <c r="E71" s="13"/>
      <c r="F71" s="14">
        <v>9369</v>
      </c>
      <c r="G71" s="15">
        <v>110.723</v>
      </c>
      <c r="H71" s="16">
        <v>11445.124722535527</v>
      </c>
      <c r="I71" s="16">
        <f t="shared" si="7"/>
        <v>2076.1247225355273</v>
      </c>
      <c r="J71" s="17">
        <f t="shared" si="8"/>
        <v>0.81860182629136191</v>
      </c>
      <c r="K71" s="18">
        <v>1</v>
      </c>
      <c r="L71" s="19" t="str">
        <f t="shared" si="6"/>
        <v/>
      </c>
      <c r="M71" s="19">
        <f t="shared" si="6"/>
        <v>9871.9326607841194</v>
      </c>
      <c r="N71" s="20"/>
      <c r="P71" s="26">
        <f>IF(_xlfn.MINIFS($C:$C,$B:$B,P63,$C:$C,"&gt;"&amp;MAX(P64:P70),$F:$F,"&lt;&gt;"&amp;"")&gt;0,_xlfn.MINIFS($C:$C,$B:$B,P63,$C:$C,"&gt;"&amp;MAX(P64:P70),$F:$F,"&lt;&gt;"&amp;""),"")</f>
        <v>41852</v>
      </c>
      <c r="Q71" s="27">
        <f>IFERROR(VLOOKUP($P71,$C:$J,6,FALSE),"")</f>
        <v>16659.378956105629</v>
      </c>
      <c r="R71" s="27">
        <f>IFERROR(VLOOKUP($P71,$C:$J,4,FALSE),"")</f>
        <v>13564</v>
      </c>
      <c r="S71" s="28">
        <f>IFERROR(VLOOKUP($P71,$C:$J,8,FALSE),"")</f>
        <v>0.81419601749492709</v>
      </c>
    </row>
    <row r="72" spans="1:20" hidden="1" x14ac:dyDescent="0.25">
      <c r="A72" s="10">
        <f t="shared" si="9"/>
        <v>70</v>
      </c>
      <c r="B72" s="11">
        <f t="shared" si="5"/>
        <v>2016</v>
      </c>
      <c r="C72" s="12">
        <v>42461</v>
      </c>
      <c r="D72" s="13">
        <v>0.64314000000000004</v>
      </c>
      <c r="E72" s="13"/>
      <c r="F72" s="14">
        <v>11296</v>
      </c>
      <c r="G72" s="15">
        <v>129.21700000000001</v>
      </c>
      <c r="H72" s="16">
        <v>13356.797424851869</v>
      </c>
      <c r="I72" s="16">
        <f t="shared" si="7"/>
        <v>2060.7974248518694</v>
      </c>
      <c r="J72" s="17">
        <f t="shared" si="8"/>
        <v>0.84571171072659101</v>
      </c>
      <c r="K72" s="18">
        <v>1</v>
      </c>
      <c r="L72" s="19" t="str">
        <f t="shared" si="6"/>
        <v/>
      </c>
      <c r="M72" s="19">
        <f t="shared" si="6"/>
        <v>10198.864442501115</v>
      </c>
      <c r="N72" s="20"/>
      <c r="P72" s="26">
        <f>IF(_xlfn.MINIFS($C:$C,$B:$B,P63,$C:$C,"&gt;"&amp;MAX(P64:P71),$F:$F,"&lt;&gt;"&amp;"")&gt;0,_xlfn.MINIFS($C:$C,$B:$B,P63,$C:$C,"&gt;"&amp;MAX(P64:P71),$F:$F,"&lt;&gt;"&amp;""),"")</f>
        <v>41883</v>
      </c>
      <c r="Q72" s="27">
        <f>IFERROR(VLOOKUP($P72,$C:$J,6,FALSE),"")</f>
        <v>14087.913517827074</v>
      </c>
      <c r="R72" s="27">
        <f>IFERROR(VLOOKUP($P72,$C:$J,4,FALSE),"")</f>
        <v>11170</v>
      </c>
      <c r="S72" s="28">
        <f>IFERROR(VLOOKUP($P72,$C:$J,8,FALSE),"")</f>
        <v>0.79287823465591989</v>
      </c>
    </row>
    <row r="73" spans="1:20" hidden="1" x14ac:dyDescent="0.25">
      <c r="A73" s="10">
        <f t="shared" si="9"/>
        <v>71</v>
      </c>
      <c r="B73" s="11">
        <f t="shared" si="5"/>
        <v>2016</v>
      </c>
      <c r="C73" s="12">
        <v>42491</v>
      </c>
      <c r="D73" s="13">
        <v>0.64314000000000004</v>
      </c>
      <c r="E73" s="13"/>
      <c r="F73" s="14">
        <v>13606</v>
      </c>
      <c r="G73" s="15">
        <v>156.15600000000001</v>
      </c>
      <c r="H73" s="16">
        <v>16141.405996696783</v>
      </c>
      <c r="I73" s="16">
        <f t="shared" si="7"/>
        <v>2535.4059966967834</v>
      </c>
      <c r="J73" s="17">
        <f t="shared" si="8"/>
        <v>0.84292533146024362</v>
      </c>
      <c r="K73" s="18">
        <v>1</v>
      </c>
      <c r="L73" s="19" t="str">
        <f t="shared" si="6"/>
        <v/>
      </c>
      <c r="M73" s="19">
        <f t="shared" si="6"/>
        <v>10165.262088339012</v>
      </c>
      <c r="N73" s="20"/>
      <c r="P73" s="26">
        <f>IF(_xlfn.MINIFS($C:$C,$B:$B,P63,$C:$C,"&gt;"&amp;MAX(P64:P72),$F:$F,"&lt;&gt;"&amp;"")&gt;0,_xlfn.MINIFS($C:$C,$B:$B,P63,$C:$C,"&gt;"&amp;MAX(P64:P72),$F:$F,"&lt;&gt;"&amp;""),"")</f>
        <v>41913</v>
      </c>
      <c r="Q73" s="27">
        <f>IFERROR(VLOOKUP($P73,$C:$J,6,FALSE),"")</f>
        <v>9336.1240658165771</v>
      </c>
      <c r="R73" s="27">
        <f>IFERROR(VLOOKUP($P73,$C:$J,4,FALSE),"")</f>
        <v>7850</v>
      </c>
      <c r="S73" s="28">
        <f>IFERROR(VLOOKUP($P73,$C:$J,8,FALSE),"")</f>
        <v>0.84082001745693447</v>
      </c>
    </row>
    <row r="74" spans="1:20" hidden="1" x14ac:dyDescent="0.25">
      <c r="A74" s="10">
        <f t="shared" si="9"/>
        <v>72</v>
      </c>
      <c r="B74" s="11">
        <f t="shared" si="5"/>
        <v>2016</v>
      </c>
      <c r="C74" s="12">
        <v>42522</v>
      </c>
      <c r="D74" s="13">
        <v>0.64314000000000004</v>
      </c>
      <c r="E74" s="13"/>
      <c r="F74" s="14">
        <v>14480</v>
      </c>
      <c r="G74" s="15">
        <v>171.96100000000001</v>
      </c>
      <c r="H74" s="16">
        <v>17775.124341030609</v>
      </c>
      <c r="I74" s="16">
        <f t="shared" si="7"/>
        <v>3295.1243410306088</v>
      </c>
      <c r="J74" s="17">
        <f t="shared" si="8"/>
        <v>0.81462158701053811</v>
      </c>
      <c r="K74" s="18">
        <v>1</v>
      </c>
      <c r="L74" s="19" t="str">
        <f t="shared" si="6"/>
        <v/>
      </c>
      <c r="M74" s="19">
        <f t="shared" si="6"/>
        <v>9823.9329460362133</v>
      </c>
      <c r="N74" s="20"/>
      <c r="P74" s="26">
        <f>IF(_xlfn.MINIFS($C:$C,$B:$B,P63,$C:$C,"&gt;"&amp;MAX(P64:P73),$F:$F,"&lt;&gt;"&amp;"")&gt;0,_xlfn.MINIFS($C:$C,$B:$B,P63,$C:$C,"&gt;"&amp;MAX(P64:P73),$F:$F,"&lt;&gt;"&amp;""),"")</f>
        <v>41944</v>
      </c>
      <c r="Q74" s="27">
        <f>IFERROR(VLOOKUP($P74,$C:$J,6,FALSE),"")</f>
        <v>5236.7882796988424</v>
      </c>
      <c r="R74" s="27">
        <f>IFERROR(VLOOKUP($P74,$C:$J,4,FALSE),"")</f>
        <v>3914</v>
      </c>
      <c r="S74" s="28">
        <f>IFERROR(VLOOKUP($P74,$C:$J,8,FALSE),"")</f>
        <v>0.74740466693549168</v>
      </c>
      <c r="T74" s="35"/>
    </row>
    <row r="75" spans="1:20" hidden="1" x14ac:dyDescent="0.25">
      <c r="A75" s="10">
        <f t="shared" si="9"/>
        <v>73</v>
      </c>
      <c r="B75" s="11">
        <f t="shared" si="5"/>
        <v>2016</v>
      </c>
      <c r="C75" s="12">
        <v>42552</v>
      </c>
      <c r="D75" s="13">
        <v>0.64314000000000004</v>
      </c>
      <c r="E75" s="13"/>
      <c r="F75" s="14">
        <v>11923</v>
      </c>
      <c r="G75" s="15">
        <v>193.43</v>
      </c>
      <c r="H75" s="16">
        <v>19994.314415975427</v>
      </c>
      <c r="I75" s="16">
        <f t="shared" si="7"/>
        <v>8071.3144159754265</v>
      </c>
      <c r="J75" s="17">
        <f t="shared" si="8"/>
        <v>0.59631952123717435</v>
      </c>
      <c r="K75" s="18">
        <v>0.68666666666666665</v>
      </c>
      <c r="L75" s="19" t="str">
        <f t="shared" si="6"/>
        <v/>
      </c>
      <c r="M75" s="19">
        <f t="shared" si="6"/>
        <v>10472.79339908218</v>
      </c>
      <c r="N75" s="20"/>
      <c r="P75" s="29">
        <f>IF(_xlfn.MINIFS($C:$C,$B:$B,P63,$C:$C,"&gt;"&amp;MAX(P64:P74),$F:$F,"&lt;&gt;"&amp;"")&gt;0,_xlfn.MINIFS($C:$C,$B:$B,P63,$C:$C,"&gt;"&amp;MAX(P64:P74),$F:$F,"&lt;&gt;"&amp;""),"")</f>
        <v>41974</v>
      </c>
      <c r="Q75" s="30">
        <f>IFERROR(VLOOKUP($P75,$C:$J,6,FALSE),"")</f>
        <v>4006.4086876326919</v>
      </c>
      <c r="R75" s="30">
        <f>IFERROR(VLOOKUP($P75,$C:$J,4,FALSE),"")</f>
        <v>2382</v>
      </c>
      <c r="S75" s="31">
        <f>IFERROR(VLOOKUP($P75,$C:$J,8,FALSE),"")</f>
        <v>0.59454743280508338</v>
      </c>
      <c r="T75" s="35"/>
    </row>
    <row r="76" spans="1:20" hidden="1" x14ac:dyDescent="0.25">
      <c r="A76" s="10">
        <f t="shared" si="9"/>
        <v>74</v>
      </c>
      <c r="B76" s="11">
        <f t="shared" si="5"/>
        <v>2016</v>
      </c>
      <c r="C76" s="12">
        <v>42583</v>
      </c>
      <c r="D76" s="13">
        <v>0.64029999999999998</v>
      </c>
      <c r="E76" s="13"/>
      <c r="F76" s="14">
        <v>15662</v>
      </c>
      <c r="G76" s="15">
        <v>190.53700000000001</v>
      </c>
      <c r="H76" s="16">
        <v>19695.273152441245</v>
      </c>
      <c r="I76" s="16">
        <f t="shared" si="7"/>
        <v>4033.2731524412447</v>
      </c>
      <c r="J76" s="17">
        <f t="shared" si="8"/>
        <v>0.79521618607552458</v>
      </c>
      <c r="K76" s="18">
        <v>1</v>
      </c>
      <c r="L76" s="19" t="str">
        <f t="shared" si="6"/>
        <v/>
      </c>
      <c r="M76" s="19">
        <f t="shared" si="6"/>
        <v>9589.9134201406196</v>
      </c>
      <c r="N76" s="20"/>
      <c r="P76" s="32" t="str">
        <f>"TOTAL "&amp;$P63</f>
        <v>TOTAL 2014</v>
      </c>
      <c r="Q76" s="33">
        <f>SUM(Q64:Q75)</f>
        <v>143292.86229364813</v>
      </c>
      <c r="R76" s="33">
        <f>SUM(R64:R75)</f>
        <v>111177</v>
      </c>
      <c r="S76" s="34">
        <f>IFERROR(R76/Q76,"")</f>
        <v>0.77587256071531652</v>
      </c>
    </row>
    <row r="77" spans="1:20" hidden="1" x14ac:dyDescent="0.25">
      <c r="A77" s="10">
        <f t="shared" si="9"/>
        <v>75</v>
      </c>
      <c r="B77" s="11">
        <f t="shared" si="5"/>
        <v>2016</v>
      </c>
      <c r="C77" s="12">
        <v>42614</v>
      </c>
      <c r="D77" s="13">
        <v>0.64029999999999998</v>
      </c>
      <c r="E77" s="13"/>
      <c r="F77" s="14">
        <v>11061</v>
      </c>
      <c r="G77" s="15">
        <v>131.77600000000001</v>
      </c>
      <c r="H77" s="16">
        <v>13621.3140489044</v>
      </c>
      <c r="I77" s="16">
        <f t="shared" si="7"/>
        <v>2560.3140489043999</v>
      </c>
      <c r="J77" s="17">
        <f t="shared" si="8"/>
        <v>0.81203619271150029</v>
      </c>
      <c r="K77" s="18">
        <v>1</v>
      </c>
      <c r="L77" s="19" t="str">
        <f t="shared" si="6"/>
        <v/>
      </c>
      <c r="M77" s="19">
        <f t="shared" si="6"/>
        <v>9792.7543710539103</v>
      </c>
      <c r="N77" s="20"/>
    </row>
    <row r="78" spans="1:20" hidden="1" x14ac:dyDescent="0.25">
      <c r="A78" s="10">
        <f t="shared" si="9"/>
        <v>76</v>
      </c>
      <c r="B78" s="11">
        <f t="shared" si="5"/>
        <v>2016</v>
      </c>
      <c r="C78" s="12">
        <v>42644</v>
      </c>
      <c r="D78" s="13">
        <v>0.64029999999999998</v>
      </c>
      <c r="E78" s="13"/>
      <c r="F78" s="14">
        <v>7273</v>
      </c>
      <c r="G78" s="15">
        <v>83.522000000000006</v>
      </c>
      <c r="H78" s="16">
        <v>8633.4339484624907</v>
      </c>
      <c r="I78" s="16">
        <f t="shared" si="7"/>
        <v>1360.4339484624907</v>
      </c>
      <c r="J78" s="17">
        <f t="shared" si="8"/>
        <v>0.84242261461851253</v>
      </c>
      <c r="K78" s="18">
        <v>1</v>
      </c>
      <c r="L78" s="19" t="str">
        <f t="shared" si="6"/>
        <v/>
      </c>
      <c r="M78" s="19">
        <f t="shared" si="6"/>
        <v>10159.199572168609</v>
      </c>
      <c r="N78" s="20"/>
      <c r="P78" s="21">
        <f>_xlfn.MINIFS($B:$B,$B:$B,"&gt;"&amp;MAX($P$3,$P$18,$P$33,P48,P63))</f>
        <v>2015</v>
      </c>
      <c r="Q78" s="22" t="s">
        <v>13</v>
      </c>
      <c r="R78" s="22" t="s">
        <v>14</v>
      </c>
      <c r="S78" s="22" t="s">
        <v>15</v>
      </c>
    </row>
    <row r="79" spans="1:20" hidden="1" x14ac:dyDescent="0.25">
      <c r="A79" s="10">
        <f t="shared" si="9"/>
        <v>77</v>
      </c>
      <c r="B79" s="11">
        <f t="shared" si="5"/>
        <v>2016</v>
      </c>
      <c r="C79" s="12">
        <v>42675</v>
      </c>
      <c r="D79" s="13">
        <v>0.64029999999999998</v>
      </c>
      <c r="E79" s="13"/>
      <c r="F79" s="14">
        <v>4053</v>
      </c>
      <c r="G79" s="15">
        <v>54.52</v>
      </c>
      <c r="H79" s="16">
        <v>5635.578875867137</v>
      </c>
      <c r="I79" s="16">
        <f t="shared" si="7"/>
        <v>1582.578875867137</v>
      </c>
      <c r="J79" s="17">
        <f t="shared" si="8"/>
        <v>0.71918077792432133</v>
      </c>
      <c r="K79" s="18">
        <v>1</v>
      </c>
      <c r="L79" s="19" t="str">
        <f t="shared" si="6"/>
        <v/>
      </c>
      <c r="M79" s="19">
        <f t="shared" si="6"/>
        <v>8672.964049889948</v>
      </c>
      <c r="N79" s="20"/>
      <c r="P79" s="23">
        <f>_xlfn.MINIFS(C:C,B:B,P78,F:F,"&gt;"&amp;0)</f>
        <v>42005</v>
      </c>
      <c r="Q79" s="24">
        <f>IFERROR(VLOOKUP($P79,$C:$J,6,FALSE),"")</f>
        <v>5314.1069333882888</v>
      </c>
      <c r="R79" s="24">
        <f>IFERROR(VLOOKUP($P79,$C:$J,4,FALSE),"")</f>
        <v>3736</v>
      </c>
      <c r="S79" s="25">
        <f>IFERROR(VLOOKUP($P79,$C:$J,8,FALSE),"")</f>
        <v>0.70303440386697613</v>
      </c>
    </row>
    <row r="80" spans="1:20" hidden="1" x14ac:dyDescent="0.25">
      <c r="A80" s="10">
        <f t="shared" si="9"/>
        <v>78</v>
      </c>
      <c r="B80" s="11">
        <f t="shared" si="5"/>
        <v>2016</v>
      </c>
      <c r="C80" s="12">
        <v>42705</v>
      </c>
      <c r="D80" s="13">
        <v>0.64029999999999998</v>
      </c>
      <c r="E80" s="13"/>
      <c r="F80" s="14">
        <v>5396</v>
      </c>
      <c r="G80" s="15">
        <v>52.951000000000001</v>
      </c>
      <c r="H80" s="16">
        <v>5473.3957640506378</v>
      </c>
      <c r="I80" s="16">
        <f t="shared" si="7"/>
        <v>77.395764050637808</v>
      </c>
      <c r="J80" s="17">
        <f t="shared" si="8"/>
        <v>0.98585964410631977</v>
      </c>
      <c r="K80" s="18">
        <v>1</v>
      </c>
      <c r="L80" s="19" t="str">
        <f t="shared" si="6"/>
        <v/>
      </c>
      <c r="M80" s="19">
        <f t="shared" si="6"/>
        <v>11888.979119059761</v>
      </c>
      <c r="N80" s="20"/>
      <c r="P80" s="26">
        <f>IF(_xlfn.MINIFS($C:$C,$B:$B,P78,$C:$C,"&gt;"&amp;MAX(P79:P79),$F:$F,"&lt;&gt;"&amp;"")&gt;0,_xlfn.MINIFS($C:$C,$B:$B,P78,$C:$C,"&gt;"&amp;MAX(P79:P79),$F:$F,"&lt;&gt;"&amp;""),"")</f>
        <v>42036</v>
      </c>
      <c r="Q80" s="27">
        <f>IFERROR(VLOOKUP($P80,$C:$J,6,FALSE),"")</f>
        <v>6440.7058726413316</v>
      </c>
      <c r="R80" s="27">
        <f>IFERROR(VLOOKUP($P80,$C:$J,4,FALSE),"")</f>
        <v>4910</v>
      </c>
      <c r="S80" s="28">
        <f>IFERROR(VLOOKUP($P80,$C:$J,8,FALSE),"")</f>
        <v>0.76233880215778438</v>
      </c>
    </row>
    <row r="81" spans="1:20" hidden="1" x14ac:dyDescent="0.25">
      <c r="A81" s="10">
        <f t="shared" si="9"/>
        <v>79</v>
      </c>
      <c r="B81" s="11">
        <f t="shared" si="5"/>
        <v>2017</v>
      </c>
      <c r="C81" s="12">
        <v>42736</v>
      </c>
      <c r="D81" s="13">
        <v>0.64029999999999998</v>
      </c>
      <c r="E81" s="13"/>
      <c r="F81" s="14">
        <v>2036</v>
      </c>
      <c r="G81" s="15">
        <v>52.42</v>
      </c>
      <c r="H81" s="16">
        <v>5418.5077893058569</v>
      </c>
      <c r="I81" s="16">
        <f t="shared" si="7"/>
        <v>3382.5077893058569</v>
      </c>
      <c r="J81" s="17">
        <f t="shared" si="8"/>
        <v>0.3757492060855418</v>
      </c>
      <c r="K81" s="18">
        <v>0.61333333333333329</v>
      </c>
      <c r="L81" s="19" t="str">
        <f t="shared" si="6"/>
        <v/>
      </c>
      <c r="M81" s="19">
        <f t="shared" si="6"/>
        <v>7388.069605029611</v>
      </c>
      <c r="N81" s="20"/>
      <c r="P81" s="26">
        <f>IF(_xlfn.MINIFS($C:$C,$B:$B,P78,$C:$C,"&gt;"&amp;MAX(P79:P80),$F:$F,"&lt;&gt;"&amp;"")&gt;0,_xlfn.MINIFS($C:$C,$B:$B,P78,$C:$C,"&gt;"&amp;MAX(P79:P80),$F:$F,"&lt;&gt;"&amp;""),"")</f>
        <v>42064</v>
      </c>
      <c r="Q81" s="27">
        <f>IFERROR(VLOOKUP($P81,$C:$J,6,FALSE),"")</f>
        <v>12076.078014140316</v>
      </c>
      <c r="R81" s="27">
        <f>IFERROR(VLOOKUP($P81,$C:$J,4,FALSE),"")</f>
        <v>9944</v>
      </c>
      <c r="S81" s="28">
        <f>IFERROR(VLOOKUP($P81,$C:$J,8,FALSE),"")</f>
        <v>0.82344615431899426</v>
      </c>
    </row>
    <row r="82" spans="1:20" hidden="1" x14ac:dyDescent="0.25">
      <c r="A82" s="10">
        <f t="shared" si="9"/>
        <v>80</v>
      </c>
      <c r="B82" s="11">
        <f t="shared" si="5"/>
        <v>2017</v>
      </c>
      <c r="C82" s="12">
        <v>42767</v>
      </c>
      <c r="D82" s="13">
        <v>0.64029999999999998</v>
      </c>
      <c r="E82" s="13"/>
      <c r="F82" s="14">
        <v>0</v>
      </c>
      <c r="G82" s="15">
        <v>75.447999999999993</v>
      </c>
      <c r="H82" s="16">
        <v>7798.8473042264068</v>
      </c>
      <c r="I82" s="16" t="str">
        <f t="shared" si="7"/>
        <v/>
      </c>
      <c r="J82" s="17">
        <f t="shared" si="8"/>
        <v>0</v>
      </c>
      <c r="K82" s="18">
        <v>0</v>
      </c>
      <c r="L82" s="19" t="str">
        <f t="shared" si="6"/>
        <v/>
      </c>
      <c r="M82" s="19" t="str">
        <f t="shared" si="6"/>
        <v/>
      </c>
      <c r="N82" s="20"/>
      <c r="P82" s="26">
        <f>IF(_xlfn.MINIFS($C:$C,$B:$B,P78,$C:$C,"&gt;"&amp;MAX(P79:P81),$F:$F,"&lt;&gt;"&amp;"")&gt;0,_xlfn.MINIFS($C:$C,$B:$B,P78,$C:$C,"&gt;"&amp;MAX(P79:P81),$F:$F,"&lt;&gt;"&amp;""),"")</f>
        <v>42095</v>
      </c>
      <c r="Q82" s="27">
        <f>IFERROR(VLOOKUP($P82,$C:$J,6,FALSE),"")</f>
        <v>16732.046086511618</v>
      </c>
      <c r="R82" s="27">
        <f>IFERROR(VLOOKUP($P82,$C:$J,4,FALSE),"")</f>
        <v>13513</v>
      </c>
      <c r="S82" s="28">
        <f>IFERROR(VLOOKUP($P82,$C:$J,8,FALSE),"")</f>
        <v>0.80761192804108861</v>
      </c>
    </row>
    <row r="83" spans="1:20" hidden="1" x14ac:dyDescent="0.25">
      <c r="A83" s="10">
        <f t="shared" si="9"/>
        <v>81</v>
      </c>
      <c r="B83" s="11">
        <f t="shared" si="5"/>
        <v>2017</v>
      </c>
      <c r="C83" s="12">
        <v>42795</v>
      </c>
      <c r="D83" s="13">
        <v>0.64029999999999998</v>
      </c>
      <c r="E83" s="13"/>
      <c r="F83" s="14">
        <v>8541</v>
      </c>
      <c r="G83" s="15">
        <v>116.916</v>
      </c>
      <c r="H83" s="16">
        <v>12085.27769352315</v>
      </c>
      <c r="I83" s="16">
        <f t="shared" si="7"/>
        <v>3544.2776935231504</v>
      </c>
      <c r="J83" s="17">
        <f t="shared" si="8"/>
        <v>0.70672765794842829</v>
      </c>
      <c r="K83" s="18">
        <v>0.83214285714285707</v>
      </c>
      <c r="L83" s="19" t="str">
        <f t="shared" si="6"/>
        <v/>
      </c>
      <c r="M83" s="19">
        <f t="shared" si="6"/>
        <v>10241.974099155155</v>
      </c>
      <c r="N83" s="20"/>
      <c r="P83" s="26">
        <f>IF(_xlfn.MINIFS($C:$C,$B:$B,P78,$C:$C,"&gt;"&amp;MAX(P79:P82),$F:$F,"&lt;&gt;"&amp;"")&gt;0,_xlfn.MINIFS($C:$C,$B:$B,P78,$C:$C,"&gt;"&amp;MAX(P79:P82),$F:$F,"&lt;&gt;"&amp;""),"")</f>
        <v>42125</v>
      </c>
      <c r="Q83" s="27">
        <f>IFERROR(VLOOKUP($P83,$C:$J,6,FALSE),"")</f>
        <v>18463.239685429864</v>
      </c>
      <c r="R83" s="27">
        <f>IFERROR(VLOOKUP($P83,$C:$J,4,FALSE),"")</f>
        <v>15314</v>
      </c>
      <c r="S83" s="28">
        <f>IFERROR(VLOOKUP($P83,$C:$J,8,FALSE),"")</f>
        <v>0.82943190149261481</v>
      </c>
    </row>
    <row r="84" spans="1:20" hidden="1" x14ac:dyDescent="0.25">
      <c r="A84" s="10">
        <f t="shared" si="9"/>
        <v>82</v>
      </c>
      <c r="B84" s="11">
        <f t="shared" si="5"/>
        <v>2017</v>
      </c>
      <c r="C84" s="12">
        <v>42826</v>
      </c>
      <c r="D84" s="13">
        <v>0.64029999999999998</v>
      </c>
      <c r="E84" s="13"/>
      <c r="F84" s="14">
        <v>14069</v>
      </c>
      <c r="G84" s="15">
        <v>167.50200000000001</v>
      </c>
      <c r="H84" s="16">
        <v>17314.210067232158</v>
      </c>
      <c r="I84" s="16">
        <f t="shared" si="7"/>
        <v>3245.2100672321576</v>
      </c>
      <c r="J84" s="17">
        <f t="shared" si="8"/>
        <v>0.81256955676113407</v>
      </c>
      <c r="K84" s="18">
        <v>1</v>
      </c>
      <c r="L84" s="19" t="str">
        <f t="shared" si="6"/>
        <v/>
      </c>
      <c r="M84" s="19">
        <f t="shared" si="6"/>
        <v>9799.1864773753932</v>
      </c>
      <c r="N84" s="20"/>
      <c r="P84" s="26">
        <f>IF(_xlfn.MINIFS($C:$C,$B:$B,P78,$C:$C,"&gt;"&amp;MAX(P79:P83),$F:$F,"&lt;&gt;"&amp;"")&gt;0,_xlfn.MINIFS($C:$C,$B:$B,P78,$C:$C,"&gt;"&amp;MAX(P79:P83),$F:$F,"&lt;&gt;"&amp;""),"")</f>
        <v>42156</v>
      </c>
      <c r="Q84" s="27">
        <f>IFERROR(VLOOKUP($P84,$C:$J,6,FALSE),"")</f>
        <v>20573.170646805505</v>
      </c>
      <c r="R84" s="27">
        <f>IFERROR(VLOOKUP($P84,$C:$J,4,FALSE),"")</f>
        <v>16555</v>
      </c>
      <c r="S84" s="28">
        <f>IFERROR(VLOOKUP($P84,$C:$J,8,FALSE),"")</f>
        <v>0.80468880000130527</v>
      </c>
    </row>
    <row r="85" spans="1:20" hidden="1" x14ac:dyDescent="0.25">
      <c r="A85" s="10">
        <f t="shared" si="9"/>
        <v>83</v>
      </c>
      <c r="B85" s="11">
        <f t="shared" si="5"/>
        <v>2017</v>
      </c>
      <c r="C85" s="12">
        <v>42856</v>
      </c>
      <c r="D85" s="13">
        <v>0.64029999999999998</v>
      </c>
      <c r="E85" s="13"/>
      <c r="F85" s="14">
        <v>10754</v>
      </c>
      <c r="G85" s="15">
        <v>178.09100000000001</v>
      </c>
      <c r="H85" s="16">
        <v>18408.765179421393</v>
      </c>
      <c r="I85" s="16">
        <f t="shared" si="7"/>
        <v>7654.7651794213925</v>
      </c>
      <c r="J85" s="17">
        <f t="shared" si="8"/>
        <v>0.58417823765939358</v>
      </c>
      <c r="K85" s="18">
        <v>0.60357142857142865</v>
      </c>
      <c r="L85" s="19" t="str">
        <f t="shared" si="6"/>
        <v/>
      </c>
      <c r="M85" s="19">
        <f t="shared" si="6"/>
        <v>11672.024109917787</v>
      </c>
      <c r="N85" s="20"/>
      <c r="P85" s="26">
        <f>IF(_xlfn.MINIFS($C:$C,$B:$B,P78,$C:$C,"&gt;"&amp;MAX(P79:P84),$F:$F,"&lt;&gt;"&amp;"")&gt;0,_xlfn.MINIFS($C:$C,$B:$B,P78,$C:$C,"&gt;"&amp;MAX(P79:P84),$F:$F,"&lt;&gt;"&amp;""),"")</f>
        <v>42186</v>
      </c>
      <c r="Q85" s="27">
        <f>IFERROR(VLOOKUP($P85,$C:$J,6,FALSE),"")</f>
        <v>22280.176324649783</v>
      </c>
      <c r="R85" s="27">
        <f>IFERROR(VLOOKUP($P85,$C:$J,4,FALSE),"")</f>
        <v>17905</v>
      </c>
      <c r="S85" s="28">
        <f>IFERROR(VLOOKUP($P85,$C:$J,8,FALSE),"")</f>
        <v>0.80362918762858782</v>
      </c>
    </row>
    <row r="86" spans="1:20" hidden="1" x14ac:dyDescent="0.25">
      <c r="A86" s="10">
        <f t="shared" si="9"/>
        <v>84</v>
      </c>
      <c r="B86" s="11">
        <f t="shared" si="5"/>
        <v>2017</v>
      </c>
      <c r="C86" s="12">
        <v>42887</v>
      </c>
      <c r="D86" s="13">
        <v>0.64029999999999998</v>
      </c>
      <c r="E86" s="13"/>
      <c r="F86" s="14">
        <v>11325</v>
      </c>
      <c r="G86" s="15">
        <v>197.952</v>
      </c>
      <c r="H86" s="16">
        <v>20461.740822370717</v>
      </c>
      <c r="I86" s="16">
        <f t="shared" si="7"/>
        <v>9136.7408223707171</v>
      </c>
      <c r="J86" s="17">
        <f t="shared" si="8"/>
        <v>0.55347196987357183</v>
      </c>
      <c r="K86" s="18">
        <v>0.72333333333333338</v>
      </c>
      <c r="L86" s="19" t="str">
        <f t="shared" si="6"/>
        <v/>
      </c>
      <c r="M86" s="19">
        <f t="shared" si="6"/>
        <v>9227.5546760113884</v>
      </c>
      <c r="N86" s="20"/>
      <c r="P86" s="26">
        <f>IF(_xlfn.MINIFS($C:$C,$B:$B,P78,$C:$C,"&gt;"&amp;MAX(P79:P85),$F:$F,"&lt;&gt;"&amp;"")&gt;0,_xlfn.MINIFS($C:$C,$B:$B,P78,$C:$C,"&gt;"&amp;MAX(P79:P85),$F:$F,"&lt;&gt;"&amp;""),"")</f>
        <v>42217</v>
      </c>
      <c r="Q86" s="27">
        <f>IFERROR(VLOOKUP($P86,$C:$J,6,FALSE),"")</f>
        <v>17870.01541601311</v>
      </c>
      <c r="R86" s="27">
        <f>IFERROR(VLOOKUP($P86,$C:$J,4,FALSE),"")</f>
        <v>14474</v>
      </c>
      <c r="S86" s="28">
        <f>IFERROR(VLOOKUP($P86,$C:$J,8,FALSE),"")</f>
        <v>0.80996012947084639</v>
      </c>
    </row>
    <row r="87" spans="1:20" hidden="1" x14ac:dyDescent="0.25">
      <c r="A87" s="10">
        <f t="shared" si="9"/>
        <v>85</v>
      </c>
      <c r="B87" s="11">
        <f t="shared" si="5"/>
        <v>2017</v>
      </c>
      <c r="C87" s="12">
        <v>42917</v>
      </c>
      <c r="D87" s="13">
        <v>0.64029999999999998</v>
      </c>
      <c r="E87" s="13"/>
      <c r="F87" s="14">
        <v>15254</v>
      </c>
      <c r="G87" s="15">
        <v>181.839</v>
      </c>
      <c r="H87" s="16">
        <v>18796.185385341239</v>
      </c>
      <c r="I87" s="16">
        <f t="shared" si="7"/>
        <v>3542.1853853412395</v>
      </c>
      <c r="J87" s="17">
        <f t="shared" si="8"/>
        <v>0.81154764582691774</v>
      </c>
      <c r="K87" s="18">
        <v>1</v>
      </c>
      <c r="L87" s="19" t="str">
        <f t="shared" si="6"/>
        <v/>
      </c>
      <c r="M87" s="19">
        <f t="shared" si="6"/>
        <v>9786.8627375498854</v>
      </c>
      <c r="N87" s="20"/>
      <c r="P87" s="26">
        <f>IF(_xlfn.MINIFS($C:$C,$B:$B,P78,$C:$C,"&gt;"&amp;MAX(P79:P86),$F:$F,"&lt;&gt;"&amp;"")&gt;0,_xlfn.MINIFS($C:$C,$B:$B,P78,$C:$C,"&gt;"&amp;MAX(P79:P86),$F:$F,"&lt;&gt;"&amp;""),"")</f>
        <v>42248</v>
      </c>
      <c r="Q87" s="27">
        <f>IFERROR(VLOOKUP($P87,$C:$J,6,FALSE),"")</f>
        <v>12768.638147454876</v>
      </c>
      <c r="R87" s="27">
        <f>IFERROR(VLOOKUP($P87,$C:$J,4,FALSE),"")</f>
        <v>10760</v>
      </c>
      <c r="S87" s="28">
        <f>IFERROR(VLOOKUP($P87,$C:$J,8,FALSE),"")</f>
        <v>0.84268971175635909</v>
      </c>
    </row>
    <row r="88" spans="1:20" hidden="1" x14ac:dyDescent="0.25">
      <c r="A88" s="10">
        <f t="shared" si="9"/>
        <v>86</v>
      </c>
      <c r="B88" s="11">
        <f t="shared" si="5"/>
        <v>2017</v>
      </c>
      <c r="C88" s="12">
        <v>42948</v>
      </c>
      <c r="D88" s="13">
        <v>0.65032000000000001</v>
      </c>
      <c r="E88" s="13"/>
      <c r="F88" s="14">
        <v>14202</v>
      </c>
      <c r="G88" s="15">
        <v>171.60900000000001</v>
      </c>
      <c r="H88" s="16">
        <v>17738.739092235573</v>
      </c>
      <c r="I88" s="16">
        <f t="shared" si="7"/>
        <v>3536.7390922355735</v>
      </c>
      <c r="J88" s="17">
        <f t="shared" si="8"/>
        <v>0.80062060364912635</v>
      </c>
      <c r="K88" s="18">
        <v>1</v>
      </c>
      <c r="L88" s="19" t="str">
        <f t="shared" si="6"/>
        <v/>
      </c>
      <c r="M88" s="19">
        <f t="shared" si="6"/>
        <v>9655.0880198590967</v>
      </c>
      <c r="N88" s="20"/>
      <c r="P88" s="26">
        <f>IF(_xlfn.MINIFS($C:$C,$B:$B,P78,$C:$C,"&gt;"&amp;MAX(P79:P87),$F:$F,"&lt;&gt;"&amp;"")&gt;0,_xlfn.MINIFS($C:$C,$B:$B,P78,$C:$C,"&gt;"&amp;MAX(P79:P87),$F:$F,"&lt;&gt;"&amp;""),"")</f>
        <v>42278</v>
      </c>
      <c r="Q88" s="27">
        <f>IFERROR(VLOOKUP($P88,$C:$J,6,FALSE),"")</f>
        <v>8220.1719465234437</v>
      </c>
      <c r="R88" s="27">
        <f>IFERROR(VLOOKUP($P88,$C:$J,4,FALSE),"")</f>
        <v>7071</v>
      </c>
      <c r="S88" s="28">
        <f>IFERROR(VLOOKUP($P88,$C:$J,8,FALSE),"")</f>
        <v>0.86020098435903614</v>
      </c>
    </row>
    <row r="89" spans="1:20" hidden="1" x14ac:dyDescent="0.25">
      <c r="A89" s="10">
        <f t="shared" si="9"/>
        <v>87</v>
      </c>
      <c r="B89" s="11">
        <f t="shared" si="5"/>
        <v>2017</v>
      </c>
      <c r="C89" s="12">
        <v>42979</v>
      </c>
      <c r="D89" s="13">
        <v>0.65032000000000001</v>
      </c>
      <c r="E89" s="13"/>
      <c r="F89" s="14">
        <v>9958</v>
      </c>
      <c r="G89" s="15">
        <v>115.214</v>
      </c>
      <c r="H89" s="16">
        <v>11909.346746224437</v>
      </c>
      <c r="I89" s="16">
        <f t="shared" si="7"/>
        <v>1951.3467462244371</v>
      </c>
      <c r="J89" s="17">
        <f t="shared" si="8"/>
        <v>0.83614997633324739</v>
      </c>
      <c r="K89" s="18">
        <v>1</v>
      </c>
      <c r="L89" s="19" t="str">
        <f t="shared" si="6"/>
        <v/>
      </c>
      <c r="M89" s="19">
        <f t="shared" si="6"/>
        <v>10083.554660602589</v>
      </c>
      <c r="N89" s="20"/>
      <c r="P89" s="26">
        <f>IF(_xlfn.MINIFS($C:$C,$B:$B,P78,$C:$C,"&gt;"&amp;MAX(P79:P88),$F:$F,"&lt;&gt;"&amp;"")&gt;0,_xlfn.MINIFS($C:$C,$B:$B,P78,$C:$C,"&gt;"&amp;MAX(P79:P88),$F:$F,"&lt;&gt;"&amp;""),"")</f>
        <v>42309</v>
      </c>
      <c r="Q89" s="27">
        <f>IFERROR(VLOOKUP($P89,$C:$J,6,FALSE),"")</f>
        <v>6838.4627969688581</v>
      </c>
      <c r="R89" s="27">
        <f>IFERROR(VLOOKUP($P89,$C:$J,4,FALSE),"")</f>
        <v>5464</v>
      </c>
      <c r="S89" s="28">
        <f>IFERROR(VLOOKUP($P89,$C:$J,8,FALSE),"")</f>
        <v>0.7990099766897778</v>
      </c>
      <c r="T89" s="35"/>
    </row>
    <row r="90" spans="1:20" hidden="1" x14ac:dyDescent="0.25">
      <c r="A90" s="10">
        <f t="shared" si="9"/>
        <v>88</v>
      </c>
      <c r="B90" s="11">
        <f t="shared" si="5"/>
        <v>2017</v>
      </c>
      <c r="C90" s="12">
        <v>43009</v>
      </c>
      <c r="D90" s="13">
        <v>0.65032000000000001</v>
      </c>
      <c r="E90" s="13"/>
      <c r="F90" s="14">
        <v>8692</v>
      </c>
      <c r="G90" s="15">
        <v>98.87</v>
      </c>
      <c r="H90" s="16">
        <v>10219.913489673218</v>
      </c>
      <c r="I90" s="16">
        <f t="shared" si="7"/>
        <v>1527.9134896732176</v>
      </c>
      <c r="J90" s="17">
        <f t="shared" si="8"/>
        <v>0.85049643607872916</v>
      </c>
      <c r="K90" s="18">
        <v>1</v>
      </c>
      <c r="L90" s="19" t="str">
        <f t="shared" si="6"/>
        <v/>
      </c>
      <c r="M90" s="19">
        <f t="shared" si="6"/>
        <v>10256.565860894778</v>
      </c>
      <c r="N90" s="20"/>
      <c r="P90" s="29">
        <f>IF(_xlfn.MINIFS($C:$C,$B:$B,P78,$C:$C,"&gt;"&amp;MAX(P79:P89),$F:$F,"&lt;&gt;"&amp;"")&gt;0,_xlfn.MINIFS($C:$C,$B:$B,P78,$C:$C,"&gt;"&amp;MAX(P79:P89),$F:$F,"&lt;&gt;"&amp;""),"")</f>
        <v>42339</v>
      </c>
      <c r="Q90" s="30">
        <f>IFERROR(VLOOKUP($P90,$C:$J,6,FALSE),"")</f>
        <v>5693.5678661342217</v>
      </c>
      <c r="R90" s="30">
        <f>IFERROR(VLOOKUP($P90,$C:$J,4,FALSE),"")</f>
        <v>4237</v>
      </c>
      <c r="S90" s="31">
        <f>IFERROR(VLOOKUP($P90,$C:$J,8,FALSE),"")</f>
        <v>0.74417309139353571</v>
      </c>
      <c r="T90" s="35"/>
    </row>
    <row r="91" spans="1:20" hidden="1" x14ac:dyDescent="0.25">
      <c r="A91" s="10">
        <f t="shared" si="9"/>
        <v>89</v>
      </c>
      <c r="B91" s="11">
        <f t="shared" si="5"/>
        <v>2017</v>
      </c>
      <c r="C91" s="12">
        <v>43040</v>
      </c>
      <c r="D91" s="13">
        <v>0.65032000000000001</v>
      </c>
      <c r="E91" s="13"/>
      <c r="F91" s="14">
        <v>4390</v>
      </c>
      <c r="G91" s="15">
        <v>55.109000000000002</v>
      </c>
      <c r="H91" s="16">
        <v>5696.4621472883719</v>
      </c>
      <c r="I91" s="16">
        <f t="shared" si="7"/>
        <v>1306.4621472883719</v>
      </c>
      <c r="J91" s="17">
        <f t="shared" si="8"/>
        <v>0.77065376482659964</v>
      </c>
      <c r="K91" s="18">
        <v>1</v>
      </c>
      <c r="L91" s="19" t="str">
        <f t="shared" si="6"/>
        <v/>
      </c>
      <c r="M91" s="19">
        <f t="shared" si="6"/>
        <v>9293.7027829695089</v>
      </c>
      <c r="N91" s="20"/>
      <c r="P91" s="32" t="str">
        <f>"TOTAL "&amp;$P78</f>
        <v>TOTAL 2015</v>
      </c>
      <c r="Q91" s="33">
        <f>SUM(Q79:Q90)</f>
        <v>153270.37973666121</v>
      </c>
      <c r="R91" s="33">
        <f>SUM(R79:R90)</f>
        <v>123883</v>
      </c>
      <c r="S91" s="34">
        <f>IFERROR(R91/Q91,"")</f>
        <v>0.80826445535560998</v>
      </c>
    </row>
    <row r="92" spans="1:20" hidden="1" x14ac:dyDescent="0.25">
      <c r="A92" s="10">
        <f t="shared" si="9"/>
        <v>90</v>
      </c>
      <c r="B92" s="11">
        <f t="shared" si="5"/>
        <v>2017</v>
      </c>
      <c r="C92" s="12">
        <v>43070</v>
      </c>
      <c r="D92" s="13">
        <v>0.65032000000000001</v>
      </c>
      <c r="E92" s="13"/>
      <c r="F92" s="14">
        <v>2184</v>
      </c>
      <c r="G92" s="15">
        <v>37.487000000000002</v>
      </c>
      <c r="H92" s="16">
        <v>3874.9256294870024</v>
      </c>
      <c r="I92" s="16">
        <f t="shared" si="7"/>
        <v>1690.9256294870024</v>
      </c>
      <c r="J92" s="17">
        <f t="shared" si="8"/>
        <v>0.56362372051231802</v>
      </c>
      <c r="K92" s="18">
        <v>1</v>
      </c>
      <c r="L92" s="19" t="str">
        <f t="shared" si="6"/>
        <v/>
      </c>
      <c r="M92" s="19">
        <f t="shared" si="6"/>
        <v>6797.0229679622262</v>
      </c>
      <c r="N92" s="20"/>
    </row>
    <row r="93" spans="1:20" hidden="1" x14ac:dyDescent="0.25">
      <c r="A93" s="10">
        <f t="shared" si="9"/>
        <v>91</v>
      </c>
      <c r="B93" s="11">
        <f t="shared" si="5"/>
        <v>2018</v>
      </c>
      <c r="C93" s="12">
        <v>43101</v>
      </c>
      <c r="D93" s="13">
        <v>0.65032000000000001</v>
      </c>
      <c r="E93" s="13"/>
      <c r="F93" s="14">
        <v>3109</v>
      </c>
      <c r="G93" s="15">
        <v>42.54</v>
      </c>
      <c r="H93" s="16">
        <v>4397.2400106270725</v>
      </c>
      <c r="I93" s="16">
        <f t="shared" si="7"/>
        <v>1288.2400106270725</v>
      </c>
      <c r="J93" s="17">
        <f t="shared" si="8"/>
        <v>0.7070344107863783</v>
      </c>
      <c r="K93" s="18">
        <v>1</v>
      </c>
      <c r="L93" s="19" t="str">
        <f t="shared" si="6"/>
        <v/>
      </c>
      <c r="M93" s="19">
        <f t="shared" si="6"/>
        <v>8526.4848769785312</v>
      </c>
      <c r="N93" s="20"/>
      <c r="P93" s="21">
        <f>_xlfn.MINIFS($B:$B,$B:$B,"&gt;"&amp;MAX($P$3,$P$18,$P$33,P48,P63,P78))</f>
        <v>2016</v>
      </c>
      <c r="Q93" s="22" t="s">
        <v>13</v>
      </c>
      <c r="R93" s="22" t="s">
        <v>14</v>
      </c>
      <c r="S93" s="22" t="s">
        <v>15</v>
      </c>
    </row>
    <row r="94" spans="1:20" hidden="1" x14ac:dyDescent="0.25">
      <c r="A94" s="10">
        <f t="shared" si="9"/>
        <v>92</v>
      </c>
      <c r="B94" s="11">
        <f t="shared" si="5"/>
        <v>2018</v>
      </c>
      <c r="C94" s="12">
        <v>43132</v>
      </c>
      <c r="D94" s="13">
        <v>0.65032000000000001</v>
      </c>
      <c r="E94" s="13"/>
      <c r="F94" s="14">
        <v>4684</v>
      </c>
      <c r="G94" s="15">
        <v>60.8</v>
      </c>
      <c r="H94" s="16">
        <v>6284.7247918694402</v>
      </c>
      <c r="I94" s="16">
        <f t="shared" si="7"/>
        <v>1600.7247918694402</v>
      </c>
      <c r="J94" s="17">
        <f t="shared" si="8"/>
        <v>0.74529914278182863</v>
      </c>
      <c r="K94" s="18">
        <v>1</v>
      </c>
      <c r="L94" s="19" t="str">
        <f t="shared" si="6"/>
        <v/>
      </c>
      <c r="M94" s="19">
        <f t="shared" si="6"/>
        <v>8987.938596491229</v>
      </c>
      <c r="N94" s="20"/>
      <c r="P94" s="23">
        <f>_xlfn.MINIFS(C:C,B:B,P93,F:F,"&gt;"&amp;0)</f>
        <v>42370</v>
      </c>
      <c r="Q94" s="24">
        <f>IFERROR(VLOOKUP($P94,$C:$J,6,FALSE),"")</f>
        <v>5151.510352835483</v>
      </c>
      <c r="R94" s="24">
        <f>IFERROR(VLOOKUP($P94,$C:$J,4,FALSE),"")</f>
        <v>3513</v>
      </c>
      <c r="S94" s="25">
        <f>IFERROR(VLOOKUP($P94,$C:$J,8,FALSE),"")</f>
        <v>0.68193592934669778</v>
      </c>
    </row>
    <row r="95" spans="1:20" hidden="1" x14ac:dyDescent="0.25">
      <c r="A95" s="10">
        <f t="shared" si="9"/>
        <v>93</v>
      </c>
      <c r="B95" s="11">
        <f t="shared" si="5"/>
        <v>2018</v>
      </c>
      <c r="C95" s="12">
        <v>43160</v>
      </c>
      <c r="D95" s="13">
        <v>0.65032000000000001</v>
      </c>
      <c r="E95" s="13"/>
      <c r="F95" s="14">
        <v>8344</v>
      </c>
      <c r="G95" s="15">
        <v>102.366</v>
      </c>
      <c r="H95" s="16">
        <v>10581.285165205711</v>
      </c>
      <c r="I95" s="16">
        <f t="shared" si="7"/>
        <v>2237.2851652057107</v>
      </c>
      <c r="J95" s="17">
        <f t="shared" si="8"/>
        <v>0.78856205741788876</v>
      </c>
      <c r="K95" s="18">
        <v>1</v>
      </c>
      <c r="L95" s="19" t="str">
        <f t="shared" si="6"/>
        <v/>
      </c>
      <c r="M95" s="19">
        <f t="shared" si="6"/>
        <v>9509.667923594423</v>
      </c>
      <c r="N95" s="20"/>
      <c r="P95" s="26">
        <f>IF(_xlfn.MINIFS($C:$C,$B:$B,P93,$C:$C,"&gt;"&amp;MAX(P94:P94),$F:$F,"&lt;&gt;"&amp;"")&gt;0,_xlfn.MINIFS($C:$C,$B:$B,P93,$C:$C,"&gt;"&amp;MAX(P94:P94),$F:$F,"&lt;&gt;"&amp;""),"")</f>
        <v>42401</v>
      </c>
      <c r="Q95" s="27">
        <f>IFERROR(VLOOKUP($P95,$C:$J,6,FALSE),"")</f>
        <v>6246.995769681409</v>
      </c>
      <c r="R95" s="27">
        <f>IFERROR(VLOOKUP($P95,$C:$J,4,FALSE),"")</f>
        <v>4747</v>
      </c>
      <c r="S95" s="28">
        <f>IFERROR(VLOOKUP($P95,$C:$J,8,FALSE),"")</f>
        <v>0.75988525925352002</v>
      </c>
    </row>
    <row r="96" spans="1:20" hidden="1" x14ac:dyDescent="0.25">
      <c r="A96" s="10">
        <f t="shared" si="9"/>
        <v>94</v>
      </c>
      <c r="B96" s="11">
        <f t="shared" si="5"/>
        <v>2018</v>
      </c>
      <c r="C96" s="12">
        <v>43191</v>
      </c>
      <c r="D96" s="13">
        <v>0.65032000000000001</v>
      </c>
      <c r="E96" s="13"/>
      <c r="F96" s="14">
        <v>12660</v>
      </c>
      <c r="G96" s="15">
        <v>148.75200000000001</v>
      </c>
      <c r="H96" s="16">
        <v>15376.075365792158</v>
      </c>
      <c r="I96" s="16">
        <f t="shared" si="7"/>
        <v>2716.0753657921578</v>
      </c>
      <c r="J96" s="17">
        <f t="shared" si="8"/>
        <v>0.82335704650389974</v>
      </c>
      <c r="K96" s="18">
        <v>1</v>
      </c>
      <c r="L96" s="19" t="str">
        <f t="shared" si="6"/>
        <v/>
      </c>
      <c r="M96" s="19">
        <f t="shared" si="6"/>
        <v>9929.2782618048841</v>
      </c>
      <c r="N96" s="20"/>
      <c r="P96" s="26">
        <f>IF(_xlfn.MINIFS($C:$C,$B:$B,P93,$C:$C,"&gt;"&amp;MAX(P94:P95),$F:$F,"&lt;&gt;"&amp;"")&gt;0,_xlfn.MINIFS($C:$C,$B:$B,P93,$C:$C,"&gt;"&amp;MAX(P94:P95),$F:$F,"&lt;&gt;"&amp;""),"")</f>
        <v>42430</v>
      </c>
      <c r="Q96" s="27">
        <f>IFERROR(VLOOKUP($P96,$C:$J,6,FALSE),"")</f>
        <v>11445.124722535527</v>
      </c>
      <c r="R96" s="27">
        <f>IFERROR(VLOOKUP($P96,$C:$J,4,FALSE),"")</f>
        <v>9369</v>
      </c>
      <c r="S96" s="28">
        <f>IFERROR(VLOOKUP($P96,$C:$J,8,FALSE),"")</f>
        <v>0.81860182629136191</v>
      </c>
    </row>
    <row r="97" spans="1:20" hidden="1" x14ac:dyDescent="0.25">
      <c r="A97" s="10">
        <f t="shared" si="9"/>
        <v>95</v>
      </c>
      <c r="B97" s="11">
        <f t="shared" si="5"/>
        <v>2018</v>
      </c>
      <c r="C97" s="12">
        <v>43221</v>
      </c>
      <c r="D97" s="13">
        <v>0.65032000000000001</v>
      </c>
      <c r="E97" s="13"/>
      <c r="F97" s="14">
        <v>12451</v>
      </c>
      <c r="G97" s="15">
        <v>141.22499999999999</v>
      </c>
      <c r="H97" s="16">
        <v>14598.030571246081</v>
      </c>
      <c r="I97" s="16">
        <f t="shared" si="7"/>
        <v>2147.0305712460813</v>
      </c>
      <c r="J97" s="17">
        <f t="shared" si="8"/>
        <v>0.85292327202854923</v>
      </c>
      <c r="K97" s="18">
        <v>1</v>
      </c>
      <c r="L97" s="19" t="str">
        <f t="shared" si="6"/>
        <v/>
      </c>
      <c r="M97" s="19">
        <f t="shared" si="6"/>
        <v>10285.83230070219</v>
      </c>
      <c r="N97" s="20"/>
      <c r="P97" s="26">
        <f>IF(_xlfn.MINIFS($C:$C,$B:$B,P93,$C:$C,"&gt;"&amp;MAX(P94:P96),$F:$F,"&lt;&gt;"&amp;"")&gt;0,_xlfn.MINIFS($C:$C,$B:$B,P93,$C:$C,"&gt;"&amp;MAX(P94:P96),$F:$F,"&lt;&gt;"&amp;""),"")</f>
        <v>42461</v>
      </c>
      <c r="Q97" s="27">
        <f>IFERROR(VLOOKUP($P97,$C:$J,6,FALSE),"")</f>
        <v>13356.797424851869</v>
      </c>
      <c r="R97" s="27">
        <f>IFERROR(VLOOKUP($P97,$C:$J,4,FALSE),"")</f>
        <v>11296</v>
      </c>
      <c r="S97" s="28">
        <f>IFERROR(VLOOKUP($P97,$C:$J,8,FALSE),"")</f>
        <v>0.84571171072659101</v>
      </c>
    </row>
    <row r="98" spans="1:20" hidden="1" x14ac:dyDescent="0.25">
      <c r="A98" s="10" t="str">
        <f t="shared" si="9"/>
        <v/>
      </c>
      <c r="B98" s="11" t="str">
        <f t="shared" si="5"/>
        <v/>
      </c>
      <c r="C98" s="12"/>
      <c r="D98" s="13"/>
      <c r="E98" s="13"/>
      <c r="F98" s="14"/>
      <c r="G98" s="15"/>
      <c r="H98" s="16">
        <v>0</v>
      </c>
      <c r="I98" s="16" t="str">
        <f t="shared" si="7"/>
        <v/>
      </c>
      <c r="J98" s="17" t="str">
        <f t="shared" si="8"/>
        <v/>
      </c>
      <c r="K98" s="18">
        <v>1</v>
      </c>
      <c r="L98" s="19" t="str">
        <f t="shared" si="6"/>
        <v/>
      </c>
      <c r="M98" s="19" t="str">
        <f t="shared" si="6"/>
        <v/>
      </c>
      <c r="N98" s="20"/>
      <c r="P98" s="26">
        <f>IF(_xlfn.MINIFS($C:$C,$B:$B,P93,$C:$C,"&gt;"&amp;MAX(P94:P97),$F:$F,"&lt;&gt;"&amp;"")&gt;0,_xlfn.MINIFS($C:$C,$B:$B,P93,$C:$C,"&gt;"&amp;MAX(P94:P97),$F:$F,"&lt;&gt;"&amp;""),"")</f>
        <v>42491</v>
      </c>
      <c r="Q98" s="27">
        <f>IFERROR(VLOOKUP($P98,$C:$J,6,FALSE),"")</f>
        <v>16141.405996696783</v>
      </c>
      <c r="R98" s="27">
        <f>IFERROR(VLOOKUP($P98,$C:$J,4,FALSE),"")</f>
        <v>13606</v>
      </c>
      <c r="S98" s="28">
        <f>IFERROR(VLOOKUP($P98,$C:$J,8,FALSE),"")</f>
        <v>0.84292533146024362</v>
      </c>
    </row>
    <row r="99" spans="1:20" hidden="1" x14ac:dyDescent="0.25">
      <c r="A99" s="10" t="str">
        <f t="shared" si="9"/>
        <v/>
      </c>
      <c r="B99" s="11" t="str">
        <f t="shared" si="5"/>
        <v/>
      </c>
      <c r="C99" s="12"/>
      <c r="D99" s="13"/>
      <c r="E99" s="13"/>
      <c r="F99" s="14"/>
      <c r="G99" s="15"/>
      <c r="H99" s="16">
        <v>0</v>
      </c>
      <c r="I99" s="16" t="str">
        <f t="shared" si="7"/>
        <v/>
      </c>
      <c r="J99" s="17" t="str">
        <f t="shared" si="8"/>
        <v/>
      </c>
      <c r="K99" s="18">
        <v>1</v>
      </c>
      <c r="L99" s="19" t="str">
        <f t="shared" si="6"/>
        <v/>
      </c>
      <c r="M99" s="19" t="str">
        <f t="shared" si="6"/>
        <v/>
      </c>
      <c r="N99" s="20"/>
      <c r="P99" s="26">
        <f>IF(_xlfn.MINIFS($C:$C,$B:$B,P93,$C:$C,"&gt;"&amp;MAX(P94:P98),$F:$F,"&lt;&gt;"&amp;"")&gt;0,_xlfn.MINIFS($C:$C,$B:$B,P93,$C:$C,"&gt;"&amp;MAX(P94:P98),$F:$F,"&lt;&gt;"&amp;""),"")</f>
        <v>42522</v>
      </c>
      <c r="Q99" s="27">
        <f>IFERROR(VLOOKUP($P99,$C:$J,6,FALSE),"")</f>
        <v>17775.124341030609</v>
      </c>
      <c r="R99" s="27">
        <f>IFERROR(VLOOKUP($P99,$C:$J,4,FALSE),"")</f>
        <v>14480</v>
      </c>
      <c r="S99" s="28">
        <f>IFERROR(VLOOKUP($P99,$C:$J,8,FALSE),"")</f>
        <v>0.81462158701053811</v>
      </c>
    </row>
    <row r="100" spans="1:20" hidden="1" x14ac:dyDescent="0.25">
      <c r="A100" s="10" t="str">
        <f t="shared" si="9"/>
        <v/>
      </c>
      <c r="B100" s="11" t="str">
        <f t="shared" si="5"/>
        <v/>
      </c>
      <c r="C100" s="12"/>
      <c r="D100" s="13"/>
      <c r="E100" s="13"/>
      <c r="F100" s="14"/>
      <c r="G100" s="15"/>
      <c r="H100" s="16">
        <v>0</v>
      </c>
      <c r="I100" s="16" t="str">
        <f t="shared" si="7"/>
        <v/>
      </c>
      <c r="J100" s="17" t="str">
        <f t="shared" si="8"/>
        <v/>
      </c>
      <c r="K100" s="18">
        <v>1</v>
      </c>
      <c r="L100" s="19" t="str">
        <f t="shared" si="6"/>
        <v/>
      </c>
      <c r="M100" s="19" t="str">
        <f t="shared" si="6"/>
        <v/>
      </c>
      <c r="N100" s="20"/>
      <c r="P100" s="26">
        <f>IF(_xlfn.MINIFS($C:$C,$B:$B,P93,$C:$C,"&gt;"&amp;MAX(P94:P99),$F:$F,"&lt;&gt;"&amp;"")&gt;0,_xlfn.MINIFS($C:$C,$B:$B,P93,$C:$C,"&gt;"&amp;MAX(P94:P99),$F:$F,"&lt;&gt;"&amp;""),"")</f>
        <v>42552</v>
      </c>
      <c r="Q100" s="27">
        <f>IFERROR(VLOOKUP($P100,$C:$J,6,FALSE),"")</f>
        <v>19994.314415975427</v>
      </c>
      <c r="R100" s="27">
        <f>IFERROR(VLOOKUP($P100,$C:$J,4,FALSE),"")</f>
        <v>11923</v>
      </c>
      <c r="S100" s="28">
        <f>IFERROR(VLOOKUP($P100,$C:$J,8,FALSE),"")</f>
        <v>0.59631952123717435</v>
      </c>
    </row>
    <row r="101" spans="1:20" hidden="1" x14ac:dyDescent="0.25">
      <c r="A101" s="10" t="str">
        <f t="shared" si="9"/>
        <v/>
      </c>
      <c r="B101" s="11" t="str">
        <f t="shared" si="5"/>
        <v/>
      </c>
      <c r="C101" s="12"/>
      <c r="D101" s="13"/>
      <c r="E101" s="13"/>
      <c r="F101" s="14"/>
      <c r="G101" s="15"/>
      <c r="H101" s="16">
        <v>0</v>
      </c>
      <c r="I101" s="16" t="str">
        <f t="shared" si="7"/>
        <v/>
      </c>
      <c r="J101" s="17" t="str">
        <f t="shared" si="8"/>
        <v/>
      </c>
      <c r="K101" s="18">
        <v>1</v>
      </c>
      <c r="L101" s="19" t="str">
        <f t="shared" si="6"/>
        <v/>
      </c>
      <c r="M101" s="19" t="str">
        <f t="shared" si="6"/>
        <v/>
      </c>
      <c r="N101" s="20"/>
      <c r="P101" s="26">
        <f>IF(_xlfn.MINIFS($C:$C,$B:$B,P93,$C:$C,"&gt;"&amp;MAX(P94:P100),$F:$F,"&lt;&gt;"&amp;"")&gt;0,_xlfn.MINIFS($C:$C,$B:$B,P93,$C:$C,"&gt;"&amp;MAX(P94:P100),$F:$F,"&lt;&gt;"&amp;""),"")</f>
        <v>42583</v>
      </c>
      <c r="Q101" s="27">
        <f>IFERROR(VLOOKUP($P101,$C:$J,6,FALSE),"")</f>
        <v>19695.273152441245</v>
      </c>
      <c r="R101" s="27">
        <f>IFERROR(VLOOKUP($P101,$C:$J,4,FALSE),"")</f>
        <v>15662</v>
      </c>
      <c r="S101" s="28">
        <f>IFERROR(VLOOKUP($P101,$C:$J,8,FALSE),"")</f>
        <v>0.79521618607552458</v>
      </c>
    </row>
    <row r="102" spans="1:20" hidden="1" x14ac:dyDescent="0.25">
      <c r="A102" s="10" t="str">
        <f t="shared" si="9"/>
        <v/>
      </c>
      <c r="B102" s="11" t="str">
        <f t="shared" si="5"/>
        <v/>
      </c>
      <c r="C102" s="12"/>
      <c r="D102" s="13"/>
      <c r="E102" s="13"/>
      <c r="F102" s="14"/>
      <c r="G102" s="15"/>
      <c r="H102" s="16" t="s">
        <v>16</v>
      </c>
      <c r="I102" s="16" t="str">
        <f t="shared" si="7"/>
        <v/>
      </c>
      <c r="J102" s="17" t="str">
        <f t="shared" si="8"/>
        <v/>
      </c>
      <c r="K102" s="18"/>
      <c r="L102" s="19" t="str">
        <f t="shared" si="6"/>
        <v/>
      </c>
      <c r="M102" s="19" t="str">
        <f t="shared" si="6"/>
        <v/>
      </c>
      <c r="N102" s="20"/>
      <c r="P102" s="26">
        <f>IF(_xlfn.MINIFS($C:$C,$B:$B,P93,$C:$C,"&gt;"&amp;MAX(P94:P101),$F:$F,"&lt;&gt;"&amp;"")&gt;0,_xlfn.MINIFS($C:$C,$B:$B,P93,$C:$C,"&gt;"&amp;MAX(P94:P101),$F:$F,"&lt;&gt;"&amp;""),"")</f>
        <v>42614</v>
      </c>
      <c r="Q102" s="27">
        <f>IFERROR(VLOOKUP($P102,$C:$J,6,FALSE),"")</f>
        <v>13621.3140489044</v>
      </c>
      <c r="R102" s="27">
        <f>IFERROR(VLOOKUP($P102,$C:$J,4,FALSE),"")</f>
        <v>11061</v>
      </c>
      <c r="S102" s="28">
        <f>IFERROR(VLOOKUP($P102,$C:$J,8,FALSE),"")</f>
        <v>0.81203619271150029</v>
      </c>
    </row>
    <row r="103" spans="1:20" hidden="1" x14ac:dyDescent="0.25">
      <c r="A103" s="10" t="str">
        <f t="shared" si="9"/>
        <v/>
      </c>
      <c r="B103" s="11" t="str">
        <f t="shared" si="5"/>
        <v/>
      </c>
      <c r="C103" s="12"/>
      <c r="D103" s="13"/>
      <c r="E103" s="13"/>
      <c r="F103" s="14"/>
      <c r="G103" s="15"/>
      <c r="H103" s="16" t="s">
        <v>16</v>
      </c>
      <c r="I103" s="16" t="str">
        <f t="shared" si="7"/>
        <v/>
      </c>
      <c r="J103" s="17" t="str">
        <f t="shared" si="8"/>
        <v/>
      </c>
      <c r="K103" s="18"/>
      <c r="L103" s="19" t="str">
        <f t="shared" si="6"/>
        <v/>
      </c>
      <c r="M103" s="19" t="str">
        <f t="shared" si="6"/>
        <v/>
      </c>
      <c r="N103" s="20"/>
      <c r="P103" s="26">
        <f>IF(_xlfn.MINIFS($C:$C,$B:$B,P93,$C:$C,"&gt;"&amp;MAX(P94:P102),$F:$F,"&lt;&gt;"&amp;"")&gt;0,_xlfn.MINIFS($C:$C,$B:$B,P93,$C:$C,"&gt;"&amp;MAX(P94:P102),$F:$F,"&lt;&gt;"&amp;""),"")</f>
        <v>42644</v>
      </c>
      <c r="Q103" s="27">
        <f>IFERROR(VLOOKUP($P103,$C:$J,6,FALSE),"")</f>
        <v>8633.4339484624907</v>
      </c>
      <c r="R103" s="27">
        <f>IFERROR(VLOOKUP($P103,$C:$J,4,FALSE),"")</f>
        <v>7273</v>
      </c>
      <c r="S103" s="28">
        <f>IFERROR(VLOOKUP($P103,$C:$J,8,FALSE),"")</f>
        <v>0.84242261461851253</v>
      </c>
    </row>
    <row r="104" spans="1:20" hidden="1" x14ac:dyDescent="0.25">
      <c r="A104" s="10" t="str">
        <f t="shared" si="9"/>
        <v/>
      </c>
      <c r="B104" s="11" t="str">
        <f t="shared" si="5"/>
        <v/>
      </c>
      <c r="C104" s="12"/>
      <c r="D104" s="13"/>
      <c r="E104" s="13"/>
      <c r="F104" s="14"/>
      <c r="G104" s="15"/>
      <c r="H104" s="16" t="s">
        <v>16</v>
      </c>
      <c r="I104" s="16" t="str">
        <f t="shared" si="7"/>
        <v/>
      </c>
      <c r="J104" s="17" t="str">
        <f t="shared" si="8"/>
        <v/>
      </c>
      <c r="K104" s="18"/>
      <c r="L104" s="19" t="str">
        <f t="shared" si="6"/>
        <v/>
      </c>
      <c r="M104" s="19" t="str">
        <f t="shared" si="6"/>
        <v/>
      </c>
      <c r="N104" s="20"/>
      <c r="P104" s="26">
        <f>IF(_xlfn.MINIFS($C:$C,$B:$B,P93,$C:$C,"&gt;"&amp;MAX(P94:P103),$F:$F,"&lt;&gt;"&amp;"")&gt;0,_xlfn.MINIFS($C:$C,$B:$B,P93,$C:$C,"&gt;"&amp;MAX(P94:P103),$F:$F,"&lt;&gt;"&amp;""),"")</f>
        <v>42675</v>
      </c>
      <c r="Q104" s="27">
        <f>IFERROR(VLOOKUP($P104,$C:$J,6,FALSE),"")</f>
        <v>5635.578875867137</v>
      </c>
      <c r="R104" s="27">
        <f>IFERROR(VLOOKUP($P104,$C:$J,4,FALSE),"")</f>
        <v>4053</v>
      </c>
      <c r="S104" s="28">
        <f>IFERROR(VLOOKUP($P104,$C:$J,8,FALSE),"")</f>
        <v>0.71918077792432133</v>
      </c>
      <c r="T104" s="35"/>
    </row>
    <row r="105" spans="1:20" hidden="1" x14ac:dyDescent="0.25">
      <c r="A105" s="10" t="str">
        <f t="shared" si="9"/>
        <v/>
      </c>
      <c r="B105" s="11" t="str">
        <f t="shared" si="5"/>
        <v/>
      </c>
      <c r="C105" s="12"/>
      <c r="D105" s="13"/>
      <c r="E105" s="13"/>
      <c r="F105" s="14"/>
      <c r="G105" s="15"/>
      <c r="H105" s="16" t="s">
        <v>16</v>
      </c>
      <c r="I105" s="16" t="str">
        <f t="shared" si="7"/>
        <v/>
      </c>
      <c r="J105" s="17" t="str">
        <f t="shared" si="8"/>
        <v/>
      </c>
      <c r="K105" s="18"/>
      <c r="L105" s="19" t="str">
        <f t="shared" si="6"/>
        <v/>
      </c>
      <c r="M105" s="19" t="str">
        <f t="shared" si="6"/>
        <v/>
      </c>
      <c r="N105" s="20"/>
      <c r="P105" s="29">
        <f>IF(_xlfn.MINIFS($C:$C,$B:$B,P93,$C:$C,"&gt;"&amp;MAX(P94:P104),$F:$F,"&lt;&gt;"&amp;"")&gt;0,_xlfn.MINIFS($C:$C,$B:$B,P93,$C:$C,"&gt;"&amp;MAX(P94:P104),$F:$F,"&lt;&gt;"&amp;""),"")</f>
        <v>42705</v>
      </c>
      <c r="Q105" s="30">
        <f>IFERROR(VLOOKUP($P105,$C:$J,6,FALSE),"")</f>
        <v>5473.3957640506378</v>
      </c>
      <c r="R105" s="30">
        <f>IFERROR(VLOOKUP($P105,$C:$J,4,FALSE),"")</f>
        <v>5396</v>
      </c>
      <c r="S105" s="31">
        <f>IFERROR(VLOOKUP($P105,$C:$J,8,FALSE),"")</f>
        <v>0.98585964410631977</v>
      </c>
      <c r="T105" s="35"/>
    </row>
    <row r="106" spans="1:20" hidden="1" x14ac:dyDescent="0.25">
      <c r="A106" s="10" t="str">
        <f t="shared" si="9"/>
        <v/>
      </c>
      <c r="B106" s="11" t="str">
        <f t="shared" si="5"/>
        <v/>
      </c>
      <c r="C106" s="12"/>
      <c r="D106" s="13"/>
      <c r="E106" s="13"/>
      <c r="F106" s="14"/>
      <c r="G106" s="15"/>
      <c r="H106" s="16" t="s">
        <v>16</v>
      </c>
      <c r="I106" s="16" t="str">
        <f t="shared" si="7"/>
        <v/>
      </c>
      <c r="J106" s="17" t="str">
        <f t="shared" si="8"/>
        <v/>
      </c>
      <c r="K106" s="18"/>
      <c r="L106" s="19" t="str">
        <f t="shared" si="6"/>
        <v/>
      </c>
      <c r="M106" s="19" t="str">
        <f t="shared" si="6"/>
        <v/>
      </c>
      <c r="N106" s="20"/>
      <c r="P106" s="32" t="str">
        <f>"TOTAL "&amp;$P93</f>
        <v>TOTAL 2016</v>
      </c>
      <c r="Q106" s="33">
        <f>SUM(Q94:Q105)</f>
        <v>143170.26881333298</v>
      </c>
      <c r="R106" s="33">
        <f>SUM(R94:R105)</f>
        <v>112379</v>
      </c>
      <c r="S106" s="34">
        <f>IFERROR(R106/Q106,"")</f>
        <v>0.78493252077720843</v>
      </c>
    </row>
    <row r="107" spans="1:20" hidden="1" x14ac:dyDescent="0.25">
      <c r="A107" s="10" t="str">
        <f t="shared" si="9"/>
        <v/>
      </c>
      <c r="B107" s="11" t="str">
        <f t="shared" si="5"/>
        <v/>
      </c>
      <c r="C107" s="12"/>
      <c r="D107" s="13"/>
      <c r="E107" s="13"/>
      <c r="F107" s="14"/>
      <c r="G107" s="15"/>
      <c r="H107" s="16" t="s">
        <v>16</v>
      </c>
      <c r="I107" s="16" t="str">
        <f t="shared" si="7"/>
        <v/>
      </c>
      <c r="J107" s="17" t="str">
        <f t="shared" si="8"/>
        <v/>
      </c>
      <c r="K107" s="18"/>
      <c r="L107" s="19" t="str">
        <f t="shared" si="6"/>
        <v/>
      </c>
      <c r="M107" s="19" t="str">
        <f t="shared" si="6"/>
        <v/>
      </c>
      <c r="N107" s="20"/>
    </row>
    <row r="108" spans="1:20" hidden="1" x14ac:dyDescent="0.25">
      <c r="A108" s="10" t="str">
        <f t="shared" si="9"/>
        <v/>
      </c>
      <c r="B108" s="11" t="str">
        <f t="shared" si="5"/>
        <v/>
      </c>
      <c r="C108" s="12"/>
      <c r="D108" s="13"/>
      <c r="E108" s="13"/>
      <c r="F108" s="14"/>
      <c r="G108" s="15"/>
      <c r="H108" s="16" t="s">
        <v>16</v>
      </c>
      <c r="I108" s="16" t="str">
        <f t="shared" si="7"/>
        <v/>
      </c>
      <c r="J108" s="17" t="str">
        <f t="shared" si="8"/>
        <v/>
      </c>
      <c r="K108" s="18"/>
      <c r="L108" s="19" t="str">
        <f t="shared" si="6"/>
        <v/>
      </c>
      <c r="M108" s="19" t="str">
        <f t="shared" si="6"/>
        <v/>
      </c>
      <c r="N108" s="20"/>
      <c r="P108" s="21">
        <f>_xlfn.MINIFS($B:$B,$B:$B,"&gt;"&amp;MAX($P$3,$P$18,$P$33,P48,P63,P78,P93))</f>
        <v>2017</v>
      </c>
      <c r="Q108" s="22" t="s">
        <v>13</v>
      </c>
      <c r="R108" s="22" t="s">
        <v>14</v>
      </c>
      <c r="S108" s="22" t="s">
        <v>15</v>
      </c>
    </row>
    <row r="109" spans="1:20" hidden="1" x14ac:dyDescent="0.25">
      <c r="A109" s="10" t="str">
        <f t="shared" si="9"/>
        <v/>
      </c>
      <c r="B109" s="11" t="str">
        <f t="shared" si="5"/>
        <v/>
      </c>
      <c r="C109" s="12"/>
      <c r="D109" s="13"/>
      <c r="E109" s="13"/>
      <c r="F109" s="14"/>
      <c r="G109" s="15"/>
      <c r="H109" s="16" t="s">
        <v>16</v>
      </c>
      <c r="I109" s="16" t="str">
        <f t="shared" si="7"/>
        <v/>
      </c>
      <c r="J109" s="17" t="str">
        <f t="shared" si="8"/>
        <v/>
      </c>
      <c r="K109" s="18"/>
      <c r="L109" s="19" t="str">
        <f t="shared" si="6"/>
        <v/>
      </c>
      <c r="M109" s="19" t="str">
        <f t="shared" si="6"/>
        <v/>
      </c>
      <c r="N109" s="20"/>
      <c r="P109" s="23">
        <f>_xlfn.MINIFS(C:C,B:B,P108,F:F,"&gt;"&amp;0)</f>
        <v>42736</v>
      </c>
      <c r="Q109" s="24">
        <f>IFERROR(VLOOKUP($P109,$C:$J,6,FALSE),"")</f>
        <v>5418.5077893058569</v>
      </c>
      <c r="R109" s="24">
        <f>IFERROR(VLOOKUP($P109,$C:$J,4,FALSE),"")</f>
        <v>2036</v>
      </c>
      <c r="S109" s="25">
        <f>IFERROR(VLOOKUP($P109,$C:$J,8,FALSE),"")</f>
        <v>0.3757492060855418</v>
      </c>
    </row>
    <row r="110" spans="1:20" hidden="1" x14ac:dyDescent="0.25">
      <c r="A110" s="10" t="str">
        <f t="shared" si="9"/>
        <v/>
      </c>
      <c r="B110" s="11" t="str">
        <f t="shared" si="5"/>
        <v/>
      </c>
      <c r="C110" s="12"/>
      <c r="D110" s="13"/>
      <c r="E110" s="13"/>
      <c r="F110" s="14"/>
      <c r="G110" s="15"/>
      <c r="H110" s="16" t="s">
        <v>16</v>
      </c>
      <c r="I110" s="16" t="str">
        <f t="shared" si="7"/>
        <v/>
      </c>
      <c r="J110" s="17" t="str">
        <f t="shared" si="8"/>
        <v/>
      </c>
      <c r="K110" s="18"/>
      <c r="L110" s="19" t="str">
        <f t="shared" si="6"/>
        <v/>
      </c>
      <c r="M110" s="19" t="str">
        <f t="shared" si="6"/>
        <v/>
      </c>
      <c r="N110" s="20"/>
      <c r="P110" s="26">
        <f>IF(_xlfn.MINIFS($C:$C,$B:$B,P108,$C:$C,"&gt;"&amp;MAX(P109:P109),$F:$F,"&lt;&gt;"&amp;"")&gt;0,_xlfn.MINIFS($C:$C,$B:$B,P108,$C:$C,"&gt;"&amp;MAX(P109:P109),$F:$F,"&lt;&gt;"&amp;""),"")</f>
        <v>42767</v>
      </c>
      <c r="Q110" s="27">
        <f>IFERROR(VLOOKUP($P110,$C:$J,6,FALSE),"")</f>
        <v>7798.8473042264068</v>
      </c>
      <c r="R110" s="27">
        <f>IFERROR(VLOOKUP($P110,$C:$J,4,FALSE),"")</f>
        <v>0</v>
      </c>
      <c r="S110" s="28">
        <f>IFERROR(VLOOKUP($P110,$C:$J,8,FALSE),"")</f>
        <v>0</v>
      </c>
    </row>
    <row r="111" spans="1:20" hidden="1" x14ac:dyDescent="0.25">
      <c r="A111" s="10" t="str">
        <f t="shared" si="9"/>
        <v/>
      </c>
      <c r="B111" s="11" t="str">
        <f t="shared" si="5"/>
        <v/>
      </c>
      <c r="C111" s="12"/>
      <c r="D111" s="13"/>
      <c r="E111" s="13"/>
      <c r="F111" s="14"/>
      <c r="G111" s="15"/>
      <c r="H111" s="16" t="s">
        <v>16</v>
      </c>
      <c r="I111" s="16" t="str">
        <f t="shared" si="7"/>
        <v/>
      </c>
      <c r="J111" s="17" t="str">
        <f t="shared" si="8"/>
        <v/>
      </c>
      <c r="K111" s="18"/>
      <c r="L111" s="19" t="str">
        <f t="shared" si="6"/>
        <v/>
      </c>
      <c r="M111" s="19" t="str">
        <f t="shared" si="6"/>
        <v/>
      </c>
      <c r="N111" s="20"/>
      <c r="P111" s="26">
        <f>IF(_xlfn.MINIFS($C:$C,$B:$B,P108,$C:$C,"&gt;"&amp;MAX(P109:P110),$F:$F,"&lt;&gt;"&amp;"")&gt;0,_xlfn.MINIFS($C:$C,$B:$B,P108,$C:$C,"&gt;"&amp;MAX(P109:P110),$F:$F,"&lt;&gt;"&amp;""),"")</f>
        <v>42795</v>
      </c>
      <c r="Q111" s="27">
        <f>IFERROR(VLOOKUP($P111,$C:$J,6,FALSE),"")</f>
        <v>12085.27769352315</v>
      </c>
      <c r="R111" s="27">
        <f>IFERROR(VLOOKUP($P111,$C:$J,4,FALSE),"")</f>
        <v>8541</v>
      </c>
      <c r="S111" s="28">
        <f>IFERROR(VLOOKUP($P111,$C:$J,8,FALSE),"")</f>
        <v>0.70672765794842829</v>
      </c>
    </row>
    <row r="112" spans="1:20" hidden="1" x14ac:dyDescent="0.25">
      <c r="A112" s="10" t="str">
        <f t="shared" si="9"/>
        <v/>
      </c>
      <c r="B112" s="11" t="str">
        <f t="shared" si="5"/>
        <v/>
      </c>
      <c r="C112" s="12"/>
      <c r="D112" s="13"/>
      <c r="E112" s="13"/>
      <c r="F112" s="14"/>
      <c r="G112" s="15"/>
      <c r="H112" s="16" t="s">
        <v>16</v>
      </c>
      <c r="I112" s="16" t="str">
        <f t="shared" si="7"/>
        <v/>
      </c>
      <c r="J112" s="17" t="str">
        <f t="shared" si="8"/>
        <v/>
      </c>
      <c r="K112" s="18"/>
      <c r="L112" s="19" t="str">
        <f t="shared" si="6"/>
        <v/>
      </c>
      <c r="M112" s="19" t="str">
        <f t="shared" si="6"/>
        <v/>
      </c>
      <c r="N112" s="20"/>
      <c r="P112" s="26">
        <f>IF(_xlfn.MINIFS($C:$C,$B:$B,P108,$C:$C,"&gt;"&amp;MAX(P109:P111),$F:$F,"&lt;&gt;"&amp;"")&gt;0,_xlfn.MINIFS($C:$C,$B:$B,P108,$C:$C,"&gt;"&amp;MAX(P109:P111),$F:$F,"&lt;&gt;"&amp;""),"")</f>
        <v>42826</v>
      </c>
      <c r="Q112" s="27">
        <f>IFERROR(VLOOKUP($P112,$C:$J,6,FALSE),"")</f>
        <v>17314.210067232158</v>
      </c>
      <c r="R112" s="27">
        <f>IFERROR(VLOOKUP($P112,$C:$J,4,FALSE),"")</f>
        <v>14069</v>
      </c>
      <c r="S112" s="28">
        <f>IFERROR(VLOOKUP($P112,$C:$J,8,FALSE),"")</f>
        <v>0.81256955676113407</v>
      </c>
    </row>
    <row r="113" spans="1:20" hidden="1" x14ac:dyDescent="0.25">
      <c r="A113" s="10" t="str">
        <f t="shared" si="9"/>
        <v/>
      </c>
      <c r="B113" s="11" t="str">
        <f t="shared" si="5"/>
        <v/>
      </c>
      <c r="C113" s="12"/>
      <c r="D113" s="13"/>
      <c r="E113" s="13"/>
      <c r="F113" s="14"/>
      <c r="G113" s="15"/>
      <c r="H113" s="16" t="s">
        <v>16</v>
      </c>
      <c r="I113" s="16" t="str">
        <f t="shared" si="7"/>
        <v/>
      </c>
      <c r="J113" s="17" t="str">
        <f t="shared" si="8"/>
        <v/>
      </c>
      <c r="K113" s="18"/>
      <c r="L113" s="19" t="str">
        <f t="shared" si="6"/>
        <v/>
      </c>
      <c r="M113" s="19" t="str">
        <f t="shared" si="6"/>
        <v/>
      </c>
      <c r="N113" s="20"/>
      <c r="P113" s="26">
        <f>IF(_xlfn.MINIFS($C:$C,$B:$B,P108,$C:$C,"&gt;"&amp;MAX(P109:P112),$F:$F,"&lt;&gt;"&amp;"")&gt;0,_xlfn.MINIFS($C:$C,$B:$B,P108,$C:$C,"&gt;"&amp;MAX(P109:P112),$F:$F,"&lt;&gt;"&amp;""),"")</f>
        <v>42856</v>
      </c>
      <c r="Q113" s="27">
        <f>IFERROR(VLOOKUP($P113,$C:$J,6,FALSE),"")</f>
        <v>18408.765179421393</v>
      </c>
      <c r="R113" s="27">
        <f>IFERROR(VLOOKUP($P113,$C:$J,4,FALSE),"")</f>
        <v>10754</v>
      </c>
      <c r="S113" s="28">
        <f>IFERROR(VLOOKUP($P113,$C:$J,8,FALSE),"")</f>
        <v>0.58417823765939358</v>
      </c>
    </row>
    <row r="114" spans="1:20" hidden="1" x14ac:dyDescent="0.25">
      <c r="A114" s="10" t="str">
        <f t="shared" si="9"/>
        <v/>
      </c>
      <c r="B114" s="11" t="str">
        <f t="shared" si="5"/>
        <v/>
      </c>
      <c r="C114" s="12"/>
      <c r="D114" s="13"/>
      <c r="E114" s="13"/>
      <c r="F114" s="14"/>
      <c r="G114" s="15"/>
      <c r="H114" s="16" t="s">
        <v>16</v>
      </c>
      <c r="I114" s="16" t="str">
        <f t="shared" si="7"/>
        <v/>
      </c>
      <c r="J114" s="17" t="str">
        <f t="shared" si="8"/>
        <v/>
      </c>
      <c r="K114" s="18"/>
      <c r="L114" s="19" t="str">
        <f t="shared" si="6"/>
        <v/>
      </c>
      <c r="M114" s="19" t="str">
        <f t="shared" si="6"/>
        <v/>
      </c>
      <c r="N114" s="20"/>
      <c r="P114" s="26">
        <f>IF(_xlfn.MINIFS($C:$C,$B:$B,P108,$C:$C,"&gt;"&amp;MAX(P109:P113),$F:$F,"&lt;&gt;"&amp;"")&gt;0,_xlfn.MINIFS($C:$C,$B:$B,P108,$C:$C,"&gt;"&amp;MAX(P109:P113),$F:$F,"&lt;&gt;"&amp;""),"")</f>
        <v>42887</v>
      </c>
      <c r="Q114" s="27">
        <f>IFERROR(VLOOKUP($P114,$C:$J,6,FALSE),"")</f>
        <v>20461.740822370717</v>
      </c>
      <c r="R114" s="27">
        <f>IFERROR(VLOOKUP($P114,$C:$J,4,FALSE),"")</f>
        <v>11325</v>
      </c>
      <c r="S114" s="28">
        <f>IFERROR(VLOOKUP($P114,$C:$J,8,FALSE),"")</f>
        <v>0.55347196987357183</v>
      </c>
    </row>
    <row r="115" spans="1:20" hidden="1" x14ac:dyDescent="0.25">
      <c r="A115" s="10" t="str">
        <f t="shared" si="9"/>
        <v/>
      </c>
      <c r="B115" s="11" t="str">
        <f t="shared" si="5"/>
        <v/>
      </c>
      <c r="C115" s="12"/>
      <c r="D115" s="13"/>
      <c r="E115" s="13"/>
      <c r="F115" s="14"/>
      <c r="G115" s="15"/>
      <c r="H115" s="16" t="s">
        <v>16</v>
      </c>
      <c r="I115" s="16" t="str">
        <f t="shared" si="7"/>
        <v/>
      </c>
      <c r="J115" s="17" t="str">
        <f t="shared" si="8"/>
        <v/>
      </c>
      <c r="K115" s="18"/>
      <c r="L115" s="19" t="str">
        <f t="shared" si="6"/>
        <v/>
      </c>
      <c r="M115" s="19" t="str">
        <f t="shared" si="6"/>
        <v/>
      </c>
      <c r="N115" s="20"/>
      <c r="P115" s="26">
        <f>IF(_xlfn.MINIFS($C:$C,$B:$B,P108,$C:$C,"&gt;"&amp;MAX(P109:P114),$F:$F,"&lt;&gt;"&amp;"")&gt;0,_xlfn.MINIFS($C:$C,$B:$B,P108,$C:$C,"&gt;"&amp;MAX(P109:P114),$F:$F,"&lt;&gt;"&amp;""),"")</f>
        <v>42917</v>
      </c>
      <c r="Q115" s="27">
        <f>IFERROR(VLOOKUP($P115,$C:$J,6,FALSE),"")</f>
        <v>18796.185385341239</v>
      </c>
      <c r="R115" s="27">
        <f>IFERROR(VLOOKUP($P115,$C:$J,4,FALSE),"")</f>
        <v>15254</v>
      </c>
      <c r="S115" s="28">
        <f>IFERROR(VLOOKUP($P115,$C:$J,8,FALSE),"")</f>
        <v>0.81154764582691774</v>
      </c>
    </row>
    <row r="116" spans="1:20" hidden="1" x14ac:dyDescent="0.25">
      <c r="A116" s="10" t="str">
        <f t="shared" si="9"/>
        <v/>
      </c>
      <c r="B116" s="11" t="str">
        <f t="shared" si="5"/>
        <v/>
      </c>
      <c r="C116" s="12"/>
      <c r="D116" s="13"/>
      <c r="E116" s="13"/>
      <c r="F116" s="14"/>
      <c r="G116" s="15"/>
      <c r="H116" s="16" t="s">
        <v>16</v>
      </c>
      <c r="I116" s="16" t="str">
        <f t="shared" si="7"/>
        <v/>
      </c>
      <c r="J116" s="17" t="str">
        <f t="shared" si="8"/>
        <v/>
      </c>
      <c r="K116" s="18"/>
      <c r="L116" s="19" t="str">
        <f t="shared" si="6"/>
        <v/>
      </c>
      <c r="M116" s="19" t="str">
        <f t="shared" si="6"/>
        <v/>
      </c>
      <c r="N116" s="20"/>
      <c r="P116" s="26">
        <f>IF(_xlfn.MINIFS($C:$C,$B:$B,P108,$C:$C,"&gt;"&amp;MAX(P109:P115),$F:$F,"&lt;&gt;"&amp;"")&gt;0,_xlfn.MINIFS($C:$C,$B:$B,P108,$C:$C,"&gt;"&amp;MAX(P109:P115),$F:$F,"&lt;&gt;"&amp;""),"")</f>
        <v>42948</v>
      </c>
      <c r="Q116" s="27">
        <f>IFERROR(VLOOKUP($P116,$C:$J,6,FALSE),"")</f>
        <v>17738.739092235573</v>
      </c>
      <c r="R116" s="27">
        <f>IFERROR(VLOOKUP($P116,$C:$J,4,FALSE),"")</f>
        <v>14202</v>
      </c>
      <c r="S116" s="28">
        <f>IFERROR(VLOOKUP($P116,$C:$J,8,FALSE),"")</f>
        <v>0.80062060364912635</v>
      </c>
    </row>
    <row r="117" spans="1:20" hidden="1" x14ac:dyDescent="0.25">
      <c r="A117" s="10" t="str">
        <f t="shared" si="9"/>
        <v/>
      </c>
      <c r="B117" s="11" t="str">
        <f t="shared" si="5"/>
        <v/>
      </c>
      <c r="C117" s="12"/>
      <c r="D117" s="13"/>
      <c r="E117" s="13"/>
      <c r="F117" s="14"/>
      <c r="G117" s="15"/>
      <c r="H117" s="16" t="s">
        <v>16</v>
      </c>
      <c r="I117" s="16" t="str">
        <f t="shared" si="7"/>
        <v/>
      </c>
      <c r="J117" s="17" t="str">
        <f t="shared" si="8"/>
        <v/>
      </c>
      <c r="K117" s="18"/>
      <c r="L117" s="19" t="str">
        <f t="shared" si="6"/>
        <v/>
      </c>
      <c r="M117" s="19" t="str">
        <f t="shared" si="6"/>
        <v/>
      </c>
      <c r="N117" s="20"/>
      <c r="P117" s="26">
        <f>IF(_xlfn.MINIFS($C:$C,$B:$B,P108,$C:$C,"&gt;"&amp;MAX(P109:P116),$F:$F,"&lt;&gt;"&amp;"")&gt;0,_xlfn.MINIFS($C:$C,$B:$B,P108,$C:$C,"&gt;"&amp;MAX(P109:P116),$F:$F,"&lt;&gt;"&amp;""),"")</f>
        <v>42979</v>
      </c>
      <c r="Q117" s="27">
        <f>IFERROR(VLOOKUP($P117,$C:$J,6,FALSE),"")</f>
        <v>11909.346746224437</v>
      </c>
      <c r="R117" s="27">
        <f>IFERROR(VLOOKUP($P117,$C:$J,4,FALSE),"")</f>
        <v>9958</v>
      </c>
      <c r="S117" s="28">
        <f>IFERROR(VLOOKUP($P117,$C:$J,8,FALSE),"")</f>
        <v>0.83614997633324739</v>
      </c>
    </row>
    <row r="118" spans="1:20" hidden="1" x14ac:dyDescent="0.25">
      <c r="A118" s="10" t="str">
        <f t="shared" si="9"/>
        <v/>
      </c>
      <c r="B118" s="11" t="str">
        <f t="shared" si="5"/>
        <v/>
      </c>
      <c r="C118" s="12"/>
      <c r="D118" s="13"/>
      <c r="E118" s="13"/>
      <c r="F118" s="14"/>
      <c r="G118" s="15"/>
      <c r="H118" s="16" t="s">
        <v>16</v>
      </c>
      <c r="I118" s="16" t="str">
        <f t="shared" si="7"/>
        <v/>
      </c>
      <c r="J118" s="17" t="str">
        <f t="shared" si="8"/>
        <v/>
      </c>
      <c r="K118" s="18"/>
      <c r="L118" s="19" t="str">
        <f t="shared" si="6"/>
        <v/>
      </c>
      <c r="M118" s="19" t="str">
        <f t="shared" si="6"/>
        <v/>
      </c>
      <c r="N118" s="20"/>
      <c r="P118" s="26">
        <f>IF(_xlfn.MINIFS($C:$C,$B:$B,P108,$C:$C,"&gt;"&amp;MAX(P109:P117),$F:$F,"&lt;&gt;"&amp;"")&gt;0,_xlfn.MINIFS($C:$C,$B:$B,P108,$C:$C,"&gt;"&amp;MAX(P109:P117),$F:$F,"&lt;&gt;"&amp;""),"")</f>
        <v>43009</v>
      </c>
      <c r="Q118" s="27">
        <f>IFERROR(VLOOKUP($P118,$C:$J,6,FALSE),"")</f>
        <v>10219.913489673218</v>
      </c>
      <c r="R118" s="27">
        <f>IFERROR(VLOOKUP($P118,$C:$J,4,FALSE),"")</f>
        <v>8692</v>
      </c>
      <c r="S118" s="28">
        <f>IFERROR(VLOOKUP($P118,$C:$J,8,FALSE),"")</f>
        <v>0.85049643607872916</v>
      </c>
    </row>
    <row r="119" spans="1:20" hidden="1" x14ac:dyDescent="0.25">
      <c r="A119" s="10" t="str">
        <f t="shared" si="9"/>
        <v/>
      </c>
      <c r="B119" s="11" t="str">
        <f t="shared" si="5"/>
        <v/>
      </c>
      <c r="C119" s="12"/>
      <c r="D119" s="13"/>
      <c r="E119" s="13"/>
      <c r="F119" s="14"/>
      <c r="G119" s="15"/>
      <c r="H119" s="16" t="s">
        <v>16</v>
      </c>
      <c r="I119" s="16" t="str">
        <f t="shared" si="7"/>
        <v/>
      </c>
      <c r="J119" s="17" t="str">
        <f t="shared" si="8"/>
        <v/>
      </c>
      <c r="K119" s="18"/>
      <c r="L119" s="19" t="str">
        <f t="shared" si="6"/>
        <v/>
      </c>
      <c r="M119" s="19" t="str">
        <f t="shared" si="6"/>
        <v/>
      </c>
      <c r="N119" s="20"/>
      <c r="P119" s="26">
        <f>IF(_xlfn.MINIFS($C:$C,$B:$B,P108,$C:$C,"&gt;"&amp;MAX(P109:P118),$F:$F,"&lt;&gt;"&amp;"")&gt;0,_xlfn.MINIFS($C:$C,$B:$B,P108,$C:$C,"&gt;"&amp;MAX(P109:P118),$F:$F,"&lt;&gt;"&amp;""),"")</f>
        <v>43040</v>
      </c>
      <c r="Q119" s="27">
        <f>IFERROR(VLOOKUP($P119,$C:$J,6,FALSE),"")</f>
        <v>5696.4621472883719</v>
      </c>
      <c r="R119" s="27">
        <f>IFERROR(VLOOKUP($P119,$C:$J,4,FALSE),"")</f>
        <v>4390</v>
      </c>
      <c r="S119" s="28">
        <f>IFERROR(VLOOKUP($P119,$C:$J,8,FALSE),"")</f>
        <v>0.77065376482659964</v>
      </c>
      <c r="T119" s="35"/>
    </row>
    <row r="120" spans="1:20" hidden="1" x14ac:dyDescent="0.25">
      <c r="A120" s="10" t="str">
        <f t="shared" si="9"/>
        <v/>
      </c>
      <c r="B120" s="11" t="str">
        <f t="shared" si="5"/>
        <v/>
      </c>
      <c r="C120" s="12"/>
      <c r="D120" s="13"/>
      <c r="E120" s="13"/>
      <c r="F120" s="14"/>
      <c r="G120" s="15"/>
      <c r="H120" s="16" t="s">
        <v>16</v>
      </c>
      <c r="I120" s="16" t="str">
        <f t="shared" si="7"/>
        <v/>
      </c>
      <c r="J120" s="17" t="str">
        <f t="shared" si="8"/>
        <v/>
      </c>
      <c r="K120" s="18"/>
      <c r="L120" s="19" t="str">
        <f t="shared" si="6"/>
        <v/>
      </c>
      <c r="M120" s="19" t="str">
        <f t="shared" si="6"/>
        <v/>
      </c>
      <c r="N120" s="20"/>
      <c r="P120" s="29">
        <f>IF(_xlfn.MINIFS($C:$C,$B:$B,P108,$C:$C,"&gt;"&amp;MAX(P109:P119),$F:$F,"&lt;&gt;"&amp;"")&gt;0,_xlfn.MINIFS($C:$C,$B:$B,P108,$C:$C,"&gt;"&amp;MAX(P109:P119),$F:$F,"&lt;&gt;"&amp;""),"")</f>
        <v>43070</v>
      </c>
      <c r="Q120" s="30">
        <f>IFERROR(VLOOKUP($P120,$C:$J,6,FALSE),"")</f>
        <v>3874.9256294870024</v>
      </c>
      <c r="R120" s="30">
        <f>IFERROR(VLOOKUP($P120,$C:$J,4,FALSE),"")</f>
        <v>2184</v>
      </c>
      <c r="S120" s="31">
        <f>IFERROR(VLOOKUP($P120,$C:$J,8,FALSE),"")</f>
        <v>0.56362372051231802</v>
      </c>
      <c r="T120" s="35"/>
    </row>
    <row r="121" spans="1:20" hidden="1" x14ac:dyDescent="0.25">
      <c r="A121" s="10" t="str">
        <f t="shared" si="9"/>
        <v/>
      </c>
      <c r="B121" s="11" t="str">
        <f t="shared" si="5"/>
        <v/>
      </c>
      <c r="C121" s="12"/>
      <c r="D121" s="13"/>
      <c r="E121" s="13"/>
      <c r="F121" s="14"/>
      <c r="G121" s="15"/>
      <c r="H121" s="16" t="s">
        <v>16</v>
      </c>
      <c r="I121" s="16" t="str">
        <f t="shared" si="7"/>
        <v/>
      </c>
      <c r="J121" s="17" t="str">
        <f t="shared" si="8"/>
        <v/>
      </c>
      <c r="K121" s="18"/>
      <c r="L121" s="19" t="str">
        <f t="shared" si="6"/>
        <v/>
      </c>
      <c r="M121" s="19" t="str">
        <f t="shared" si="6"/>
        <v/>
      </c>
      <c r="N121" s="20"/>
      <c r="P121" s="32" t="str">
        <f>"TOTAL "&amp;$P108</f>
        <v>TOTAL 2017</v>
      </c>
      <c r="Q121" s="33">
        <f>SUM(Q109:Q120)</f>
        <v>149722.92134632953</v>
      </c>
      <c r="R121" s="33">
        <f>SUM(R109:R120)</f>
        <v>101405</v>
      </c>
      <c r="S121" s="34">
        <f>IFERROR(R121/Q121,"")</f>
        <v>0.67728440701097736</v>
      </c>
    </row>
    <row r="122" spans="1:20" hidden="1" x14ac:dyDescent="0.25">
      <c r="A122" s="10" t="str">
        <f t="shared" si="9"/>
        <v/>
      </c>
      <c r="B122" s="11" t="str">
        <f t="shared" si="5"/>
        <v/>
      </c>
      <c r="C122" s="12"/>
      <c r="D122" s="13"/>
      <c r="E122" s="13"/>
      <c r="F122" s="14"/>
      <c r="G122" s="15"/>
      <c r="H122" s="16" t="s">
        <v>16</v>
      </c>
      <c r="I122" s="16" t="str">
        <f t="shared" si="7"/>
        <v/>
      </c>
      <c r="J122" s="17" t="str">
        <f t="shared" si="8"/>
        <v/>
      </c>
      <c r="K122" s="18"/>
      <c r="L122" s="19" t="str">
        <f t="shared" si="6"/>
        <v/>
      </c>
      <c r="M122" s="19" t="str">
        <f t="shared" si="6"/>
        <v/>
      </c>
      <c r="N122" s="20"/>
    </row>
    <row r="123" spans="1:20" hidden="1" x14ac:dyDescent="0.25">
      <c r="A123" s="10" t="str">
        <f t="shared" si="9"/>
        <v/>
      </c>
      <c r="B123" s="11" t="str">
        <f t="shared" si="5"/>
        <v/>
      </c>
      <c r="C123" s="12"/>
      <c r="D123" s="13"/>
      <c r="E123" s="13"/>
      <c r="F123" s="14"/>
      <c r="G123" s="15"/>
      <c r="H123" s="16" t="s">
        <v>16</v>
      </c>
      <c r="I123" s="16" t="str">
        <f t="shared" si="7"/>
        <v/>
      </c>
      <c r="J123" s="17" t="str">
        <f t="shared" si="8"/>
        <v/>
      </c>
      <c r="K123" s="18"/>
      <c r="L123" s="19" t="str">
        <f t="shared" si="6"/>
        <v/>
      </c>
      <c r="M123" s="19" t="str">
        <f t="shared" si="6"/>
        <v/>
      </c>
      <c r="N123" s="20"/>
      <c r="P123" s="21">
        <f>_xlfn.MINIFS($B:$B,$B:$B,"&gt;"&amp;MAX($P$3,$P$18,$P$33,P48,P63,P78,P93,P108))</f>
        <v>2018</v>
      </c>
      <c r="Q123" s="22" t="s">
        <v>13</v>
      </c>
      <c r="R123" s="22" t="s">
        <v>14</v>
      </c>
      <c r="S123" s="22" t="s">
        <v>15</v>
      </c>
    </row>
    <row r="124" spans="1:20" hidden="1" x14ac:dyDescent="0.25">
      <c r="A124" s="10" t="str">
        <f t="shared" si="9"/>
        <v/>
      </c>
      <c r="B124" s="11" t="str">
        <f t="shared" si="5"/>
        <v/>
      </c>
      <c r="C124" s="12"/>
      <c r="D124" s="13"/>
      <c r="E124" s="13"/>
      <c r="F124" s="14"/>
      <c r="G124" s="15"/>
      <c r="H124" s="16" t="s">
        <v>16</v>
      </c>
      <c r="I124" s="16" t="str">
        <f t="shared" si="7"/>
        <v/>
      </c>
      <c r="J124" s="17" t="str">
        <f t="shared" si="8"/>
        <v/>
      </c>
      <c r="K124" s="18"/>
      <c r="L124" s="19" t="str">
        <f t="shared" si="6"/>
        <v/>
      </c>
      <c r="M124" s="19" t="str">
        <f t="shared" si="6"/>
        <v/>
      </c>
      <c r="N124" s="20"/>
      <c r="P124" s="23">
        <f>_xlfn.MINIFS(C:C,B:B,P123,F:F,"&gt;"&amp;0)</f>
        <v>43101</v>
      </c>
      <c r="Q124" s="24">
        <f>IFERROR(VLOOKUP($P124,$C:$J,6,FALSE),"")</f>
        <v>4397.2400106270725</v>
      </c>
      <c r="R124" s="24">
        <f>IFERROR(VLOOKUP($P124,$C:$J,4,FALSE),"")</f>
        <v>3109</v>
      </c>
      <c r="S124" s="25">
        <f>IFERROR(VLOOKUP($P124,$C:$J,8,FALSE),"")</f>
        <v>0.7070344107863783</v>
      </c>
    </row>
    <row r="125" spans="1:20" hidden="1" x14ac:dyDescent="0.25">
      <c r="A125" s="10" t="str">
        <f t="shared" si="9"/>
        <v/>
      </c>
      <c r="B125" s="11" t="str">
        <f t="shared" si="5"/>
        <v/>
      </c>
      <c r="C125" s="12"/>
      <c r="D125" s="13"/>
      <c r="E125" s="13"/>
      <c r="F125" s="14"/>
      <c r="G125" s="15"/>
      <c r="H125" s="16" t="s">
        <v>16</v>
      </c>
      <c r="I125" s="16" t="str">
        <f t="shared" si="7"/>
        <v/>
      </c>
      <c r="J125" s="17" t="str">
        <f t="shared" si="8"/>
        <v/>
      </c>
      <c r="K125" s="18"/>
      <c r="L125" s="19" t="str">
        <f t="shared" si="6"/>
        <v/>
      </c>
      <c r="M125" s="19" t="str">
        <f t="shared" si="6"/>
        <v/>
      </c>
      <c r="N125" s="20"/>
      <c r="P125" s="26">
        <f>IF(_xlfn.MINIFS($C:$C,$B:$B,P123,$C:$C,"&gt;"&amp;MAX(P124:P124),$F:$F,"&lt;&gt;"&amp;"")&gt;0,_xlfn.MINIFS($C:$C,$B:$B,P123,$C:$C,"&gt;"&amp;MAX(P124:P124),$F:$F,"&lt;&gt;"&amp;""),"")</f>
        <v>43132</v>
      </c>
      <c r="Q125" s="27">
        <f>IFERROR(VLOOKUP($P125,$C:$J,6,FALSE),"")</f>
        <v>6284.7247918694402</v>
      </c>
      <c r="R125" s="27">
        <f>IFERROR(VLOOKUP($P125,$C:$J,4,FALSE),"")</f>
        <v>4684</v>
      </c>
      <c r="S125" s="28">
        <f>IFERROR(VLOOKUP($P125,$C:$J,8,FALSE),"")</f>
        <v>0.74529914278182863</v>
      </c>
    </row>
    <row r="126" spans="1:20" hidden="1" x14ac:dyDescent="0.25">
      <c r="A126" s="10" t="str">
        <f t="shared" si="9"/>
        <v/>
      </c>
      <c r="B126" s="11" t="str">
        <f t="shared" si="5"/>
        <v/>
      </c>
      <c r="C126" s="12"/>
      <c r="D126" s="13"/>
      <c r="E126" s="13"/>
      <c r="F126" s="14"/>
      <c r="G126" s="15"/>
      <c r="H126" s="16" t="s">
        <v>16</v>
      </c>
      <c r="I126" s="16" t="str">
        <f t="shared" si="7"/>
        <v/>
      </c>
      <c r="J126" s="17" t="str">
        <f t="shared" si="8"/>
        <v/>
      </c>
      <c r="K126" s="18"/>
      <c r="L126" s="19" t="str">
        <f t="shared" si="6"/>
        <v/>
      </c>
      <c r="M126" s="19" t="str">
        <f t="shared" si="6"/>
        <v/>
      </c>
      <c r="N126" s="20"/>
      <c r="P126" s="26">
        <f>IF(_xlfn.MINIFS($C:$C,$B:$B,P123,$C:$C,"&gt;"&amp;MAX(P124:P125),$F:$F,"&lt;&gt;"&amp;"")&gt;0,_xlfn.MINIFS($C:$C,$B:$B,P123,$C:$C,"&gt;"&amp;MAX(P124:P125),$F:$F,"&lt;&gt;"&amp;""),"")</f>
        <v>43160</v>
      </c>
      <c r="Q126" s="27">
        <f>IFERROR(VLOOKUP($P126,$C:$J,6,FALSE),"")</f>
        <v>10581.285165205711</v>
      </c>
      <c r="R126" s="27">
        <f>IFERROR(VLOOKUP($P126,$C:$J,4,FALSE),"")</f>
        <v>8344</v>
      </c>
      <c r="S126" s="28">
        <f>IFERROR(VLOOKUP($P126,$C:$J,8,FALSE),"")</f>
        <v>0.78856205741788876</v>
      </c>
    </row>
    <row r="127" spans="1:20" hidden="1" x14ac:dyDescent="0.25">
      <c r="A127" s="10" t="str">
        <f t="shared" si="9"/>
        <v/>
      </c>
      <c r="B127" s="11" t="str">
        <f t="shared" si="5"/>
        <v/>
      </c>
      <c r="C127" s="12"/>
      <c r="D127" s="13"/>
      <c r="E127" s="13"/>
      <c r="F127" s="14"/>
      <c r="G127" s="15"/>
      <c r="H127" s="16" t="s">
        <v>16</v>
      </c>
      <c r="I127" s="16" t="str">
        <f t="shared" si="7"/>
        <v/>
      </c>
      <c r="J127" s="17" t="str">
        <f t="shared" si="8"/>
        <v/>
      </c>
      <c r="K127" s="18"/>
      <c r="L127" s="19" t="str">
        <f t="shared" si="6"/>
        <v/>
      </c>
      <c r="M127" s="19" t="str">
        <f t="shared" si="6"/>
        <v/>
      </c>
      <c r="N127" s="20"/>
      <c r="P127" s="26">
        <f>IF(_xlfn.MINIFS($C:$C,$B:$B,P123,$C:$C,"&gt;"&amp;MAX(P124:P126),$F:$F,"&lt;&gt;"&amp;"")&gt;0,_xlfn.MINIFS($C:$C,$B:$B,P123,$C:$C,"&gt;"&amp;MAX(P124:P126),$F:$F,"&lt;&gt;"&amp;""),"")</f>
        <v>43191</v>
      </c>
      <c r="Q127" s="27">
        <f>IFERROR(VLOOKUP($P127,$C:$J,6,FALSE),"")</f>
        <v>15376.075365792158</v>
      </c>
      <c r="R127" s="27">
        <f>IFERROR(VLOOKUP($P127,$C:$J,4,FALSE),"")</f>
        <v>12660</v>
      </c>
      <c r="S127" s="28">
        <f>IFERROR(VLOOKUP($P127,$C:$J,8,FALSE),"")</f>
        <v>0.82335704650389974</v>
      </c>
    </row>
    <row r="128" spans="1:20" hidden="1" x14ac:dyDescent="0.25">
      <c r="A128" s="10" t="str">
        <f t="shared" si="9"/>
        <v/>
      </c>
      <c r="B128" s="11" t="str">
        <f t="shared" si="5"/>
        <v/>
      </c>
      <c r="C128" s="12"/>
      <c r="D128" s="13"/>
      <c r="E128" s="13"/>
      <c r="F128" s="14"/>
      <c r="G128" s="15"/>
      <c r="H128" s="16" t="s">
        <v>16</v>
      </c>
      <c r="I128" s="16" t="str">
        <f t="shared" si="7"/>
        <v/>
      </c>
      <c r="J128" s="17" t="str">
        <f t="shared" si="8"/>
        <v/>
      </c>
      <c r="K128" s="18"/>
      <c r="L128" s="19" t="str">
        <f t="shared" si="6"/>
        <v/>
      </c>
      <c r="M128" s="19" t="str">
        <f t="shared" si="6"/>
        <v/>
      </c>
      <c r="N128" s="20"/>
      <c r="P128" s="26">
        <f>IF(_xlfn.MINIFS($C:$C,$B:$B,P123,$C:$C,"&gt;"&amp;MAX(P124:P127),$F:$F,"&lt;&gt;"&amp;"")&gt;0,_xlfn.MINIFS($C:$C,$B:$B,P123,$C:$C,"&gt;"&amp;MAX(P124:P127),$F:$F,"&lt;&gt;"&amp;""),"")</f>
        <v>43221</v>
      </c>
      <c r="Q128" s="27">
        <f>IFERROR(VLOOKUP($P128,$C:$J,6,FALSE),"")</f>
        <v>14598.030571246081</v>
      </c>
      <c r="R128" s="27">
        <f>IFERROR(VLOOKUP($P128,$C:$J,4,FALSE),"")</f>
        <v>12451</v>
      </c>
      <c r="S128" s="28">
        <f>IFERROR(VLOOKUP($P128,$C:$J,8,FALSE),"")</f>
        <v>0.85292327202854923</v>
      </c>
    </row>
    <row r="129" spans="1:20" hidden="1" x14ac:dyDescent="0.25">
      <c r="A129" s="10" t="str">
        <f t="shared" si="9"/>
        <v/>
      </c>
      <c r="B129" s="11" t="str">
        <f t="shared" si="5"/>
        <v/>
      </c>
      <c r="C129" s="12"/>
      <c r="D129" s="13"/>
      <c r="E129" s="13"/>
      <c r="F129" s="14"/>
      <c r="G129" s="15"/>
      <c r="H129" s="16" t="s">
        <v>16</v>
      </c>
      <c r="I129" s="16" t="str">
        <f t="shared" si="7"/>
        <v/>
      </c>
      <c r="J129" s="17" t="str">
        <f t="shared" si="8"/>
        <v/>
      </c>
      <c r="K129" s="18"/>
      <c r="L129" s="19" t="str">
        <f t="shared" si="6"/>
        <v/>
      </c>
      <c r="M129" s="19" t="str">
        <f t="shared" si="6"/>
        <v/>
      </c>
      <c r="N129" s="20"/>
      <c r="P129" s="26" t="str">
        <f>IF(_xlfn.MINIFS($C:$C,$B:$B,P123,$C:$C,"&gt;"&amp;MAX(P124:P128),$F:$F,"&lt;&gt;"&amp;"")&gt;0,_xlfn.MINIFS($C:$C,$B:$B,P123,$C:$C,"&gt;"&amp;MAX(P124:P128),$F:$F,"&lt;&gt;"&amp;""),"")</f>
        <v/>
      </c>
      <c r="Q129" s="27" t="str">
        <f>IFERROR(VLOOKUP($P129,$C:$J,6,FALSE),"")</f>
        <v/>
      </c>
      <c r="R129" s="27" t="str">
        <f>IFERROR(VLOOKUP($P129,$C:$J,4,FALSE),"")</f>
        <v/>
      </c>
      <c r="S129" s="28" t="str">
        <f>IFERROR(VLOOKUP($P129,$C:$J,8,FALSE),"")</f>
        <v/>
      </c>
    </row>
    <row r="130" spans="1:20" hidden="1" x14ac:dyDescent="0.25">
      <c r="A130" s="10" t="str">
        <f t="shared" si="9"/>
        <v/>
      </c>
      <c r="B130" s="11" t="str">
        <f t="shared" si="5"/>
        <v/>
      </c>
      <c r="C130" s="12"/>
      <c r="D130" s="13"/>
      <c r="E130" s="13"/>
      <c r="F130" s="14"/>
      <c r="G130" s="15"/>
      <c r="H130" s="16" t="s">
        <v>16</v>
      </c>
      <c r="I130" s="16" t="str">
        <f t="shared" si="7"/>
        <v/>
      </c>
      <c r="J130" s="17" t="str">
        <f t="shared" si="8"/>
        <v/>
      </c>
      <c r="K130" s="18"/>
      <c r="L130" s="19" t="str">
        <f t="shared" si="6"/>
        <v/>
      </c>
      <c r="M130" s="19" t="str">
        <f t="shared" si="6"/>
        <v/>
      </c>
      <c r="N130" s="20"/>
      <c r="P130" s="26" t="str">
        <f>IF(_xlfn.MINIFS($C:$C,$B:$B,P123,$C:$C,"&gt;"&amp;MAX(P124:P129),$F:$F,"&lt;&gt;"&amp;"")&gt;0,_xlfn.MINIFS($C:$C,$B:$B,P123,$C:$C,"&gt;"&amp;MAX(P124:P129),$F:$F,"&lt;&gt;"&amp;""),"")</f>
        <v/>
      </c>
      <c r="Q130" s="27" t="str">
        <f>IFERROR(VLOOKUP($P130,$C:$J,6,FALSE),"")</f>
        <v/>
      </c>
      <c r="R130" s="27" t="str">
        <f>IFERROR(VLOOKUP($P130,$C:$J,4,FALSE),"")</f>
        <v/>
      </c>
      <c r="S130" s="28" t="str">
        <f>IFERROR(VLOOKUP($P130,$C:$J,8,FALSE),"")</f>
        <v/>
      </c>
    </row>
    <row r="131" spans="1:20" hidden="1" x14ac:dyDescent="0.25">
      <c r="A131" s="10" t="str">
        <f t="shared" si="9"/>
        <v/>
      </c>
      <c r="B131" s="11" t="str">
        <f t="shared" ref="B131:B194" si="10">IF(ISBLANK(C131),"",YEAR(C131))</f>
        <v/>
      </c>
      <c r="C131" s="12"/>
      <c r="D131" s="13"/>
      <c r="E131" s="13"/>
      <c r="F131" s="14"/>
      <c r="G131" s="15"/>
      <c r="H131" s="16" t="s">
        <v>16</v>
      </c>
      <c r="I131" s="16" t="str">
        <f t="shared" si="7"/>
        <v/>
      </c>
      <c r="J131" s="17" t="str">
        <f t="shared" si="8"/>
        <v/>
      </c>
      <c r="K131" s="18"/>
      <c r="L131" s="19" t="str">
        <f t="shared" ref="L131:M194" si="11">IF(AND(E131&gt;0,F131&gt;0),E131/F131*(irradiation_solaire/12)/J131,"")</f>
        <v/>
      </c>
      <c r="M131" s="19" t="str">
        <f t="shared" si="11"/>
        <v/>
      </c>
      <c r="N131" s="20"/>
      <c r="P131" s="26" t="str">
        <f>IF(_xlfn.MINIFS($C:$C,$B:$B,P123,$C:$C,"&gt;"&amp;MAX(P124:P130),$F:$F,"&lt;&gt;"&amp;"")&gt;0,_xlfn.MINIFS($C:$C,$B:$B,P123,$C:$C,"&gt;"&amp;MAX(P124:P130),$F:$F,"&lt;&gt;"&amp;""),"")</f>
        <v/>
      </c>
      <c r="Q131" s="27" t="str">
        <f>IFERROR(VLOOKUP($P131,$C:$J,6,FALSE),"")</f>
        <v/>
      </c>
      <c r="R131" s="27" t="str">
        <f>IFERROR(VLOOKUP($P131,$C:$J,4,FALSE),"")</f>
        <v/>
      </c>
      <c r="S131" s="28" t="str">
        <f>IFERROR(VLOOKUP($P131,$C:$J,8,FALSE),"")</f>
        <v/>
      </c>
    </row>
    <row r="132" spans="1:20" hidden="1" x14ac:dyDescent="0.25">
      <c r="A132" s="10" t="str">
        <f t="shared" si="9"/>
        <v/>
      </c>
      <c r="B132" s="11" t="str">
        <f t="shared" si="10"/>
        <v/>
      </c>
      <c r="C132" s="12"/>
      <c r="D132" s="13"/>
      <c r="E132" s="13"/>
      <c r="F132" s="14"/>
      <c r="G132" s="15"/>
      <c r="H132" s="16" t="s">
        <v>16</v>
      </c>
      <c r="I132" s="16" t="str">
        <f t="shared" ref="I132:I195" si="12">IF(AND(F132&gt;0,H132&gt;0),H132-F132,"")</f>
        <v/>
      </c>
      <c r="J132" s="17" t="str">
        <f t="shared" ref="J132:J195" si="13">IFERROR(F132/H132,"")</f>
        <v/>
      </c>
      <c r="K132" s="18"/>
      <c r="L132" s="19" t="str">
        <f t="shared" si="11"/>
        <v/>
      </c>
      <c r="M132" s="19" t="str">
        <f t="shared" si="11"/>
        <v/>
      </c>
      <c r="N132" s="20"/>
      <c r="P132" s="26" t="str">
        <f>IF(_xlfn.MINIFS($C:$C,$B:$B,P123,$C:$C,"&gt;"&amp;MAX(P124:P131),$F:$F,"&lt;&gt;"&amp;"")&gt;0,_xlfn.MINIFS($C:$C,$B:$B,P123,$C:$C,"&gt;"&amp;MAX(P124:P131),$F:$F,"&lt;&gt;"&amp;""),"")</f>
        <v/>
      </c>
      <c r="Q132" s="27" t="str">
        <f>IFERROR(VLOOKUP($P132,$C:$J,6,FALSE),"")</f>
        <v/>
      </c>
      <c r="R132" s="27" t="str">
        <f>IFERROR(VLOOKUP($P132,$C:$J,4,FALSE),"")</f>
        <v/>
      </c>
      <c r="S132" s="28" t="str">
        <f>IFERROR(VLOOKUP($P132,$C:$J,8,FALSE),"")</f>
        <v/>
      </c>
    </row>
    <row r="133" spans="1:20" hidden="1" x14ac:dyDescent="0.25">
      <c r="A133" s="10" t="str">
        <f t="shared" ref="A133:A196" si="14">IF(C133&lt;&gt;"",A132+1,"")</f>
        <v/>
      </c>
      <c r="B133" s="11" t="str">
        <f t="shared" si="10"/>
        <v/>
      </c>
      <c r="C133" s="12"/>
      <c r="D133" s="13"/>
      <c r="E133" s="13"/>
      <c r="F133" s="14"/>
      <c r="G133" s="15"/>
      <c r="H133" s="16" t="s">
        <v>16</v>
      </c>
      <c r="I133" s="16" t="str">
        <f t="shared" si="12"/>
        <v/>
      </c>
      <c r="J133" s="17" t="str">
        <f t="shared" si="13"/>
        <v/>
      </c>
      <c r="K133" s="18"/>
      <c r="L133" s="19" t="str">
        <f t="shared" si="11"/>
        <v/>
      </c>
      <c r="M133" s="19" t="str">
        <f t="shared" si="11"/>
        <v/>
      </c>
      <c r="N133" s="20"/>
      <c r="P133" s="26" t="str">
        <f>IF(_xlfn.MINIFS($C:$C,$B:$B,P123,$C:$C,"&gt;"&amp;MAX(P124:P132),$F:$F,"&lt;&gt;"&amp;"")&gt;0,_xlfn.MINIFS($C:$C,$B:$B,P123,$C:$C,"&gt;"&amp;MAX(P124:P132),$F:$F,"&lt;&gt;"&amp;""),"")</f>
        <v/>
      </c>
      <c r="Q133" s="27" t="str">
        <f>IFERROR(VLOOKUP($P133,$C:$J,6,FALSE),"")</f>
        <v/>
      </c>
      <c r="R133" s="27" t="str">
        <f>IFERROR(VLOOKUP($P133,$C:$J,4,FALSE),"")</f>
        <v/>
      </c>
      <c r="S133" s="28" t="str">
        <f>IFERROR(VLOOKUP($P133,$C:$J,8,FALSE),"")</f>
        <v/>
      </c>
    </row>
    <row r="134" spans="1:20" hidden="1" x14ac:dyDescent="0.25">
      <c r="A134" s="10" t="str">
        <f t="shared" si="14"/>
        <v/>
      </c>
      <c r="B134" s="11" t="str">
        <f t="shared" si="10"/>
        <v/>
      </c>
      <c r="C134" s="12"/>
      <c r="D134" s="13"/>
      <c r="E134" s="13"/>
      <c r="F134" s="14"/>
      <c r="G134" s="15"/>
      <c r="H134" s="16" t="s">
        <v>16</v>
      </c>
      <c r="I134" s="16" t="str">
        <f t="shared" si="12"/>
        <v/>
      </c>
      <c r="J134" s="17" t="str">
        <f t="shared" si="13"/>
        <v/>
      </c>
      <c r="K134" s="18"/>
      <c r="L134" s="19" t="str">
        <f t="shared" si="11"/>
        <v/>
      </c>
      <c r="M134" s="19" t="str">
        <f t="shared" si="11"/>
        <v/>
      </c>
      <c r="N134" s="20"/>
      <c r="P134" s="26" t="str">
        <f>IF(_xlfn.MINIFS($C:$C,$B:$B,P123,$C:$C,"&gt;"&amp;MAX(P124:P133),$F:$F,"&lt;&gt;"&amp;"")&gt;0,_xlfn.MINIFS($C:$C,$B:$B,P123,$C:$C,"&gt;"&amp;MAX(P124:P133),$F:$F,"&lt;&gt;"&amp;""),"")</f>
        <v/>
      </c>
      <c r="Q134" s="27" t="str">
        <f>IFERROR(VLOOKUP($P134,$C:$J,6,FALSE),"")</f>
        <v/>
      </c>
      <c r="R134" s="27" t="str">
        <f>IFERROR(VLOOKUP($P134,$C:$J,4,FALSE),"")</f>
        <v/>
      </c>
      <c r="S134" s="28" t="str">
        <f>IFERROR(VLOOKUP($P134,$C:$J,8,FALSE),"")</f>
        <v/>
      </c>
      <c r="T134" s="35"/>
    </row>
    <row r="135" spans="1:20" hidden="1" x14ac:dyDescent="0.25">
      <c r="A135" s="10" t="str">
        <f t="shared" si="14"/>
        <v/>
      </c>
      <c r="B135" s="11" t="str">
        <f t="shared" si="10"/>
        <v/>
      </c>
      <c r="C135" s="12"/>
      <c r="D135" s="13"/>
      <c r="E135" s="13"/>
      <c r="F135" s="14"/>
      <c r="G135" s="15"/>
      <c r="H135" s="16" t="s">
        <v>16</v>
      </c>
      <c r="I135" s="16" t="str">
        <f t="shared" si="12"/>
        <v/>
      </c>
      <c r="J135" s="17" t="str">
        <f t="shared" si="13"/>
        <v/>
      </c>
      <c r="K135" s="18"/>
      <c r="L135" s="19" t="str">
        <f t="shared" si="11"/>
        <v/>
      </c>
      <c r="M135" s="19" t="str">
        <f t="shared" si="11"/>
        <v/>
      </c>
      <c r="N135" s="20"/>
      <c r="P135" s="29" t="str">
        <f>IF(_xlfn.MINIFS($C:$C,$B:$B,P123,$C:$C,"&gt;"&amp;MAX(P124:P134),$F:$F,"&lt;&gt;"&amp;"")&gt;0,_xlfn.MINIFS($C:$C,$B:$B,P123,$C:$C,"&gt;"&amp;MAX(P124:P134),$F:$F,"&lt;&gt;"&amp;""),"")</f>
        <v/>
      </c>
      <c r="Q135" s="30" t="str">
        <f>IFERROR(VLOOKUP($P135,$C:$J,6,FALSE),"")</f>
        <v/>
      </c>
      <c r="R135" s="30" t="str">
        <f>IFERROR(VLOOKUP($P135,$C:$J,4,FALSE),"")</f>
        <v/>
      </c>
      <c r="S135" s="31" t="str">
        <f>IFERROR(VLOOKUP($P135,$C:$J,8,FALSE),"")</f>
        <v/>
      </c>
      <c r="T135" s="35"/>
    </row>
    <row r="136" spans="1:20" hidden="1" x14ac:dyDescent="0.25">
      <c r="A136" s="10" t="str">
        <f t="shared" si="14"/>
        <v/>
      </c>
      <c r="B136" s="11" t="str">
        <f t="shared" si="10"/>
        <v/>
      </c>
      <c r="C136" s="12"/>
      <c r="D136" s="13"/>
      <c r="E136" s="13"/>
      <c r="F136" s="14"/>
      <c r="G136" s="15"/>
      <c r="H136" s="16" t="s">
        <v>16</v>
      </c>
      <c r="I136" s="16" t="str">
        <f t="shared" si="12"/>
        <v/>
      </c>
      <c r="J136" s="17" t="str">
        <f t="shared" si="13"/>
        <v/>
      </c>
      <c r="K136" s="18"/>
      <c r="L136" s="19" t="str">
        <f t="shared" si="11"/>
        <v/>
      </c>
      <c r="M136" s="19" t="str">
        <f t="shared" si="11"/>
        <v/>
      </c>
      <c r="N136" s="20"/>
      <c r="P136" s="32" t="str">
        <f>"TOTAL "&amp;$P123</f>
        <v>TOTAL 2018</v>
      </c>
      <c r="Q136" s="33">
        <f>SUM(Q124:Q135)</f>
        <v>51237.355904740463</v>
      </c>
      <c r="R136" s="33">
        <f>SUM(R124:R135)</f>
        <v>41248</v>
      </c>
      <c r="S136" s="34">
        <f>IFERROR(R136/Q136,"")</f>
        <v>0.80503763848953314</v>
      </c>
    </row>
    <row r="137" spans="1:20" hidden="1" x14ac:dyDescent="0.25">
      <c r="A137" s="10" t="str">
        <f t="shared" si="14"/>
        <v/>
      </c>
      <c r="B137" s="11" t="str">
        <f t="shared" si="10"/>
        <v/>
      </c>
      <c r="C137" s="12"/>
      <c r="D137" s="13"/>
      <c r="E137" s="13"/>
      <c r="F137" s="14"/>
      <c r="G137" s="15"/>
      <c r="H137" s="16" t="s">
        <v>16</v>
      </c>
      <c r="I137" s="16" t="str">
        <f t="shared" si="12"/>
        <v/>
      </c>
      <c r="J137" s="17" t="str">
        <f t="shared" si="13"/>
        <v/>
      </c>
      <c r="K137" s="18"/>
      <c r="L137" s="19" t="str">
        <f t="shared" si="11"/>
        <v/>
      </c>
      <c r="M137" s="19" t="str">
        <f t="shared" si="11"/>
        <v/>
      </c>
      <c r="N137" s="20"/>
    </row>
    <row r="138" spans="1:20" hidden="1" x14ac:dyDescent="0.25">
      <c r="A138" s="10" t="str">
        <f t="shared" si="14"/>
        <v/>
      </c>
      <c r="B138" s="11" t="str">
        <f t="shared" si="10"/>
        <v/>
      </c>
      <c r="C138" s="12"/>
      <c r="D138" s="13"/>
      <c r="E138" s="13"/>
      <c r="F138" s="14"/>
      <c r="G138" s="15"/>
      <c r="H138" s="16" t="s">
        <v>16</v>
      </c>
      <c r="I138" s="16" t="str">
        <f t="shared" si="12"/>
        <v/>
      </c>
      <c r="J138" s="17" t="str">
        <f t="shared" si="13"/>
        <v/>
      </c>
      <c r="K138" s="18"/>
      <c r="L138" s="19" t="str">
        <f t="shared" si="11"/>
        <v/>
      </c>
      <c r="M138" s="19" t="str">
        <f t="shared" si="11"/>
        <v/>
      </c>
      <c r="N138" s="20"/>
      <c r="P138" s="21">
        <f>_xlfn.MINIFS($B:$B,$B:$B,"&gt;"&amp;MAX($P$3,$P$18,$P$33,P$48,P$63,P$78,P$93,P$108,P$123))</f>
        <v>0</v>
      </c>
      <c r="Q138" s="22" t="s">
        <v>13</v>
      </c>
      <c r="R138" s="22" t="s">
        <v>14</v>
      </c>
      <c r="S138" s="22" t="s">
        <v>15</v>
      </c>
    </row>
    <row r="139" spans="1:20" hidden="1" x14ac:dyDescent="0.25">
      <c r="A139" s="10" t="str">
        <f t="shared" si="14"/>
        <v/>
      </c>
      <c r="B139" s="11" t="str">
        <f t="shared" si="10"/>
        <v/>
      </c>
      <c r="C139" s="12"/>
      <c r="D139" s="13"/>
      <c r="E139" s="13"/>
      <c r="F139" s="14"/>
      <c r="G139" s="15"/>
      <c r="H139" s="16" t="s">
        <v>16</v>
      </c>
      <c r="I139" s="16" t="str">
        <f t="shared" si="12"/>
        <v/>
      </c>
      <c r="J139" s="17" t="str">
        <f t="shared" si="13"/>
        <v/>
      </c>
      <c r="K139" s="18"/>
      <c r="L139" s="19" t="str">
        <f t="shared" si="11"/>
        <v/>
      </c>
      <c r="M139" s="19" t="str">
        <f t="shared" si="11"/>
        <v/>
      </c>
      <c r="N139" s="20"/>
      <c r="P139" s="23">
        <f>_xlfn.MINIFS(C:C,B:B,P138,F:F,"&gt;"&amp;0)</f>
        <v>0</v>
      </c>
      <c r="Q139" s="24" t="str">
        <f>IFERROR(VLOOKUP($P139,$C:$J,6,FALSE),"")</f>
        <v/>
      </c>
      <c r="R139" s="24" t="str">
        <f>IFERROR(VLOOKUP($P139,$C:$J,4,FALSE),"")</f>
        <v/>
      </c>
      <c r="S139" s="25" t="str">
        <f>IFERROR(VLOOKUP($P139,$C:$J,8,FALSE),"")</f>
        <v/>
      </c>
    </row>
    <row r="140" spans="1:20" hidden="1" x14ac:dyDescent="0.25">
      <c r="A140" s="10" t="str">
        <f t="shared" si="14"/>
        <v/>
      </c>
      <c r="B140" s="11" t="str">
        <f t="shared" si="10"/>
        <v/>
      </c>
      <c r="C140" s="12"/>
      <c r="D140" s="13"/>
      <c r="E140" s="13"/>
      <c r="F140" s="14"/>
      <c r="G140" s="15"/>
      <c r="H140" s="16" t="s">
        <v>16</v>
      </c>
      <c r="I140" s="16" t="str">
        <f t="shared" si="12"/>
        <v/>
      </c>
      <c r="J140" s="17" t="str">
        <f t="shared" si="13"/>
        <v/>
      </c>
      <c r="K140" s="18"/>
      <c r="L140" s="19" t="str">
        <f t="shared" si="11"/>
        <v/>
      </c>
      <c r="M140" s="19" t="str">
        <f t="shared" si="11"/>
        <v/>
      </c>
      <c r="N140" s="20"/>
      <c r="P140" s="26" t="str">
        <f>IF(_xlfn.MINIFS($C:$C,$B:$B,P138,$C:$C,"&gt;"&amp;MAX(P139:P139),$F:$F,"&lt;&gt;"&amp;"")&gt;0,_xlfn.MINIFS($C:$C,$B:$B,P138,$C:$C,"&gt;"&amp;MAX(P139:P139),$F:$F,"&lt;&gt;"&amp;""),"")</f>
        <v/>
      </c>
      <c r="Q140" s="27" t="str">
        <f>IFERROR(VLOOKUP($P140,$C:$J,6,FALSE),"")</f>
        <v/>
      </c>
      <c r="R140" s="27" t="str">
        <f>IFERROR(VLOOKUP($P140,$C:$J,4,FALSE),"")</f>
        <v/>
      </c>
      <c r="S140" s="28" t="str">
        <f>IFERROR(VLOOKUP($P140,$C:$J,8,FALSE),"")</f>
        <v/>
      </c>
    </row>
    <row r="141" spans="1:20" hidden="1" x14ac:dyDescent="0.25">
      <c r="A141" s="10" t="str">
        <f t="shared" si="14"/>
        <v/>
      </c>
      <c r="B141" s="11" t="str">
        <f t="shared" si="10"/>
        <v/>
      </c>
      <c r="C141" s="12"/>
      <c r="D141" s="13"/>
      <c r="E141" s="13"/>
      <c r="F141" s="14"/>
      <c r="G141" s="15"/>
      <c r="H141" s="16" t="s">
        <v>16</v>
      </c>
      <c r="I141" s="16" t="str">
        <f t="shared" si="12"/>
        <v/>
      </c>
      <c r="J141" s="17" t="str">
        <f t="shared" si="13"/>
        <v/>
      </c>
      <c r="K141" s="18"/>
      <c r="L141" s="19" t="str">
        <f t="shared" si="11"/>
        <v/>
      </c>
      <c r="M141" s="19" t="str">
        <f t="shared" si="11"/>
        <v/>
      </c>
      <c r="N141" s="20"/>
      <c r="P141" s="26" t="str">
        <f>IF(_xlfn.MINIFS($C:$C,$B:$B,P138,$C:$C,"&gt;"&amp;MAX(P139:P140),$F:$F,"&lt;&gt;"&amp;"")&gt;0,_xlfn.MINIFS($C:$C,$B:$B,P138,$C:$C,"&gt;"&amp;MAX(P139:P140),$F:$F,"&lt;&gt;"&amp;""),"")</f>
        <v/>
      </c>
      <c r="Q141" s="27" t="str">
        <f>IFERROR(VLOOKUP($P141,$C:$J,6,FALSE),"")</f>
        <v/>
      </c>
      <c r="R141" s="27" t="str">
        <f>IFERROR(VLOOKUP($P141,$C:$J,4,FALSE),"")</f>
        <v/>
      </c>
      <c r="S141" s="28" t="str">
        <f>IFERROR(VLOOKUP($P141,$C:$J,8,FALSE),"")</f>
        <v/>
      </c>
    </row>
    <row r="142" spans="1:20" hidden="1" x14ac:dyDescent="0.25">
      <c r="A142" s="10" t="str">
        <f t="shared" si="14"/>
        <v/>
      </c>
      <c r="B142" s="11" t="str">
        <f t="shared" si="10"/>
        <v/>
      </c>
      <c r="C142" s="12"/>
      <c r="D142" s="13"/>
      <c r="E142" s="13"/>
      <c r="F142" s="14"/>
      <c r="G142" s="15"/>
      <c r="H142" s="16" t="s">
        <v>16</v>
      </c>
      <c r="I142" s="16" t="str">
        <f t="shared" si="12"/>
        <v/>
      </c>
      <c r="J142" s="17" t="str">
        <f t="shared" si="13"/>
        <v/>
      </c>
      <c r="K142" s="18"/>
      <c r="L142" s="19" t="str">
        <f t="shared" si="11"/>
        <v/>
      </c>
      <c r="M142" s="19" t="str">
        <f t="shared" si="11"/>
        <v/>
      </c>
      <c r="N142" s="20"/>
      <c r="P142" s="26" t="str">
        <f>IF(_xlfn.MINIFS($C:$C,$B:$B,P138,$C:$C,"&gt;"&amp;MAX(P139:P141),$F:$F,"&lt;&gt;"&amp;"")&gt;0,_xlfn.MINIFS($C:$C,$B:$B,P138,$C:$C,"&gt;"&amp;MAX(P139:P141),$F:$F,"&lt;&gt;"&amp;""),"")</f>
        <v/>
      </c>
      <c r="Q142" s="27" t="str">
        <f>IFERROR(VLOOKUP($P142,$C:$J,6,FALSE),"")</f>
        <v/>
      </c>
      <c r="R142" s="27" t="str">
        <f>IFERROR(VLOOKUP($P142,$C:$J,4,FALSE),"")</f>
        <v/>
      </c>
      <c r="S142" s="28" t="str">
        <f>IFERROR(VLOOKUP($P142,$C:$J,8,FALSE),"")</f>
        <v/>
      </c>
    </row>
    <row r="143" spans="1:20" hidden="1" x14ac:dyDescent="0.25">
      <c r="A143" s="10" t="str">
        <f t="shared" si="14"/>
        <v/>
      </c>
      <c r="B143" s="11" t="str">
        <f t="shared" si="10"/>
        <v/>
      </c>
      <c r="C143" s="12"/>
      <c r="D143" s="13"/>
      <c r="E143" s="13"/>
      <c r="F143" s="14"/>
      <c r="G143" s="15"/>
      <c r="H143" s="16" t="s">
        <v>16</v>
      </c>
      <c r="I143" s="16" t="str">
        <f t="shared" si="12"/>
        <v/>
      </c>
      <c r="J143" s="17" t="str">
        <f t="shared" si="13"/>
        <v/>
      </c>
      <c r="K143" s="18"/>
      <c r="L143" s="19" t="str">
        <f t="shared" si="11"/>
        <v/>
      </c>
      <c r="M143" s="19" t="str">
        <f t="shared" si="11"/>
        <v/>
      </c>
      <c r="N143" s="20"/>
      <c r="P143" s="26" t="str">
        <f>IF(_xlfn.MINIFS($C:$C,$B:$B,P138,$C:$C,"&gt;"&amp;MAX(P139:P142),$F:$F,"&lt;&gt;"&amp;"")&gt;0,_xlfn.MINIFS($C:$C,$B:$B,P138,$C:$C,"&gt;"&amp;MAX(P139:P142),$F:$F,"&lt;&gt;"&amp;""),"")</f>
        <v/>
      </c>
      <c r="Q143" s="27" t="str">
        <f>IFERROR(VLOOKUP($P143,$C:$J,6,FALSE),"")</f>
        <v/>
      </c>
      <c r="R143" s="27" t="str">
        <f>IFERROR(VLOOKUP($P143,$C:$J,4,FALSE),"")</f>
        <v/>
      </c>
      <c r="S143" s="28" t="str">
        <f>IFERROR(VLOOKUP($P143,$C:$J,8,FALSE),"")</f>
        <v/>
      </c>
    </row>
    <row r="144" spans="1:20" hidden="1" x14ac:dyDescent="0.25">
      <c r="A144" s="10" t="str">
        <f t="shared" si="14"/>
        <v/>
      </c>
      <c r="B144" s="11" t="str">
        <f t="shared" si="10"/>
        <v/>
      </c>
      <c r="C144" s="12"/>
      <c r="D144" s="13"/>
      <c r="E144" s="13"/>
      <c r="F144" s="14"/>
      <c r="G144" s="15"/>
      <c r="H144" s="16" t="s">
        <v>16</v>
      </c>
      <c r="I144" s="16" t="str">
        <f t="shared" si="12"/>
        <v/>
      </c>
      <c r="J144" s="17" t="str">
        <f t="shared" si="13"/>
        <v/>
      </c>
      <c r="K144" s="18"/>
      <c r="L144" s="19" t="str">
        <f t="shared" si="11"/>
        <v/>
      </c>
      <c r="M144" s="19" t="str">
        <f t="shared" si="11"/>
        <v/>
      </c>
      <c r="N144" s="20"/>
      <c r="P144" s="26" t="str">
        <f>IF(_xlfn.MINIFS($C:$C,$B:$B,P138,$C:$C,"&gt;"&amp;MAX(P139:P143),$F:$F,"&lt;&gt;"&amp;"")&gt;0,_xlfn.MINIFS($C:$C,$B:$B,P138,$C:$C,"&gt;"&amp;MAX(P139:P143),$F:$F,"&lt;&gt;"&amp;""),"")</f>
        <v/>
      </c>
      <c r="Q144" s="27" t="str">
        <f>IFERROR(VLOOKUP($P144,$C:$J,6,FALSE),"")</f>
        <v/>
      </c>
      <c r="R144" s="27" t="str">
        <f>IFERROR(VLOOKUP($P144,$C:$J,4,FALSE),"")</f>
        <v/>
      </c>
      <c r="S144" s="28" t="str">
        <f>IFERROR(VLOOKUP($P144,$C:$J,8,FALSE),"")</f>
        <v/>
      </c>
    </row>
    <row r="145" spans="1:20" hidden="1" x14ac:dyDescent="0.25">
      <c r="A145" s="10" t="str">
        <f t="shared" si="14"/>
        <v/>
      </c>
      <c r="B145" s="11" t="str">
        <f t="shared" si="10"/>
        <v/>
      </c>
      <c r="C145" s="12"/>
      <c r="D145" s="13"/>
      <c r="E145" s="13"/>
      <c r="F145" s="14"/>
      <c r="G145" s="15"/>
      <c r="H145" s="16" t="s">
        <v>16</v>
      </c>
      <c r="I145" s="16" t="str">
        <f t="shared" si="12"/>
        <v/>
      </c>
      <c r="J145" s="17" t="str">
        <f t="shared" si="13"/>
        <v/>
      </c>
      <c r="K145" s="18"/>
      <c r="L145" s="19" t="str">
        <f t="shared" si="11"/>
        <v/>
      </c>
      <c r="M145" s="19" t="str">
        <f t="shared" si="11"/>
        <v/>
      </c>
      <c r="N145" s="20"/>
      <c r="P145" s="26" t="str">
        <f>IF(_xlfn.MINIFS($C:$C,$B:$B,P138,$C:$C,"&gt;"&amp;MAX(P139:P144),$F:$F,"&lt;&gt;"&amp;"")&gt;0,_xlfn.MINIFS($C:$C,$B:$B,P138,$C:$C,"&gt;"&amp;MAX(P139:P144),$F:$F,"&lt;&gt;"&amp;""),"")</f>
        <v/>
      </c>
      <c r="Q145" s="27" t="str">
        <f>IFERROR(VLOOKUP($P145,$C:$J,6,FALSE),"")</f>
        <v/>
      </c>
      <c r="R145" s="27" t="str">
        <f>IFERROR(VLOOKUP($P145,$C:$J,4,FALSE),"")</f>
        <v/>
      </c>
      <c r="S145" s="28" t="str">
        <f>IFERROR(VLOOKUP($P145,$C:$J,8,FALSE),"")</f>
        <v/>
      </c>
    </row>
    <row r="146" spans="1:20" hidden="1" x14ac:dyDescent="0.25">
      <c r="A146" s="10" t="str">
        <f t="shared" si="14"/>
        <v/>
      </c>
      <c r="B146" s="11" t="str">
        <f t="shared" si="10"/>
        <v/>
      </c>
      <c r="C146" s="12"/>
      <c r="D146" s="13"/>
      <c r="E146" s="13"/>
      <c r="F146" s="14"/>
      <c r="G146" s="15"/>
      <c r="H146" s="16" t="s">
        <v>16</v>
      </c>
      <c r="I146" s="16" t="str">
        <f t="shared" si="12"/>
        <v/>
      </c>
      <c r="J146" s="17" t="str">
        <f t="shared" si="13"/>
        <v/>
      </c>
      <c r="K146" s="18"/>
      <c r="L146" s="19" t="str">
        <f t="shared" si="11"/>
        <v/>
      </c>
      <c r="M146" s="19" t="str">
        <f t="shared" si="11"/>
        <v/>
      </c>
      <c r="N146" s="20"/>
      <c r="P146" s="26" t="str">
        <f>IF(_xlfn.MINIFS($C:$C,$B:$B,P138,$C:$C,"&gt;"&amp;MAX(P139:P145),$F:$F,"&lt;&gt;"&amp;"")&gt;0,_xlfn.MINIFS($C:$C,$B:$B,P138,$C:$C,"&gt;"&amp;MAX(P139:P145),$F:$F,"&lt;&gt;"&amp;""),"")</f>
        <v/>
      </c>
      <c r="Q146" s="27" t="str">
        <f>IFERROR(VLOOKUP($P146,$C:$J,6,FALSE),"")</f>
        <v/>
      </c>
      <c r="R146" s="27" t="str">
        <f>IFERROR(VLOOKUP($P146,$C:$J,4,FALSE),"")</f>
        <v/>
      </c>
      <c r="S146" s="28" t="str">
        <f>IFERROR(VLOOKUP($P146,$C:$J,8,FALSE),"")</f>
        <v/>
      </c>
    </row>
    <row r="147" spans="1:20" hidden="1" x14ac:dyDescent="0.25">
      <c r="A147" s="10" t="str">
        <f t="shared" si="14"/>
        <v/>
      </c>
      <c r="B147" s="11" t="str">
        <f t="shared" si="10"/>
        <v/>
      </c>
      <c r="C147" s="12"/>
      <c r="D147" s="13"/>
      <c r="E147" s="13"/>
      <c r="F147" s="14"/>
      <c r="G147" s="15"/>
      <c r="H147" s="16" t="s">
        <v>16</v>
      </c>
      <c r="I147" s="16" t="str">
        <f t="shared" si="12"/>
        <v/>
      </c>
      <c r="J147" s="17" t="str">
        <f t="shared" si="13"/>
        <v/>
      </c>
      <c r="K147" s="18"/>
      <c r="L147" s="19" t="str">
        <f t="shared" si="11"/>
        <v/>
      </c>
      <c r="M147" s="19" t="str">
        <f t="shared" si="11"/>
        <v/>
      </c>
      <c r="N147" s="20"/>
      <c r="P147" s="26" t="str">
        <f>IF(_xlfn.MINIFS($C:$C,$B:$B,P138,$C:$C,"&gt;"&amp;MAX(P139:P146),$F:$F,"&lt;&gt;"&amp;"")&gt;0,_xlfn.MINIFS($C:$C,$B:$B,P138,$C:$C,"&gt;"&amp;MAX(P139:P146),$F:$F,"&lt;&gt;"&amp;""),"")</f>
        <v/>
      </c>
      <c r="Q147" s="27" t="str">
        <f>IFERROR(VLOOKUP($P147,$C:$J,6,FALSE),"")</f>
        <v/>
      </c>
      <c r="R147" s="27" t="str">
        <f>IFERROR(VLOOKUP($P147,$C:$J,4,FALSE),"")</f>
        <v/>
      </c>
      <c r="S147" s="28" t="str">
        <f>IFERROR(VLOOKUP($P147,$C:$J,8,FALSE),"")</f>
        <v/>
      </c>
    </row>
    <row r="148" spans="1:20" hidden="1" x14ac:dyDescent="0.25">
      <c r="A148" s="10" t="str">
        <f t="shared" si="14"/>
        <v/>
      </c>
      <c r="B148" s="11" t="str">
        <f t="shared" si="10"/>
        <v/>
      </c>
      <c r="C148" s="12"/>
      <c r="D148" s="13"/>
      <c r="E148" s="13"/>
      <c r="F148" s="14"/>
      <c r="G148" s="15"/>
      <c r="H148" s="16" t="s">
        <v>16</v>
      </c>
      <c r="I148" s="16" t="str">
        <f t="shared" si="12"/>
        <v/>
      </c>
      <c r="J148" s="17" t="str">
        <f t="shared" si="13"/>
        <v/>
      </c>
      <c r="K148" s="18"/>
      <c r="L148" s="19" t="str">
        <f t="shared" si="11"/>
        <v/>
      </c>
      <c r="M148" s="19" t="str">
        <f t="shared" si="11"/>
        <v/>
      </c>
      <c r="N148" s="20"/>
      <c r="P148" s="26" t="str">
        <f>IF(_xlfn.MINIFS($C:$C,$B:$B,P138,$C:$C,"&gt;"&amp;MAX(P139:P147),$F:$F,"&lt;&gt;"&amp;"")&gt;0,_xlfn.MINIFS($C:$C,$B:$B,P138,$C:$C,"&gt;"&amp;MAX(P139:P147),$F:$F,"&lt;&gt;"&amp;""),"")</f>
        <v/>
      </c>
      <c r="Q148" s="27" t="str">
        <f>IFERROR(VLOOKUP($P148,$C:$J,6,FALSE),"")</f>
        <v/>
      </c>
      <c r="R148" s="27" t="str">
        <f>IFERROR(VLOOKUP($P148,$C:$J,4,FALSE),"")</f>
        <v/>
      </c>
      <c r="S148" s="28" t="str">
        <f>IFERROR(VLOOKUP($P148,$C:$J,8,FALSE),"")</f>
        <v/>
      </c>
    </row>
    <row r="149" spans="1:20" hidden="1" x14ac:dyDescent="0.25">
      <c r="A149" s="10" t="str">
        <f t="shared" si="14"/>
        <v/>
      </c>
      <c r="B149" s="11" t="str">
        <f t="shared" si="10"/>
        <v/>
      </c>
      <c r="C149" s="12"/>
      <c r="D149" s="13"/>
      <c r="E149" s="13"/>
      <c r="F149" s="14"/>
      <c r="G149" s="15"/>
      <c r="H149" s="16" t="s">
        <v>16</v>
      </c>
      <c r="I149" s="16" t="str">
        <f t="shared" si="12"/>
        <v/>
      </c>
      <c r="J149" s="17" t="str">
        <f t="shared" si="13"/>
        <v/>
      </c>
      <c r="K149" s="18"/>
      <c r="L149" s="19" t="str">
        <f t="shared" si="11"/>
        <v/>
      </c>
      <c r="M149" s="19" t="str">
        <f t="shared" si="11"/>
        <v/>
      </c>
      <c r="N149" s="20"/>
      <c r="P149" s="26" t="str">
        <f>IF(_xlfn.MINIFS($C:$C,$B:$B,P138,$C:$C,"&gt;"&amp;MAX(P139:P148),$F:$F,"&lt;&gt;"&amp;"")&gt;0,_xlfn.MINIFS($C:$C,$B:$B,P138,$C:$C,"&gt;"&amp;MAX(P139:P148),$F:$F,"&lt;&gt;"&amp;""),"")</f>
        <v/>
      </c>
      <c r="Q149" s="27" t="str">
        <f>IFERROR(VLOOKUP($P149,$C:$J,6,FALSE),"")</f>
        <v/>
      </c>
      <c r="R149" s="27" t="str">
        <f>IFERROR(VLOOKUP($P149,$C:$J,4,FALSE),"")</f>
        <v/>
      </c>
      <c r="S149" s="28" t="str">
        <f>IFERROR(VLOOKUP($P149,$C:$J,8,FALSE),"")</f>
        <v/>
      </c>
      <c r="T149" s="35"/>
    </row>
    <row r="150" spans="1:20" hidden="1" x14ac:dyDescent="0.25">
      <c r="A150" s="10" t="str">
        <f t="shared" si="14"/>
        <v/>
      </c>
      <c r="B150" s="11" t="str">
        <f t="shared" si="10"/>
        <v/>
      </c>
      <c r="C150" s="12"/>
      <c r="D150" s="13"/>
      <c r="E150" s="13"/>
      <c r="F150" s="14"/>
      <c r="G150" s="15"/>
      <c r="H150" s="16" t="s">
        <v>16</v>
      </c>
      <c r="I150" s="16" t="str">
        <f t="shared" si="12"/>
        <v/>
      </c>
      <c r="J150" s="17" t="str">
        <f t="shared" si="13"/>
        <v/>
      </c>
      <c r="K150" s="18"/>
      <c r="L150" s="19" t="str">
        <f t="shared" si="11"/>
        <v/>
      </c>
      <c r="M150" s="19" t="str">
        <f t="shared" si="11"/>
        <v/>
      </c>
      <c r="N150" s="20"/>
      <c r="P150" s="29" t="str">
        <f>IF(_xlfn.MINIFS($C:$C,$B:$B,P138,$C:$C,"&gt;"&amp;MAX(P139:P149),$F:$F,"&lt;&gt;"&amp;"")&gt;0,_xlfn.MINIFS($C:$C,$B:$B,P138,$C:$C,"&gt;"&amp;MAX(P139:P149),$F:$F,"&lt;&gt;"&amp;""),"")</f>
        <v/>
      </c>
      <c r="Q150" s="30" t="str">
        <f>IFERROR(VLOOKUP($P150,$C:$J,6,FALSE),"")</f>
        <v/>
      </c>
      <c r="R150" s="30" t="str">
        <f>IFERROR(VLOOKUP($P150,$C:$J,4,FALSE),"")</f>
        <v/>
      </c>
      <c r="S150" s="31" t="str">
        <f>IFERROR(VLOOKUP($P150,$C:$J,8,FALSE),"")</f>
        <v/>
      </c>
      <c r="T150" s="35"/>
    </row>
    <row r="151" spans="1:20" hidden="1" x14ac:dyDescent="0.25">
      <c r="A151" s="10" t="str">
        <f t="shared" si="14"/>
        <v/>
      </c>
      <c r="B151" s="11" t="str">
        <f t="shared" si="10"/>
        <v/>
      </c>
      <c r="C151" s="12"/>
      <c r="D151" s="13"/>
      <c r="E151" s="13"/>
      <c r="F151" s="14"/>
      <c r="G151" s="15"/>
      <c r="H151" s="16" t="s">
        <v>16</v>
      </c>
      <c r="I151" s="16" t="str">
        <f t="shared" si="12"/>
        <v/>
      </c>
      <c r="J151" s="17" t="str">
        <f t="shared" si="13"/>
        <v/>
      </c>
      <c r="K151" s="18"/>
      <c r="L151" s="19" t="str">
        <f t="shared" si="11"/>
        <v/>
      </c>
      <c r="M151" s="19" t="str">
        <f t="shared" si="11"/>
        <v/>
      </c>
      <c r="N151" s="20"/>
      <c r="P151" s="32" t="str">
        <f>"TOTAL "&amp;$P138</f>
        <v>TOTAL 0</v>
      </c>
      <c r="Q151" s="33">
        <f>SUM(Q139:Q150)</f>
        <v>0</v>
      </c>
      <c r="R151" s="33">
        <f>SUM(R139:R150)</f>
        <v>0</v>
      </c>
      <c r="S151" s="34" t="str">
        <f>IFERROR(R151/Q151,"")</f>
        <v/>
      </c>
    </row>
    <row r="152" spans="1:20" hidden="1" x14ac:dyDescent="0.25">
      <c r="A152" s="10" t="str">
        <f t="shared" si="14"/>
        <v/>
      </c>
      <c r="B152" s="11" t="str">
        <f t="shared" si="10"/>
        <v/>
      </c>
      <c r="C152" s="12"/>
      <c r="D152" s="13"/>
      <c r="E152" s="13"/>
      <c r="F152" s="14"/>
      <c r="G152" s="15"/>
      <c r="H152" s="16" t="s">
        <v>16</v>
      </c>
      <c r="I152" s="16" t="str">
        <f t="shared" si="12"/>
        <v/>
      </c>
      <c r="J152" s="17" t="str">
        <f t="shared" si="13"/>
        <v/>
      </c>
      <c r="K152" s="18"/>
      <c r="L152" s="19" t="str">
        <f t="shared" si="11"/>
        <v/>
      </c>
      <c r="M152" s="19" t="str">
        <f t="shared" si="11"/>
        <v/>
      </c>
      <c r="N152" s="20"/>
    </row>
    <row r="153" spans="1:20" hidden="1" x14ac:dyDescent="0.25">
      <c r="A153" s="10" t="str">
        <f t="shared" si="14"/>
        <v/>
      </c>
      <c r="B153" s="11" t="str">
        <f t="shared" si="10"/>
        <v/>
      </c>
      <c r="C153" s="12"/>
      <c r="D153" s="13"/>
      <c r="E153" s="13"/>
      <c r="F153" s="14"/>
      <c r="G153" s="15"/>
      <c r="H153" s="16" t="s">
        <v>16</v>
      </c>
      <c r="I153" s="16" t="str">
        <f t="shared" si="12"/>
        <v/>
      </c>
      <c r="J153" s="17" t="str">
        <f t="shared" si="13"/>
        <v/>
      </c>
      <c r="K153" s="18"/>
      <c r="L153" s="19" t="str">
        <f t="shared" si="11"/>
        <v/>
      </c>
      <c r="M153" s="19" t="str">
        <f t="shared" si="11"/>
        <v/>
      </c>
      <c r="N153" s="20"/>
      <c r="P153" s="21">
        <f>_xlfn.MINIFS($B:$B,$B:$B,"&gt;"&amp;MAX($P$3,$P$18,$P$33,P$48,P$63,P$78,P$93,P$108,P$123,P$138))</f>
        <v>0</v>
      </c>
      <c r="Q153" s="22" t="s">
        <v>13</v>
      </c>
      <c r="R153" s="22" t="s">
        <v>14</v>
      </c>
      <c r="S153" s="22" t="s">
        <v>15</v>
      </c>
    </row>
    <row r="154" spans="1:20" hidden="1" x14ac:dyDescent="0.25">
      <c r="A154" s="10" t="str">
        <f t="shared" si="14"/>
        <v/>
      </c>
      <c r="B154" s="11" t="str">
        <f t="shared" si="10"/>
        <v/>
      </c>
      <c r="C154" s="12"/>
      <c r="D154" s="13"/>
      <c r="E154" s="13"/>
      <c r="F154" s="14"/>
      <c r="G154" s="15"/>
      <c r="H154" s="16" t="s">
        <v>16</v>
      </c>
      <c r="I154" s="16" t="str">
        <f t="shared" si="12"/>
        <v/>
      </c>
      <c r="J154" s="17" t="str">
        <f t="shared" si="13"/>
        <v/>
      </c>
      <c r="K154" s="18"/>
      <c r="L154" s="19" t="str">
        <f t="shared" si="11"/>
        <v/>
      </c>
      <c r="M154" s="19" t="str">
        <f t="shared" si="11"/>
        <v/>
      </c>
      <c r="N154" s="20"/>
      <c r="P154" s="23">
        <f>_xlfn.MINIFS(C:C,B:B,P153,F:F,"&gt;"&amp;0)</f>
        <v>0</v>
      </c>
      <c r="Q154" s="24" t="str">
        <f>IFERROR(VLOOKUP($P154,$C:$J,6,FALSE),"")</f>
        <v/>
      </c>
      <c r="R154" s="24" t="str">
        <f>IFERROR(VLOOKUP($P154,$C:$J,4,FALSE),"")</f>
        <v/>
      </c>
      <c r="S154" s="25" t="str">
        <f>IFERROR(VLOOKUP($P154,$C:$J,8,FALSE),"")</f>
        <v/>
      </c>
    </row>
    <row r="155" spans="1:20" hidden="1" x14ac:dyDescent="0.25">
      <c r="A155" s="10" t="str">
        <f t="shared" si="14"/>
        <v/>
      </c>
      <c r="B155" s="11" t="str">
        <f t="shared" si="10"/>
        <v/>
      </c>
      <c r="C155" s="12"/>
      <c r="D155" s="13"/>
      <c r="E155" s="13"/>
      <c r="F155" s="14"/>
      <c r="G155" s="15"/>
      <c r="H155" s="16" t="s">
        <v>16</v>
      </c>
      <c r="I155" s="16" t="str">
        <f t="shared" si="12"/>
        <v/>
      </c>
      <c r="J155" s="17" t="str">
        <f t="shared" si="13"/>
        <v/>
      </c>
      <c r="K155" s="18"/>
      <c r="L155" s="19" t="str">
        <f t="shared" si="11"/>
        <v/>
      </c>
      <c r="M155" s="19" t="str">
        <f t="shared" si="11"/>
        <v/>
      </c>
      <c r="N155" s="20"/>
      <c r="P155" s="26" t="str">
        <f>IF(_xlfn.MINIFS($C:$C,$B:$B,P153,$C:$C,"&gt;"&amp;MAX(P154:P154),$F:$F,"&lt;&gt;"&amp;"")&gt;0,_xlfn.MINIFS($C:$C,$B:$B,P153,$C:$C,"&gt;"&amp;MAX(P154:P154),$F:$F,"&lt;&gt;"&amp;""),"")</f>
        <v/>
      </c>
      <c r="Q155" s="27" t="str">
        <f>IFERROR(VLOOKUP($P155,$C:$J,6,FALSE),"")</f>
        <v/>
      </c>
      <c r="R155" s="27" t="str">
        <f>IFERROR(VLOOKUP($P155,$C:$J,4,FALSE),"")</f>
        <v/>
      </c>
      <c r="S155" s="28" t="str">
        <f>IFERROR(VLOOKUP($P155,$C:$J,8,FALSE),"")</f>
        <v/>
      </c>
    </row>
    <row r="156" spans="1:20" hidden="1" x14ac:dyDescent="0.25">
      <c r="A156" s="10" t="str">
        <f t="shared" si="14"/>
        <v/>
      </c>
      <c r="B156" s="11" t="str">
        <f t="shared" si="10"/>
        <v/>
      </c>
      <c r="C156" s="12"/>
      <c r="D156" s="13"/>
      <c r="E156" s="13"/>
      <c r="F156" s="14"/>
      <c r="G156" s="15"/>
      <c r="H156" s="16" t="s">
        <v>16</v>
      </c>
      <c r="I156" s="16" t="str">
        <f t="shared" si="12"/>
        <v/>
      </c>
      <c r="J156" s="17" t="str">
        <f t="shared" si="13"/>
        <v/>
      </c>
      <c r="K156" s="18"/>
      <c r="L156" s="19" t="str">
        <f t="shared" si="11"/>
        <v/>
      </c>
      <c r="M156" s="19" t="str">
        <f t="shared" si="11"/>
        <v/>
      </c>
      <c r="N156" s="20"/>
      <c r="P156" s="26" t="str">
        <f>IF(_xlfn.MINIFS($C:$C,$B:$B,P153,$C:$C,"&gt;"&amp;MAX(P154:P155),$F:$F,"&lt;&gt;"&amp;"")&gt;0,_xlfn.MINIFS($C:$C,$B:$B,P153,$C:$C,"&gt;"&amp;MAX(P154:P155),$F:$F,"&lt;&gt;"&amp;""),"")</f>
        <v/>
      </c>
      <c r="Q156" s="27" t="str">
        <f>IFERROR(VLOOKUP($P156,$C:$J,6,FALSE),"")</f>
        <v/>
      </c>
      <c r="R156" s="27" t="str">
        <f>IFERROR(VLOOKUP($P156,$C:$J,4,FALSE),"")</f>
        <v/>
      </c>
      <c r="S156" s="28" t="str">
        <f>IFERROR(VLOOKUP($P156,$C:$J,8,FALSE),"")</f>
        <v/>
      </c>
    </row>
    <row r="157" spans="1:20" hidden="1" x14ac:dyDescent="0.25">
      <c r="A157" s="10" t="str">
        <f t="shared" si="14"/>
        <v/>
      </c>
      <c r="B157" s="11" t="str">
        <f t="shared" si="10"/>
        <v/>
      </c>
      <c r="C157" s="12"/>
      <c r="D157" s="13"/>
      <c r="E157" s="13"/>
      <c r="F157" s="14"/>
      <c r="G157" s="15"/>
      <c r="H157" s="16" t="s">
        <v>16</v>
      </c>
      <c r="I157" s="16" t="str">
        <f t="shared" si="12"/>
        <v/>
      </c>
      <c r="J157" s="17" t="str">
        <f t="shared" si="13"/>
        <v/>
      </c>
      <c r="K157" s="18"/>
      <c r="L157" s="19" t="str">
        <f t="shared" si="11"/>
        <v/>
      </c>
      <c r="M157" s="19" t="str">
        <f t="shared" si="11"/>
        <v/>
      </c>
      <c r="N157" s="20"/>
      <c r="P157" s="26" t="str">
        <f>IF(_xlfn.MINIFS($C:$C,$B:$B,P153,$C:$C,"&gt;"&amp;MAX(P154:P156),$F:$F,"&lt;&gt;"&amp;"")&gt;0,_xlfn.MINIFS($C:$C,$B:$B,P153,$C:$C,"&gt;"&amp;MAX(P154:P156),$F:$F,"&lt;&gt;"&amp;""),"")</f>
        <v/>
      </c>
      <c r="Q157" s="27" t="str">
        <f>IFERROR(VLOOKUP($P157,$C:$J,6,FALSE),"")</f>
        <v/>
      </c>
      <c r="R157" s="27" t="str">
        <f>IFERROR(VLOOKUP($P157,$C:$J,4,FALSE),"")</f>
        <v/>
      </c>
      <c r="S157" s="28" t="str">
        <f>IFERROR(VLOOKUP($P157,$C:$J,8,FALSE),"")</f>
        <v/>
      </c>
    </row>
    <row r="158" spans="1:20" hidden="1" x14ac:dyDescent="0.25">
      <c r="A158" s="10" t="str">
        <f t="shared" si="14"/>
        <v/>
      </c>
      <c r="B158" s="11" t="str">
        <f t="shared" si="10"/>
        <v/>
      </c>
      <c r="C158" s="12"/>
      <c r="D158" s="13"/>
      <c r="E158" s="13"/>
      <c r="F158" s="14"/>
      <c r="G158" s="15"/>
      <c r="H158" s="16" t="s">
        <v>16</v>
      </c>
      <c r="I158" s="16" t="str">
        <f t="shared" si="12"/>
        <v/>
      </c>
      <c r="J158" s="17" t="str">
        <f t="shared" si="13"/>
        <v/>
      </c>
      <c r="K158" s="18"/>
      <c r="L158" s="19" t="str">
        <f t="shared" si="11"/>
        <v/>
      </c>
      <c r="M158" s="19" t="str">
        <f t="shared" si="11"/>
        <v/>
      </c>
      <c r="N158" s="20"/>
      <c r="P158" s="26" t="str">
        <f>IF(_xlfn.MINIFS($C:$C,$B:$B,P153,$C:$C,"&gt;"&amp;MAX(P154:P157),$F:$F,"&lt;&gt;"&amp;"")&gt;0,_xlfn.MINIFS($C:$C,$B:$B,P153,$C:$C,"&gt;"&amp;MAX(P154:P157),$F:$F,"&lt;&gt;"&amp;""),"")</f>
        <v/>
      </c>
      <c r="Q158" s="27" t="str">
        <f>IFERROR(VLOOKUP($P158,$C:$J,6,FALSE),"")</f>
        <v/>
      </c>
      <c r="R158" s="27" t="str">
        <f>IFERROR(VLOOKUP($P158,$C:$J,4,FALSE),"")</f>
        <v/>
      </c>
      <c r="S158" s="28" t="str">
        <f>IFERROR(VLOOKUP($P158,$C:$J,8,FALSE),"")</f>
        <v/>
      </c>
    </row>
    <row r="159" spans="1:20" hidden="1" x14ac:dyDescent="0.25">
      <c r="A159" s="10" t="str">
        <f t="shared" si="14"/>
        <v/>
      </c>
      <c r="B159" s="11" t="str">
        <f t="shared" si="10"/>
        <v/>
      </c>
      <c r="C159" s="12"/>
      <c r="D159" s="13"/>
      <c r="E159" s="13"/>
      <c r="F159" s="14"/>
      <c r="G159" s="15"/>
      <c r="H159" s="16" t="s">
        <v>16</v>
      </c>
      <c r="I159" s="16" t="str">
        <f t="shared" si="12"/>
        <v/>
      </c>
      <c r="J159" s="17" t="str">
        <f t="shared" si="13"/>
        <v/>
      </c>
      <c r="K159" s="18"/>
      <c r="L159" s="19" t="str">
        <f t="shared" si="11"/>
        <v/>
      </c>
      <c r="M159" s="19" t="str">
        <f t="shared" si="11"/>
        <v/>
      </c>
      <c r="N159" s="20"/>
      <c r="P159" s="26" t="str">
        <f>IF(_xlfn.MINIFS($C:$C,$B:$B,P153,$C:$C,"&gt;"&amp;MAX(P154:P158),$F:$F,"&lt;&gt;"&amp;"")&gt;0,_xlfn.MINIFS($C:$C,$B:$B,P153,$C:$C,"&gt;"&amp;MAX(P154:P158),$F:$F,"&lt;&gt;"&amp;""),"")</f>
        <v/>
      </c>
      <c r="Q159" s="27" t="str">
        <f>IFERROR(VLOOKUP($P159,$C:$J,6,FALSE),"")</f>
        <v/>
      </c>
      <c r="R159" s="27" t="str">
        <f>IFERROR(VLOOKUP($P159,$C:$J,4,FALSE),"")</f>
        <v/>
      </c>
      <c r="S159" s="28" t="str">
        <f>IFERROR(VLOOKUP($P159,$C:$J,8,FALSE),"")</f>
        <v/>
      </c>
    </row>
    <row r="160" spans="1:20" hidden="1" x14ac:dyDescent="0.25">
      <c r="A160" s="10" t="str">
        <f t="shared" si="14"/>
        <v/>
      </c>
      <c r="B160" s="11" t="str">
        <f t="shared" si="10"/>
        <v/>
      </c>
      <c r="C160" s="12"/>
      <c r="D160" s="13"/>
      <c r="E160" s="13"/>
      <c r="F160" s="14"/>
      <c r="G160" s="15"/>
      <c r="H160" s="16" t="s">
        <v>16</v>
      </c>
      <c r="I160" s="16" t="str">
        <f t="shared" si="12"/>
        <v/>
      </c>
      <c r="J160" s="17" t="str">
        <f t="shared" si="13"/>
        <v/>
      </c>
      <c r="K160" s="18"/>
      <c r="L160" s="19" t="str">
        <f t="shared" si="11"/>
        <v/>
      </c>
      <c r="M160" s="19" t="str">
        <f t="shared" si="11"/>
        <v/>
      </c>
      <c r="N160" s="20"/>
      <c r="P160" s="26" t="str">
        <f>IF(_xlfn.MINIFS($C:$C,$B:$B,P153,$C:$C,"&gt;"&amp;MAX(P154:P159),$F:$F,"&lt;&gt;"&amp;"")&gt;0,_xlfn.MINIFS($C:$C,$B:$B,P153,$C:$C,"&gt;"&amp;MAX(P154:P159),$F:$F,"&lt;&gt;"&amp;""),"")</f>
        <v/>
      </c>
      <c r="Q160" s="27" t="str">
        <f>IFERROR(VLOOKUP($P160,$C:$J,6,FALSE),"")</f>
        <v/>
      </c>
      <c r="R160" s="27" t="str">
        <f>IFERROR(VLOOKUP($P160,$C:$J,4,FALSE),"")</f>
        <v/>
      </c>
      <c r="S160" s="28" t="str">
        <f>IFERROR(VLOOKUP($P160,$C:$J,8,FALSE),"")</f>
        <v/>
      </c>
    </row>
    <row r="161" spans="1:20" hidden="1" x14ac:dyDescent="0.25">
      <c r="A161" s="10" t="str">
        <f t="shared" si="14"/>
        <v/>
      </c>
      <c r="B161" s="11" t="str">
        <f t="shared" si="10"/>
        <v/>
      </c>
      <c r="C161" s="12"/>
      <c r="D161" s="13"/>
      <c r="E161" s="13"/>
      <c r="F161" s="14"/>
      <c r="G161" s="15"/>
      <c r="H161" s="16" t="s">
        <v>16</v>
      </c>
      <c r="I161" s="16" t="str">
        <f t="shared" si="12"/>
        <v/>
      </c>
      <c r="J161" s="17" t="str">
        <f t="shared" si="13"/>
        <v/>
      </c>
      <c r="K161" s="18"/>
      <c r="L161" s="19" t="str">
        <f t="shared" si="11"/>
        <v/>
      </c>
      <c r="M161" s="19" t="str">
        <f t="shared" si="11"/>
        <v/>
      </c>
      <c r="N161" s="20"/>
      <c r="P161" s="26" t="str">
        <f>IF(_xlfn.MINIFS($C:$C,$B:$B,P153,$C:$C,"&gt;"&amp;MAX(P154:P160),$F:$F,"&lt;&gt;"&amp;"")&gt;0,_xlfn.MINIFS($C:$C,$B:$B,P153,$C:$C,"&gt;"&amp;MAX(P154:P160),$F:$F,"&lt;&gt;"&amp;""),"")</f>
        <v/>
      </c>
      <c r="Q161" s="27" t="str">
        <f>IFERROR(VLOOKUP($P161,$C:$J,6,FALSE),"")</f>
        <v/>
      </c>
      <c r="R161" s="27" t="str">
        <f>IFERROR(VLOOKUP($P161,$C:$J,4,FALSE),"")</f>
        <v/>
      </c>
      <c r="S161" s="28" t="str">
        <f>IFERROR(VLOOKUP($P161,$C:$J,8,FALSE),"")</f>
        <v/>
      </c>
    </row>
    <row r="162" spans="1:20" hidden="1" x14ac:dyDescent="0.25">
      <c r="A162" s="10" t="str">
        <f t="shared" si="14"/>
        <v/>
      </c>
      <c r="B162" s="11" t="str">
        <f t="shared" si="10"/>
        <v/>
      </c>
      <c r="C162" s="12"/>
      <c r="D162" s="13"/>
      <c r="E162" s="13"/>
      <c r="F162" s="14"/>
      <c r="G162" s="15"/>
      <c r="H162" s="16" t="s">
        <v>16</v>
      </c>
      <c r="I162" s="16" t="str">
        <f t="shared" si="12"/>
        <v/>
      </c>
      <c r="J162" s="17" t="str">
        <f t="shared" si="13"/>
        <v/>
      </c>
      <c r="K162" s="18"/>
      <c r="L162" s="19" t="str">
        <f t="shared" si="11"/>
        <v/>
      </c>
      <c r="M162" s="19" t="str">
        <f t="shared" si="11"/>
        <v/>
      </c>
      <c r="N162" s="20"/>
      <c r="P162" s="26" t="str">
        <f>IF(_xlfn.MINIFS($C:$C,$B:$B,P153,$C:$C,"&gt;"&amp;MAX(P154:P161),$F:$F,"&lt;&gt;"&amp;"")&gt;0,_xlfn.MINIFS($C:$C,$B:$B,P153,$C:$C,"&gt;"&amp;MAX(P154:P161),$F:$F,"&lt;&gt;"&amp;""),"")</f>
        <v/>
      </c>
      <c r="Q162" s="27" t="str">
        <f>IFERROR(VLOOKUP($P162,$C:$J,6,FALSE),"")</f>
        <v/>
      </c>
      <c r="R162" s="27" t="str">
        <f>IFERROR(VLOOKUP($P162,$C:$J,4,FALSE),"")</f>
        <v/>
      </c>
      <c r="S162" s="28" t="str">
        <f>IFERROR(VLOOKUP($P162,$C:$J,8,FALSE),"")</f>
        <v/>
      </c>
    </row>
    <row r="163" spans="1:20" hidden="1" x14ac:dyDescent="0.25">
      <c r="A163" s="10" t="str">
        <f t="shared" si="14"/>
        <v/>
      </c>
      <c r="B163" s="11" t="str">
        <f t="shared" si="10"/>
        <v/>
      </c>
      <c r="C163" s="12"/>
      <c r="D163" s="13"/>
      <c r="E163" s="13"/>
      <c r="F163" s="14"/>
      <c r="G163" s="15"/>
      <c r="H163" s="16" t="s">
        <v>16</v>
      </c>
      <c r="I163" s="16" t="str">
        <f t="shared" si="12"/>
        <v/>
      </c>
      <c r="J163" s="17" t="str">
        <f t="shared" si="13"/>
        <v/>
      </c>
      <c r="K163" s="18"/>
      <c r="L163" s="19" t="str">
        <f t="shared" si="11"/>
        <v/>
      </c>
      <c r="M163" s="19" t="str">
        <f t="shared" si="11"/>
        <v/>
      </c>
      <c r="N163" s="20"/>
      <c r="P163" s="26" t="str">
        <f>IF(_xlfn.MINIFS($C:$C,$B:$B,P153,$C:$C,"&gt;"&amp;MAX(P154:P162),$F:$F,"&lt;&gt;"&amp;"")&gt;0,_xlfn.MINIFS($C:$C,$B:$B,P153,$C:$C,"&gt;"&amp;MAX(P154:P162),$F:$F,"&lt;&gt;"&amp;""),"")</f>
        <v/>
      </c>
      <c r="Q163" s="27" t="str">
        <f>IFERROR(VLOOKUP($P163,$C:$J,6,FALSE),"")</f>
        <v/>
      </c>
      <c r="R163" s="27" t="str">
        <f>IFERROR(VLOOKUP($P163,$C:$J,4,FALSE),"")</f>
        <v/>
      </c>
      <c r="S163" s="28" t="str">
        <f>IFERROR(VLOOKUP($P163,$C:$J,8,FALSE),"")</f>
        <v/>
      </c>
    </row>
    <row r="164" spans="1:20" hidden="1" x14ac:dyDescent="0.25">
      <c r="A164" s="10" t="str">
        <f t="shared" si="14"/>
        <v/>
      </c>
      <c r="B164" s="11" t="str">
        <f t="shared" si="10"/>
        <v/>
      </c>
      <c r="C164" s="12"/>
      <c r="D164" s="13"/>
      <c r="E164" s="13"/>
      <c r="F164" s="14"/>
      <c r="G164" s="15"/>
      <c r="H164" s="16" t="s">
        <v>16</v>
      </c>
      <c r="I164" s="16" t="str">
        <f t="shared" si="12"/>
        <v/>
      </c>
      <c r="J164" s="17" t="str">
        <f t="shared" si="13"/>
        <v/>
      </c>
      <c r="K164" s="18"/>
      <c r="L164" s="19" t="str">
        <f t="shared" si="11"/>
        <v/>
      </c>
      <c r="M164" s="19" t="str">
        <f t="shared" si="11"/>
        <v/>
      </c>
      <c r="N164" s="20"/>
      <c r="P164" s="26" t="str">
        <f>IF(_xlfn.MINIFS($C:$C,$B:$B,P153,$C:$C,"&gt;"&amp;MAX(P154:P163),$F:$F,"&lt;&gt;"&amp;"")&gt;0,_xlfn.MINIFS($C:$C,$B:$B,P153,$C:$C,"&gt;"&amp;MAX(P154:P163),$F:$F,"&lt;&gt;"&amp;""),"")</f>
        <v/>
      </c>
      <c r="Q164" s="27" t="str">
        <f>IFERROR(VLOOKUP($P164,$C:$J,6,FALSE),"")</f>
        <v/>
      </c>
      <c r="R164" s="27" t="str">
        <f>IFERROR(VLOOKUP($P164,$C:$J,4,FALSE),"")</f>
        <v/>
      </c>
      <c r="S164" s="28" t="str">
        <f>IFERROR(VLOOKUP($P164,$C:$J,8,FALSE),"")</f>
        <v/>
      </c>
      <c r="T164" s="35"/>
    </row>
    <row r="165" spans="1:20" hidden="1" x14ac:dyDescent="0.25">
      <c r="A165" s="10" t="str">
        <f t="shared" si="14"/>
        <v/>
      </c>
      <c r="B165" s="11" t="str">
        <f t="shared" si="10"/>
        <v/>
      </c>
      <c r="C165" s="12"/>
      <c r="D165" s="13"/>
      <c r="E165" s="13"/>
      <c r="F165" s="14"/>
      <c r="G165" s="15"/>
      <c r="H165" s="16" t="s">
        <v>16</v>
      </c>
      <c r="I165" s="16" t="str">
        <f t="shared" si="12"/>
        <v/>
      </c>
      <c r="J165" s="17" t="str">
        <f t="shared" si="13"/>
        <v/>
      </c>
      <c r="K165" s="18"/>
      <c r="L165" s="19" t="str">
        <f t="shared" si="11"/>
        <v/>
      </c>
      <c r="M165" s="19" t="str">
        <f t="shared" si="11"/>
        <v/>
      </c>
      <c r="N165" s="20"/>
      <c r="P165" s="29" t="str">
        <f>IF(_xlfn.MINIFS($C:$C,$B:$B,P153,$C:$C,"&gt;"&amp;MAX(P154:P164),$F:$F,"&lt;&gt;"&amp;"")&gt;0,_xlfn.MINIFS($C:$C,$B:$B,P153,$C:$C,"&gt;"&amp;MAX(P154:P164),$F:$F,"&lt;&gt;"&amp;""),"")</f>
        <v/>
      </c>
      <c r="Q165" s="30" t="str">
        <f>IFERROR(VLOOKUP($P165,$C:$J,6,FALSE),"")</f>
        <v/>
      </c>
      <c r="R165" s="30" t="str">
        <f>IFERROR(VLOOKUP($P165,$C:$J,4,FALSE),"")</f>
        <v/>
      </c>
      <c r="S165" s="31" t="str">
        <f>IFERROR(VLOOKUP($P165,$C:$J,8,FALSE),"")</f>
        <v/>
      </c>
      <c r="T165" s="35"/>
    </row>
    <row r="166" spans="1:20" hidden="1" x14ac:dyDescent="0.25">
      <c r="A166" s="10" t="str">
        <f t="shared" si="14"/>
        <v/>
      </c>
      <c r="B166" s="11" t="str">
        <f t="shared" si="10"/>
        <v/>
      </c>
      <c r="C166" s="12"/>
      <c r="D166" s="13"/>
      <c r="E166" s="13"/>
      <c r="F166" s="14"/>
      <c r="G166" s="15"/>
      <c r="H166" s="16" t="s">
        <v>16</v>
      </c>
      <c r="I166" s="16" t="str">
        <f t="shared" si="12"/>
        <v/>
      </c>
      <c r="J166" s="17" t="str">
        <f t="shared" si="13"/>
        <v/>
      </c>
      <c r="K166" s="18"/>
      <c r="L166" s="19" t="str">
        <f t="shared" si="11"/>
        <v/>
      </c>
      <c r="M166" s="19" t="str">
        <f t="shared" si="11"/>
        <v/>
      </c>
      <c r="N166" s="20"/>
      <c r="P166" s="32" t="str">
        <f>"TOTAL "&amp;$P153</f>
        <v>TOTAL 0</v>
      </c>
      <c r="Q166" s="33">
        <f>SUM(Q154:Q165)</f>
        <v>0</v>
      </c>
      <c r="R166" s="33">
        <f>SUM(R154:R165)</f>
        <v>0</v>
      </c>
      <c r="S166" s="34" t="str">
        <f>IFERROR(R166/Q166,"")</f>
        <v/>
      </c>
    </row>
    <row r="167" spans="1:20" hidden="1" x14ac:dyDescent="0.25">
      <c r="A167" s="10" t="str">
        <f t="shared" si="14"/>
        <v/>
      </c>
      <c r="B167" s="11" t="str">
        <f t="shared" si="10"/>
        <v/>
      </c>
      <c r="C167" s="12"/>
      <c r="D167" s="13"/>
      <c r="E167" s="13"/>
      <c r="F167" s="14"/>
      <c r="G167" s="15"/>
      <c r="H167" s="16" t="s">
        <v>16</v>
      </c>
      <c r="I167" s="16" t="str">
        <f t="shared" si="12"/>
        <v/>
      </c>
      <c r="J167" s="17" t="str">
        <f t="shared" si="13"/>
        <v/>
      </c>
      <c r="K167" s="18"/>
      <c r="L167" s="19" t="str">
        <f t="shared" si="11"/>
        <v/>
      </c>
      <c r="M167" s="19" t="str">
        <f t="shared" si="11"/>
        <v/>
      </c>
      <c r="N167" s="20"/>
    </row>
    <row r="168" spans="1:20" hidden="1" x14ac:dyDescent="0.25">
      <c r="A168" s="10" t="str">
        <f t="shared" si="14"/>
        <v/>
      </c>
      <c r="B168" s="11" t="str">
        <f t="shared" si="10"/>
        <v/>
      </c>
      <c r="C168" s="12"/>
      <c r="D168" s="13"/>
      <c r="E168" s="13"/>
      <c r="F168" s="14"/>
      <c r="G168" s="15"/>
      <c r="H168" s="16" t="s">
        <v>16</v>
      </c>
      <c r="I168" s="16" t="str">
        <f t="shared" si="12"/>
        <v/>
      </c>
      <c r="J168" s="17" t="str">
        <f t="shared" si="13"/>
        <v/>
      </c>
      <c r="K168" s="18"/>
      <c r="L168" s="19" t="str">
        <f t="shared" si="11"/>
        <v/>
      </c>
      <c r="M168" s="19" t="str">
        <f t="shared" si="11"/>
        <v/>
      </c>
      <c r="N168" s="20"/>
      <c r="P168" s="21">
        <f>_xlfn.MINIFS($B:$B,$B:$B,"&gt;"&amp;MAX($P$3,$P$18,$P$33,P$48,P$63,P$78,P$93,P$108,P$123,P$138,P$153))</f>
        <v>0</v>
      </c>
      <c r="Q168" s="22" t="s">
        <v>13</v>
      </c>
      <c r="R168" s="22" t="s">
        <v>14</v>
      </c>
      <c r="S168" s="22" t="s">
        <v>15</v>
      </c>
    </row>
    <row r="169" spans="1:20" hidden="1" x14ac:dyDescent="0.25">
      <c r="A169" s="10" t="str">
        <f t="shared" si="14"/>
        <v/>
      </c>
      <c r="B169" s="11" t="str">
        <f t="shared" si="10"/>
        <v/>
      </c>
      <c r="C169" s="12"/>
      <c r="D169" s="13"/>
      <c r="E169" s="13"/>
      <c r="F169" s="14"/>
      <c r="G169" s="15"/>
      <c r="H169" s="16" t="s">
        <v>16</v>
      </c>
      <c r="I169" s="16" t="str">
        <f t="shared" si="12"/>
        <v/>
      </c>
      <c r="J169" s="17" t="str">
        <f t="shared" si="13"/>
        <v/>
      </c>
      <c r="K169" s="18"/>
      <c r="L169" s="19" t="str">
        <f t="shared" si="11"/>
        <v/>
      </c>
      <c r="M169" s="19" t="str">
        <f t="shared" si="11"/>
        <v/>
      </c>
      <c r="N169" s="20"/>
      <c r="P169" s="23">
        <f>_xlfn.MINIFS(C:C,B:B,P168,F:F,"&gt;"&amp;0)</f>
        <v>0</v>
      </c>
      <c r="Q169" s="24" t="str">
        <f>IFERROR(VLOOKUP($P169,$C:$J,6,FALSE),"")</f>
        <v/>
      </c>
      <c r="R169" s="24" t="str">
        <f>IFERROR(VLOOKUP($P169,$C:$J,4,FALSE),"")</f>
        <v/>
      </c>
      <c r="S169" s="25" t="str">
        <f>IFERROR(VLOOKUP($P169,$C:$J,8,FALSE),"")</f>
        <v/>
      </c>
    </row>
    <row r="170" spans="1:20" hidden="1" x14ac:dyDescent="0.25">
      <c r="A170" s="10" t="str">
        <f t="shared" si="14"/>
        <v/>
      </c>
      <c r="B170" s="11" t="str">
        <f t="shared" si="10"/>
        <v/>
      </c>
      <c r="C170" s="12"/>
      <c r="D170" s="13"/>
      <c r="E170" s="13"/>
      <c r="F170" s="14"/>
      <c r="G170" s="15"/>
      <c r="H170" s="16" t="s">
        <v>16</v>
      </c>
      <c r="I170" s="16" t="str">
        <f t="shared" si="12"/>
        <v/>
      </c>
      <c r="J170" s="17" t="str">
        <f t="shared" si="13"/>
        <v/>
      </c>
      <c r="K170" s="18"/>
      <c r="L170" s="19" t="str">
        <f t="shared" si="11"/>
        <v/>
      </c>
      <c r="M170" s="19" t="str">
        <f t="shared" si="11"/>
        <v/>
      </c>
      <c r="N170" s="20"/>
      <c r="P170" s="26" t="str">
        <f>IF(_xlfn.MINIFS($C:$C,$B:$B,P168,$C:$C,"&gt;"&amp;MAX(P169:P169),$F:$F,"&lt;&gt;"&amp;"")&gt;0,_xlfn.MINIFS($C:$C,$B:$B,P168,$C:$C,"&gt;"&amp;MAX(P169:P169),$F:$F,"&lt;&gt;"&amp;""),"")</f>
        <v/>
      </c>
      <c r="Q170" s="27" t="str">
        <f>IFERROR(VLOOKUP($P170,$C:$J,6,FALSE),"")</f>
        <v/>
      </c>
      <c r="R170" s="27" t="str">
        <f>IFERROR(VLOOKUP($P170,$C:$J,4,FALSE),"")</f>
        <v/>
      </c>
      <c r="S170" s="28" t="str">
        <f>IFERROR(VLOOKUP($P170,$C:$J,8,FALSE),"")</f>
        <v/>
      </c>
    </row>
    <row r="171" spans="1:20" hidden="1" x14ac:dyDescent="0.25">
      <c r="A171" s="10" t="str">
        <f t="shared" si="14"/>
        <v/>
      </c>
      <c r="B171" s="11" t="str">
        <f t="shared" si="10"/>
        <v/>
      </c>
      <c r="C171" s="12"/>
      <c r="D171" s="13"/>
      <c r="E171" s="13"/>
      <c r="F171" s="14"/>
      <c r="G171" s="15"/>
      <c r="H171" s="16" t="s">
        <v>16</v>
      </c>
      <c r="I171" s="16" t="str">
        <f t="shared" si="12"/>
        <v/>
      </c>
      <c r="J171" s="17" t="str">
        <f t="shared" si="13"/>
        <v/>
      </c>
      <c r="K171" s="18"/>
      <c r="L171" s="19" t="str">
        <f t="shared" si="11"/>
        <v/>
      </c>
      <c r="M171" s="19" t="str">
        <f t="shared" si="11"/>
        <v/>
      </c>
      <c r="N171" s="20"/>
      <c r="P171" s="26" t="str">
        <f>IF(_xlfn.MINIFS($C:$C,$B:$B,P168,$C:$C,"&gt;"&amp;MAX(P169:P170),$F:$F,"&lt;&gt;"&amp;"")&gt;0,_xlfn.MINIFS($C:$C,$B:$B,P168,$C:$C,"&gt;"&amp;MAX(P169:P170),$F:$F,"&lt;&gt;"&amp;""),"")</f>
        <v/>
      </c>
      <c r="Q171" s="27" t="str">
        <f>IFERROR(VLOOKUP($P171,$C:$J,6,FALSE),"")</f>
        <v/>
      </c>
      <c r="R171" s="27" t="str">
        <f>IFERROR(VLOOKUP($P171,$C:$J,4,FALSE),"")</f>
        <v/>
      </c>
      <c r="S171" s="28" t="str">
        <f>IFERROR(VLOOKUP($P171,$C:$J,8,FALSE),"")</f>
        <v/>
      </c>
    </row>
    <row r="172" spans="1:20" hidden="1" x14ac:dyDescent="0.25">
      <c r="A172" s="10" t="str">
        <f t="shared" si="14"/>
        <v/>
      </c>
      <c r="B172" s="11" t="str">
        <f t="shared" si="10"/>
        <v/>
      </c>
      <c r="C172" s="12"/>
      <c r="D172" s="13"/>
      <c r="E172" s="13"/>
      <c r="F172" s="14"/>
      <c r="G172" s="15"/>
      <c r="H172" s="16" t="s">
        <v>16</v>
      </c>
      <c r="I172" s="16" t="str">
        <f t="shared" si="12"/>
        <v/>
      </c>
      <c r="J172" s="17" t="str">
        <f t="shared" si="13"/>
        <v/>
      </c>
      <c r="K172" s="18"/>
      <c r="L172" s="19" t="str">
        <f t="shared" si="11"/>
        <v/>
      </c>
      <c r="M172" s="19" t="str">
        <f t="shared" si="11"/>
        <v/>
      </c>
      <c r="N172" s="20"/>
      <c r="P172" s="26" t="str">
        <f>IF(_xlfn.MINIFS($C:$C,$B:$B,P168,$C:$C,"&gt;"&amp;MAX(P169:P171),$F:$F,"&lt;&gt;"&amp;"")&gt;0,_xlfn.MINIFS($C:$C,$B:$B,P168,$C:$C,"&gt;"&amp;MAX(P169:P171),$F:$F,"&lt;&gt;"&amp;""),"")</f>
        <v/>
      </c>
      <c r="Q172" s="27" t="str">
        <f>IFERROR(VLOOKUP($P172,$C:$J,6,FALSE),"")</f>
        <v/>
      </c>
      <c r="R172" s="27" t="str">
        <f>IFERROR(VLOOKUP($P172,$C:$J,4,FALSE),"")</f>
        <v/>
      </c>
      <c r="S172" s="28" t="str">
        <f>IFERROR(VLOOKUP($P172,$C:$J,8,FALSE),"")</f>
        <v/>
      </c>
    </row>
    <row r="173" spans="1:20" hidden="1" x14ac:dyDescent="0.25">
      <c r="A173" s="10" t="str">
        <f t="shared" si="14"/>
        <v/>
      </c>
      <c r="B173" s="11" t="str">
        <f t="shared" si="10"/>
        <v/>
      </c>
      <c r="C173" s="12"/>
      <c r="D173" s="13"/>
      <c r="E173" s="13"/>
      <c r="F173" s="14"/>
      <c r="G173" s="15"/>
      <c r="H173" s="16" t="s">
        <v>16</v>
      </c>
      <c r="I173" s="16" t="str">
        <f t="shared" si="12"/>
        <v/>
      </c>
      <c r="J173" s="17" t="str">
        <f t="shared" si="13"/>
        <v/>
      </c>
      <c r="K173" s="18"/>
      <c r="L173" s="19" t="str">
        <f t="shared" si="11"/>
        <v/>
      </c>
      <c r="M173" s="19" t="str">
        <f t="shared" si="11"/>
        <v/>
      </c>
      <c r="N173" s="20"/>
      <c r="P173" s="26" t="str">
        <f>IF(_xlfn.MINIFS($C:$C,$B:$B,P168,$C:$C,"&gt;"&amp;MAX(P169:P172),$F:$F,"&lt;&gt;"&amp;"")&gt;0,_xlfn.MINIFS($C:$C,$B:$B,P168,$C:$C,"&gt;"&amp;MAX(P169:P172),$F:$F,"&lt;&gt;"&amp;""),"")</f>
        <v/>
      </c>
      <c r="Q173" s="27" t="str">
        <f>IFERROR(VLOOKUP($P173,$C:$J,6,FALSE),"")</f>
        <v/>
      </c>
      <c r="R173" s="27" t="str">
        <f>IFERROR(VLOOKUP($P173,$C:$J,4,FALSE),"")</f>
        <v/>
      </c>
      <c r="S173" s="28" t="str">
        <f>IFERROR(VLOOKUP($P173,$C:$J,8,FALSE),"")</f>
        <v/>
      </c>
    </row>
    <row r="174" spans="1:20" hidden="1" x14ac:dyDescent="0.25">
      <c r="A174" s="10" t="str">
        <f t="shared" si="14"/>
        <v/>
      </c>
      <c r="B174" s="11" t="str">
        <f t="shared" si="10"/>
        <v/>
      </c>
      <c r="C174" s="12"/>
      <c r="D174" s="13"/>
      <c r="E174" s="13"/>
      <c r="F174" s="14"/>
      <c r="G174" s="15"/>
      <c r="H174" s="16" t="s">
        <v>16</v>
      </c>
      <c r="I174" s="16" t="str">
        <f t="shared" si="12"/>
        <v/>
      </c>
      <c r="J174" s="17" t="str">
        <f t="shared" si="13"/>
        <v/>
      </c>
      <c r="K174" s="18"/>
      <c r="L174" s="19" t="str">
        <f t="shared" si="11"/>
        <v/>
      </c>
      <c r="M174" s="19" t="str">
        <f t="shared" si="11"/>
        <v/>
      </c>
      <c r="N174" s="20"/>
      <c r="P174" s="26" t="str">
        <f>IF(_xlfn.MINIFS($C:$C,$B:$B,P168,$C:$C,"&gt;"&amp;MAX(P169:P173),$F:$F,"&lt;&gt;"&amp;"")&gt;0,_xlfn.MINIFS($C:$C,$B:$B,P168,$C:$C,"&gt;"&amp;MAX(P169:P173),$F:$F,"&lt;&gt;"&amp;""),"")</f>
        <v/>
      </c>
      <c r="Q174" s="27" t="str">
        <f>IFERROR(VLOOKUP($P174,$C:$J,6,FALSE),"")</f>
        <v/>
      </c>
      <c r="R174" s="27" t="str">
        <f>IFERROR(VLOOKUP($P174,$C:$J,4,FALSE),"")</f>
        <v/>
      </c>
      <c r="S174" s="28" t="str">
        <f>IFERROR(VLOOKUP($P174,$C:$J,8,FALSE),"")</f>
        <v/>
      </c>
    </row>
    <row r="175" spans="1:20" hidden="1" x14ac:dyDescent="0.25">
      <c r="A175" s="10" t="str">
        <f t="shared" si="14"/>
        <v/>
      </c>
      <c r="B175" s="11" t="str">
        <f t="shared" si="10"/>
        <v/>
      </c>
      <c r="C175" s="12"/>
      <c r="D175" s="13"/>
      <c r="E175" s="13"/>
      <c r="F175" s="14"/>
      <c r="G175" s="15"/>
      <c r="H175" s="16" t="s">
        <v>16</v>
      </c>
      <c r="I175" s="16" t="str">
        <f t="shared" si="12"/>
        <v/>
      </c>
      <c r="J175" s="17" t="str">
        <f t="shared" si="13"/>
        <v/>
      </c>
      <c r="K175" s="18"/>
      <c r="L175" s="19" t="str">
        <f t="shared" si="11"/>
        <v/>
      </c>
      <c r="M175" s="19" t="str">
        <f t="shared" si="11"/>
        <v/>
      </c>
      <c r="N175" s="20"/>
      <c r="P175" s="26" t="str">
        <f>IF(_xlfn.MINIFS($C:$C,$B:$B,P168,$C:$C,"&gt;"&amp;MAX(P169:P174),$F:$F,"&lt;&gt;"&amp;"")&gt;0,_xlfn.MINIFS($C:$C,$B:$B,P168,$C:$C,"&gt;"&amp;MAX(P169:P174),$F:$F,"&lt;&gt;"&amp;""),"")</f>
        <v/>
      </c>
      <c r="Q175" s="27" t="str">
        <f>IFERROR(VLOOKUP($P175,$C:$J,6,FALSE),"")</f>
        <v/>
      </c>
      <c r="R175" s="27" t="str">
        <f>IFERROR(VLOOKUP($P175,$C:$J,4,FALSE),"")</f>
        <v/>
      </c>
      <c r="S175" s="28" t="str">
        <f>IFERROR(VLOOKUP($P175,$C:$J,8,FALSE),"")</f>
        <v/>
      </c>
    </row>
    <row r="176" spans="1:20" hidden="1" x14ac:dyDescent="0.25">
      <c r="A176" s="10" t="str">
        <f t="shared" si="14"/>
        <v/>
      </c>
      <c r="B176" s="11" t="str">
        <f t="shared" si="10"/>
        <v/>
      </c>
      <c r="C176" s="12"/>
      <c r="D176" s="13"/>
      <c r="E176" s="13"/>
      <c r="F176" s="14"/>
      <c r="G176" s="15"/>
      <c r="H176" s="16" t="s">
        <v>16</v>
      </c>
      <c r="I176" s="16" t="str">
        <f t="shared" si="12"/>
        <v/>
      </c>
      <c r="J176" s="17" t="str">
        <f t="shared" si="13"/>
        <v/>
      </c>
      <c r="K176" s="18"/>
      <c r="L176" s="19" t="str">
        <f t="shared" si="11"/>
        <v/>
      </c>
      <c r="M176" s="19" t="str">
        <f t="shared" si="11"/>
        <v/>
      </c>
      <c r="N176" s="20"/>
      <c r="P176" s="26" t="str">
        <f>IF(_xlfn.MINIFS($C:$C,$B:$B,P168,$C:$C,"&gt;"&amp;MAX(P169:P175),$F:$F,"&lt;&gt;"&amp;"")&gt;0,_xlfn.MINIFS($C:$C,$B:$B,P168,$C:$C,"&gt;"&amp;MAX(P169:P175),$F:$F,"&lt;&gt;"&amp;""),"")</f>
        <v/>
      </c>
      <c r="Q176" s="27" t="str">
        <f>IFERROR(VLOOKUP($P176,$C:$J,6,FALSE),"")</f>
        <v/>
      </c>
      <c r="R176" s="27" t="str">
        <f>IFERROR(VLOOKUP($P176,$C:$J,4,FALSE),"")</f>
        <v/>
      </c>
      <c r="S176" s="28" t="str">
        <f>IFERROR(VLOOKUP($P176,$C:$J,8,FALSE),"")</f>
        <v/>
      </c>
    </row>
    <row r="177" spans="1:20" hidden="1" x14ac:dyDescent="0.25">
      <c r="A177" s="10" t="str">
        <f t="shared" si="14"/>
        <v/>
      </c>
      <c r="B177" s="11" t="str">
        <f t="shared" si="10"/>
        <v/>
      </c>
      <c r="C177" s="12"/>
      <c r="D177" s="13"/>
      <c r="E177" s="13"/>
      <c r="F177" s="14"/>
      <c r="G177" s="15"/>
      <c r="H177" s="16" t="s">
        <v>16</v>
      </c>
      <c r="I177" s="16" t="str">
        <f t="shared" si="12"/>
        <v/>
      </c>
      <c r="J177" s="17" t="str">
        <f t="shared" si="13"/>
        <v/>
      </c>
      <c r="K177" s="18"/>
      <c r="L177" s="19" t="str">
        <f t="shared" si="11"/>
        <v/>
      </c>
      <c r="M177" s="19" t="str">
        <f t="shared" si="11"/>
        <v/>
      </c>
      <c r="N177" s="20"/>
      <c r="P177" s="26" t="str">
        <f>IF(_xlfn.MINIFS($C:$C,$B:$B,P168,$C:$C,"&gt;"&amp;MAX(P169:P176),$F:$F,"&lt;&gt;"&amp;"")&gt;0,_xlfn.MINIFS($C:$C,$B:$B,P168,$C:$C,"&gt;"&amp;MAX(P169:P176),$F:$F,"&lt;&gt;"&amp;""),"")</f>
        <v/>
      </c>
      <c r="Q177" s="27" t="str">
        <f>IFERROR(VLOOKUP($P177,$C:$J,6,FALSE),"")</f>
        <v/>
      </c>
      <c r="R177" s="27" t="str">
        <f>IFERROR(VLOOKUP($P177,$C:$J,4,FALSE),"")</f>
        <v/>
      </c>
      <c r="S177" s="28" t="str">
        <f>IFERROR(VLOOKUP($P177,$C:$J,8,FALSE),"")</f>
        <v/>
      </c>
    </row>
    <row r="178" spans="1:20" hidden="1" x14ac:dyDescent="0.25">
      <c r="A178" s="10" t="str">
        <f t="shared" si="14"/>
        <v/>
      </c>
      <c r="B178" s="11" t="str">
        <f t="shared" si="10"/>
        <v/>
      </c>
      <c r="C178" s="12"/>
      <c r="D178" s="13"/>
      <c r="E178" s="13"/>
      <c r="F178" s="14"/>
      <c r="G178" s="15"/>
      <c r="H178" s="16" t="s">
        <v>16</v>
      </c>
      <c r="I178" s="16" t="str">
        <f t="shared" si="12"/>
        <v/>
      </c>
      <c r="J178" s="17" t="str">
        <f t="shared" si="13"/>
        <v/>
      </c>
      <c r="K178" s="18"/>
      <c r="L178" s="19" t="str">
        <f t="shared" si="11"/>
        <v/>
      </c>
      <c r="M178" s="19" t="str">
        <f t="shared" si="11"/>
        <v/>
      </c>
      <c r="N178" s="20"/>
      <c r="P178" s="26" t="str">
        <f>IF(_xlfn.MINIFS($C:$C,$B:$B,P168,$C:$C,"&gt;"&amp;MAX(P169:P177),$F:$F,"&lt;&gt;"&amp;"")&gt;0,_xlfn.MINIFS($C:$C,$B:$B,P168,$C:$C,"&gt;"&amp;MAX(P169:P177),$F:$F,"&lt;&gt;"&amp;""),"")</f>
        <v/>
      </c>
      <c r="Q178" s="27" t="str">
        <f>IFERROR(VLOOKUP($P178,$C:$J,6,FALSE),"")</f>
        <v/>
      </c>
      <c r="R178" s="27" t="str">
        <f>IFERROR(VLOOKUP($P178,$C:$J,4,FALSE),"")</f>
        <v/>
      </c>
      <c r="S178" s="28" t="str">
        <f>IFERROR(VLOOKUP($P178,$C:$J,8,FALSE),"")</f>
        <v/>
      </c>
    </row>
    <row r="179" spans="1:20" hidden="1" x14ac:dyDescent="0.25">
      <c r="A179" s="10" t="str">
        <f t="shared" si="14"/>
        <v/>
      </c>
      <c r="B179" s="11" t="str">
        <f t="shared" si="10"/>
        <v/>
      </c>
      <c r="C179" s="12"/>
      <c r="D179" s="13"/>
      <c r="E179" s="13"/>
      <c r="F179" s="14"/>
      <c r="G179" s="15"/>
      <c r="H179" s="16" t="s">
        <v>16</v>
      </c>
      <c r="I179" s="16" t="str">
        <f t="shared" si="12"/>
        <v/>
      </c>
      <c r="J179" s="17" t="str">
        <f t="shared" si="13"/>
        <v/>
      </c>
      <c r="K179" s="18"/>
      <c r="L179" s="19" t="str">
        <f t="shared" si="11"/>
        <v/>
      </c>
      <c r="M179" s="19" t="str">
        <f t="shared" si="11"/>
        <v/>
      </c>
      <c r="N179" s="20"/>
      <c r="P179" s="26" t="str">
        <f>IF(_xlfn.MINIFS($C:$C,$B:$B,P168,$C:$C,"&gt;"&amp;MAX(P169:P178),$F:$F,"&lt;&gt;"&amp;"")&gt;0,_xlfn.MINIFS($C:$C,$B:$B,P168,$C:$C,"&gt;"&amp;MAX(P169:P178),$F:$F,"&lt;&gt;"&amp;""),"")</f>
        <v/>
      </c>
      <c r="Q179" s="27" t="str">
        <f>IFERROR(VLOOKUP($P179,$C:$J,6,FALSE),"")</f>
        <v/>
      </c>
      <c r="R179" s="27" t="str">
        <f>IFERROR(VLOOKUP($P179,$C:$J,4,FALSE),"")</f>
        <v/>
      </c>
      <c r="S179" s="28" t="str">
        <f>IFERROR(VLOOKUP($P179,$C:$J,8,FALSE),"")</f>
        <v/>
      </c>
      <c r="T179" s="35"/>
    </row>
    <row r="180" spans="1:20" hidden="1" x14ac:dyDescent="0.25">
      <c r="A180" s="10" t="str">
        <f t="shared" si="14"/>
        <v/>
      </c>
      <c r="B180" s="11" t="str">
        <f t="shared" si="10"/>
        <v/>
      </c>
      <c r="C180" s="12"/>
      <c r="D180" s="13"/>
      <c r="E180" s="13"/>
      <c r="F180" s="14"/>
      <c r="G180" s="15"/>
      <c r="H180" s="16" t="s">
        <v>16</v>
      </c>
      <c r="I180" s="16" t="str">
        <f t="shared" si="12"/>
        <v/>
      </c>
      <c r="J180" s="17" t="str">
        <f t="shared" si="13"/>
        <v/>
      </c>
      <c r="K180" s="18"/>
      <c r="L180" s="19" t="str">
        <f t="shared" si="11"/>
        <v/>
      </c>
      <c r="M180" s="19" t="str">
        <f t="shared" si="11"/>
        <v/>
      </c>
      <c r="N180" s="20"/>
      <c r="P180" s="29" t="str">
        <f>IF(_xlfn.MINIFS($C:$C,$B:$B,P168,$C:$C,"&gt;"&amp;MAX(P169:P179),$F:$F,"&lt;&gt;"&amp;"")&gt;0,_xlfn.MINIFS($C:$C,$B:$B,P168,$C:$C,"&gt;"&amp;MAX(P169:P179),$F:$F,"&lt;&gt;"&amp;""),"")</f>
        <v/>
      </c>
      <c r="Q180" s="30" t="str">
        <f>IFERROR(VLOOKUP($P180,$C:$J,6,FALSE),"")</f>
        <v/>
      </c>
      <c r="R180" s="30" t="str">
        <f>IFERROR(VLOOKUP($P180,$C:$J,4,FALSE),"")</f>
        <v/>
      </c>
      <c r="S180" s="31" t="str">
        <f>IFERROR(VLOOKUP($P180,$C:$J,8,FALSE),"")</f>
        <v/>
      </c>
      <c r="T180" s="35"/>
    </row>
    <row r="181" spans="1:20" hidden="1" x14ac:dyDescent="0.25">
      <c r="A181" s="10" t="str">
        <f t="shared" si="14"/>
        <v/>
      </c>
      <c r="B181" s="11" t="str">
        <f t="shared" si="10"/>
        <v/>
      </c>
      <c r="C181" s="12"/>
      <c r="D181" s="13"/>
      <c r="E181" s="13"/>
      <c r="F181" s="14"/>
      <c r="G181" s="15"/>
      <c r="H181" s="16" t="s">
        <v>16</v>
      </c>
      <c r="I181" s="16" t="str">
        <f t="shared" si="12"/>
        <v/>
      </c>
      <c r="J181" s="17" t="str">
        <f t="shared" si="13"/>
        <v/>
      </c>
      <c r="K181" s="18"/>
      <c r="L181" s="19" t="str">
        <f t="shared" si="11"/>
        <v/>
      </c>
      <c r="M181" s="19" t="str">
        <f t="shared" si="11"/>
        <v/>
      </c>
      <c r="N181" s="20"/>
      <c r="P181" s="32" t="str">
        <f>"TOTAL "&amp;$P168</f>
        <v>TOTAL 0</v>
      </c>
      <c r="Q181" s="33">
        <f>SUM(Q169:Q180)</f>
        <v>0</v>
      </c>
      <c r="R181" s="33">
        <f>SUM(R169:R180)</f>
        <v>0</v>
      </c>
      <c r="S181" s="34" t="str">
        <f>IFERROR(R181/Q181,"")</f>
        <v/>
      </c>
    </row>
    <row r="182" spans="1:20" hidden="1" x14ac:dyDescent="0.25">
      <c r="A182" s="10" t="str">
        <f t="shared" si="14"/>
        <v/>
      </c>
      <c r="B182" s="11" t="str">
        <f t="shared" si="10"/>
        <v/>
      </c>
      <c r="C182" s="12"/>
      <c r="D182" s="13"/>
      <c r="E182" s="13"/>
      <c r="F182" s="14"/>
      <c r="G182" s="15"/>
      <c r="H182" s="16" t="s">
        <v>16</v>
      </c>
      <c r="I182" s="16" t="str">
        <f t="shared" si="12"/>
        <v/>
      </c>
      <c r="J182" s="17" t="str">
        <f t="shared" si="13"/>
        <v/>
      </c>
      <c r="K182" s="18"/>
      <c r="L182" s="19" t="str">
        <f t="shared" si="11"/>
        <v/>
      </c>
      <c r="M182" s="19" t="str">
        <f t="shared" si="11"/>
        <v/>
      </c>
      <c r="N182" s="20"/>
    </row>
    <row r="183" spans="1:20" hidden="1" x14ac:dyDescent="0.25">
      <c r="A183" s="10" t="str">
        <f t="shared" si="14"/>
        <v/>
      </c>
      <c r="B183" s="11" t="str">
        <f t="shared" si="10"/>
        <v/>
      </c>
      <c r="C183" s="12"/>
      <c r="D183" s="13"/>
      <c r="E183" s="13"/>
      <c r="F183" s="14"/>
      <c r="G183" s="15"/>
      <c r="H183" s="16" t="s">
        <v>16</v>
      </c>
      <c r="I183" s="16" t="str">
        <f t="shared" si="12"/>
        <v/>
      </c>
      <c r="J183" s="17" t="str">
        <f t="shared" si="13"/>
        <v/>
      </c>
      <c r="K183" s="18"/>
      <c r="L183" s="19" t="str">
        <f t="shared" si="11"/>
        <v/>
      </c>
      <c r="M183" s="19" t="str">
        <f t="shared" si="11"/>
        <v/>
      </c>
      <c r="N183" s="20"/>
      <c r="P183" s="21">
        <f>_xlfn.MINIFS($B:$B,$B:$B,"&gt;"&amp;MAX($P$3,$P$18,$P$33,P$48,P$63,P$78,P$93,P$108,P$123,P$138,P$153,P$168))</f>
        <v>0</v>
      </c>
      <c r="Q183" s="22" t="s">
        <v>13</v>
      </c>
      <c r="R183" s="22" t="s">
        <v>14</v>
      </c>
      <c r="S183" s="22" t="s">
        <v>15</v>
      </c>
    </row>
    <row r="184" spans="1:20" hidden="1" x14ac:dyDescent="0.25">
      <c r="A184" s="10" t="str">
        <f t="shared" si="14"/>
        <v/>
      </c>
      <c r="B184" s="11" t="str">
        <f t="shared" si="10"/>
        <v/>
      </c>
      <c r="C184" s="12"/>
      <c r="D184" s="13"/>
      <c r="E184" s="13"/>
      <c r="F184" s="14"/>
      <c r="G184" s="15"/>
      <c r="H184" s="16" t="s">
        <v>16</v>
      </c>
      <c r="I184" s="16" t="str">
        <f t="shared" si="12"/>
        <v/>
      </c>
      <c r="J184" s="17" t="str">
        <f t="shared" si="13"/>
        <v/>
      </c>
      <c r="K184" s="18"/>
      <c r="L184" s="19" t="str">
        <f t="shared" si="11"/>
        <v/>
      </c>
      <c r="M184" s="19" t="str">
        <f t="shared" si="11"/>
        <v/>
      </c>
      <c r="N184" s="20"/>
      <c r="P184" s="23">
        <f>_xlfn.MINIFS(C:C,B:B,P183,F:F,"&gt;"&amp;0)</f>
        <v>0</v>
      </c>
      <c r="Q184" s="24" t="str">
        <f>IFERROR(VLOOKUP($P184,$C:$J,6,FALSE),"")</f>
        <v/>
      </c>
      <c r="R184" s="24" t="str">
        <f>IFERROR(VLOOKUP($P184,$C:$J,4,FALSE),"")</f>
        <v/>
      </c>
      <c r="S184" s="25" t="str">
        <f>IFERROR(VLOOKUP($P184,$C:$J,8,FALSE),"")</f>
        <v/>
      </c>
    </row>
    <row r="185" spans="1:20" hidden="1" x14ac:dyDescent="0.25">
      <c r="A185" s="10" t="str">
        <f t="shared" si="14"/>
        <v/>
      </c>
      <c r="B185" s="11" t="str">
        <f t="shared" si="10"/>
        <v/>
      </c>
      <c r="C185" s="12"/>
      <c r="D185" s="13"/>
      <c r="E185" s="13"/>
      <c r="F185" s="14"/>
      <c r="G185" s="15"/>
      <c r="H185" s="16" t="s">
        <v>16</v>
      </c>
      <c r="I185" s="16" t="str">
        <f t="shared" si="12"/>
        <v/>
      </c>
      <c r="J185" s="17" t="str">
        <f t="shared" si="13"/>
        <v/>
      </c>
      <c r="K185" s="18"/>
      <c r="L185" s="19" t="str">
        <f t="shared" si="11"/>
        <v/>
      </c>
      <c r="M185" s="19" t="str">
        <f t="shared" si="11"/>
        <v/>
      </c>
      <c r="N185" s="20"/>
      <c r="P185" s="26" t="str">
        <f>IF(_xlfn.MINIFS($C:$C,$B:$B,P183,$C:$C,"&gt;"&amp;MAX(P184:P184),$F:$F,"&lt;&gt;"&amp;"")&gt;0,_xlfn.MINIFS($C:$C,$B:$B,P183,$C:$C,"&gt;"&amp;MAX(P184:P184),$F:$F,"&lt;&gt;"&amp;""),"")</f>
        <v/>
      </c>
      <c r="Q185" s="27" t="str">
        <f>IFERROR(VLOOKUP($P185,$C:$J,6,FALSE),"")</f>
        <v/>
      </c>
      <c r="R185" s="27" t="str">
        <f>IFERROR(VLOOKUP($P185,$C:$J,4,FALSE),"")</f>
        <v/>
      </c>
      <c r="S185" s="28" t="str">
        <f>IFERROR(VLOOKUP($P185,$C:$J,8,FALSE),"")</f>
        <v/>
      </c>
    </row>
    <row r="186" spans="1:20" hidden="1" x14ac:dyDescent="0.25">
      <c r="A186" s="10" t="str">
        <f t="shared" si="14"/>
        <v/>
      </c>
      <c r="B186" s="11" t="str">
        <f t="shared" si="10"/>
        <v/>
      </c>
      <c r="C186" s="12"/>
      <c r="D186" s="13"/>
      <c r="E186" s="13"/>
      <c r="F186" s="14"/>
      <c r="G186" s="15"/>
      <c r="H186" s="16" t="s">
        <v>16</v>
      </c>
      <c r="I186" s="16" t="str">
        <f t="shared" si="12"/>
        <v/>
      </c>
      <c r="J186" s="17" t="str">
        <f t="shared" si="13"/>
        <v/>
      </c>
      <c r="K186" s="18"/>
      <c r="L186" s="19" t="str">
        <f t="shared" si="11"/>
        <v/>
      </c>
      <c r="M186" s="19" t="str">
        <f t="shared" si="11"/>
        <v/>
      </c>
      <c r="N186" s="20"/>
      <c r="P186" s="26" t="str">
        <f>IF(_xlfn.MINIFS($C:$C,$B:$B,P183,$C:$C,"&gt;"&amp;MAX(P184:P185),$F:$F,"&lt;&gt;"&amp;"")&gt;0,_xlfn.MINIFS($C:$C,$B:$B,P183,$C:$C,"&gt;"&amp;MAX(P184:P185),$F:$F,"&lt;&gt;"&amp;""),"")</f>
        <v/>
      </c>
      <c r="Q186" s="27" t="str">
        <f>IFERROR(VLOOKUP($P186,$C:$J,6,FALSE),"")</f>
        <v/>
      </c>
      <c r="R186" s="27" t="str">
        <f>IFERROR(VLOOKUP($P186,$C:$J,4,FALSE),"")</f>
        <v/>
      </c>
      <c r="S186" s="28" t="str">
        <f>IFERROR(VLOOKUP($P186,$C:$J,8,FALSE),"")</f>
        <v/>
      </c>
    </row>
    <row r="187" spans="1:20" hidden="1" x14ac:dyDescent="0.25">
      <c r="A187" s="10" t="str">
        <f t="shared" si="14"/>
        <v/>
      </c>
      <c r="B187" s="11" t="str">
        <f t="shared" si="10"/>
        <v/>
      </c>
      <c r="C187" s="12"/>
      <c r="D187" s="13"/>
      <c r="E187" s="13"/>
      <c r="F187" s="14"/>
      <c r="G187" s="15"/>
      <c r="H187" s="16" t="s">
        <v>16</v>
      </c>
      <c r="I187" s="16" t="str">
        <f t="shared" si="12"/>
        <v/>
      </c>
      <c r="J187" s="17" t="str">
        <f t="shared" si="13"/>
        <v/>
      </c>
      <c r="K187" s="18"/>
      <c r="L187" s="19" t="str">
        <f t="shared" si="11"/>
        <v/>
      </c>
      <c r="M187" s="19" t="str">
        <f t="shared" si="11"/>
        <v/>
      </c>
      <c r="N187" s="20"/>
      <c r="P187" s="26" t="str">
        <f>IF(_xlfn.MINIFS($C:$C,$B:$B,P183,$C:$C,"&gt;"&amp;MAX(P184:P186),$F:$F,"&lt;&gt;"&amp;"")&gt;0,_xlfn.MINIFS($C:$C,$B:$B,P183,$C:$C,"&gt;"&amp;MAX(P184:P186),$F:$F,"&lt;&gt;"&amp;""),"")</f>
        <v/>
      </c>
      <c r="Q187" s="27" t="str">
        <f>IFERROR(VLOOKUP($P187,$C:$J,6,FALSE),"")</f>
        <v/>
      </c>
      <c r="R187" s="27" t="str">
        <f>IFERROR(VLOOKUP($P187,$C:$J,4,FALSE),"")</f>
        <v/>
      </c>
      <c r="S187" s="28" t="str">
        <f>IFERROR(VLOOKUP($P187,$C:$J,8,FALSE),"")</f>
        <v/>
      </c>
    </row>
    <row r="188" spans="1:20" hidden="1" x14ac:dyDescent="0.25">
      <c r="A188" s="10" t="str">
        <f t="shared" si="14"/>
        <v/>
      </c>
      <c r="B188" s="11" t="str">
        <f t="shared" si="10"/>
        <v/>
      </c>
      <c r="C188" s="12"/>
      <c r="D188" s="13"/>
      <c r="E188" s="13"/>
      <c r="F188" s="14"/>
      <c r="G188" s="15"/>
      <c r="H188" s="16" t="s">
        <v>16</v>
      </c>
      <c r="I188" s="16" t="str">
        <f t="shared" si="12"/>
        <v/>
      </c>
      <c r="J188" s="17" t="str">
        <f t="shared" si="13"/>
        <v/>
      </c>
      <c r="K188" s="18"/>
      <c r="L188" s="19" t="str">
        <f t="shared" si="11"/>
        <v/>
      </c>
      <c r="M188" s="19" t="str">
        <f t="shared" si="11"/>
        <v/>
      </c>
      <c r="N188" s="20"/>
      <c r="P188" s="26" t="str">
        <f>IF(_xlfn.MINIFS($C:$C,$B:$B,P183,$C:$C,"&gt;"&amp;MAX(P184:P187),$F:$F,"&lt;&gt;"&amp;"")&gt;0,_xlfn.MINIFS($C:$C,$B:$B,P183,$C:$C,"&gt;"&amp;MAX(P184:P187),$F:$F,"&lt;&gt;"&amp;""),"")</f>
        <v/>
      </c>
      <c r="Q188" s="27" t="str">
        <f>IFERROR(VLOOKUP($P188,$C:$J,6,FALSE),"")</f>
        <v/>
      </c>
      <c r="R188" s="27" t="str">
        <f>IFERROR(VLOOKUP($P188,$C:$J,4,FALSE),"")</f>
        <v/>
      </c>
      <c r="S188" s="28" t="str">
        <f>IFERROR(VLOOKUP($P188,$C:$J,8,FALSE),"")</f>
        <v/>
      </c>
    </row>
    <row r="189" spans="1:20" hidden="1" x14ac:dyDescent="0.25">
      <c r="A189" s="10" t="str">
        <f t="shared" si="14"/>
        <v/>
      </c>
      <c r="B189" s="11" t="str">
        <f t="shared" si="10"/>
        <v/>
      </c>
      <c r="C189" s="12"/>
      <c r="D189" s="13"/>
      <c r="E189" s="13"/>
      <c r="F189" s="14"/>
      <c r="G189" s="15"/>
      <c r="H189" s="16" t="s">
        <v>16</v>
      </c>
      <c r="I189" s="16" t="str">
        <f t="shared" si="12"/>
        <v/>
      </c>
      <c r="J189" s="17" t="str">
        <f t="shared" si="13"/>
        <v/>
      </c>
      <c r="K189" s="18"/>
      <c r="L189" s="19" t="str">
        <f t="shared" si="11"/>
        <v/>
      </c>
      <c r="M189" s="19" t="str">
        <f t="shared" si="11"/>
        <v/>
      </c>
      <c r="N189" s="20"/>
      <c r="P189" s="26" t="str">
        <f>IF(_xlfn.MINIFS($C:$C,$B:$B,P183,$C:$C,"&gt;"&amp;MAX(P184:P188),$F:$F,"&lt;&gt;"&amp;"")&gt;0,_xlfn.MINIFS($C:$C,$B:$B,P183,$C:$C,"&gt;"&amp;MAX(P184:P188),$F:$F,"&lt;&gt;"&amp;""),"")</f>
        <v/>
      </c>
      <c r="Q189" s="27" t="str">
        <f>IFERROR(VLOOKUP($P189,$C:$J,6,FALSE),"")</f>
        <v/>
      </c>
      <c r="R189" s="27" t="str">
        <f>IFERROR(VLOOKUP($P189,$C:$J,4,FALSE),"")</f>
        <v/>
      </c>
      <c r="S189" s="28" t="str">
        <f>IFERROR(VLOOKUP($P189,$C:$J,8,FALSE),"")</f>
        <v/>
      </c>
    </row>
    <row r="190" spans="1:20" hidden="1" x14ac:dyDescent="0.25">
      <c r="A190" s="10" t="str">
        <f t="shared" si="14"/>
        <v/>
      </c>
      <c r="B190" s="11" t="str">
        <f t="shared" si="10"/>
        <v/>
      </c>
      <c r="C190" s="12"/>
      <c r="D190" s="13"/>
      <c r="E190" s="13"/>
      <c r="F190" s="14"/>
      <c r="G190" s="15"/>
      <c r="H190" s="16" t="s">
        <v>16</v>
      </c>
      <c r="I190" s="16" t="str">
        <f t="shared" si="12"/>
        <v/>
      </c>
      <c r="J190" s="17" t="str">
        <f t="shared" si="13"/>
        <v/>
      </c>
      <c r="K190" s="18"/>
      <c r="L190" s="19" t="str">
        <f t="shared" si="11"/>
        <v/>
      </c>
      <c r="M190" s="19" t="str">
        <f t="shared" si="11"/>
        <v/>
      </c>
      <c r="N190" s="20"/>
      <c r="P190" s="26" t="str">
        <f>IF(_xlfn.MINIFS($C:$C,$B:$B,P183,$C:$C,"&gt;"&amp;MAX(P184:P189),$F:$F,"&lt;&gt;"&amp;"")&gt;0,_xlfn.MINIFS($C:$C,$B:$B,P183,$C:$C,"&gt;"&amp;MAX(P184:P189),$F:$F,"&lt;&gt;"&amp;""),"")</f>
        <v/>
      </c>
      <c r="Q190" s="27" t="str">
        <f>IFERROR(VLOOKUP($P190,$C:$J,6,FALSE),"")</f>
        <v/>
      </c>
      <c r="R190" s="27" t="str">
        <f>IFERROR(VLOOKUP($P190,$C:$J,4,FALSE),"")</f>
        <v/>
      </c>
      <c r="S190" s="28" t="str">
        <f>IFERROR(VLOOKUP($P190,$C:$J,8,FALSE),"")</f>
        <v/>
      </c>
    </row>
    <row r="191" spans="1:20" hidden="1" x14ac:dyDescent="0.25">
      <c r="A191" s="10" t="str">
        <f t="shared" si="14"/>
        <v/>
      </c>
      <c r="B191" s="11" t="str">
        <f t="shared" si="10"/>
        <v/>
      </c>
      <c r="C191" s="12"/>
      <c r="D191" s="13"/>
      <c r="E191" s="13"/>
      <c r="F191" s="14"/>
      <c r="G191" s="15"/>
      <c r="H191" s="16" t="s">
        <v>16</v>
      </c>
      <c r="I191" s="16" t="str">
        <f t="shared" si="12"/>
        <v/>
      </c>
      <c r="J191" s="17" t="str">
        <f t="shared" si="13"/>
        <v/>
      </c>
      <c r="K191" s="18"/>
      <c r="L191" s="19" t="str">
        <f t="shared" si="11"/>
        <v/>
      </c>
      <c r="M191" s="19" t="str">
        <f t="shared" si="11"/>
        <v/>
      </c>
      <c r="N191" s="20"/>
      <c r="P191" s="26" t="str">
        <f>IF(_xlfn.MINIFS($C:$C,$B:$B,P183,$C:$C,"&gt;"&amp;MAX(P184:P190),$F:$F,"&lt;&gt;"&amp;"")&gt;0,_xlfn.MINIFS($C:$C,$B:$B,P183,$C:$C,"&gt;"&amp;MAX(P184:P190),$F:$F,"&lt;&gt;"&amp;""),"")</f>
        <v/>
      </c>
      <c r="Q191" s="27" t="str">
        <f>IFERROR(VLOOKUP($P191,$C:$J,6,FALSE),"")</f>
        <v/>
      </c>
      <c r="R191" s="27" t="str">
        <f>IFERROR(VLOOKUP($P191,$C:$J,4,FALSE),"")</f>
        <v/>
      </c>
      <c r="S191" s="28" t="str">
        <f>IFERROR(VLOOKUP($P191,$C:$J,8,FALSE),"")</f>
        <v/>
      </c>
    </row>
    <row r="192" spans="1:20" hidden="1" x14ac:dyDescent="0.25">
      <c r="A192" s="10" t="str">
        <f t="shared" si="14"/>
        <v/>
      </c>
      <c r="B192" s="11" t="str">
        <f t="shared" si="10"/>
        <v/>
      </c>
      <c r="C192" s="12"/>
      <c r="D192" s="13"/>
      <c r="E192" s="13"/>
      <c r="F192" s="14"/>
      <c r="G192" s="15"/>
      <c r="H192" s="16" t="s">
        <v>16</v>
      </c>
      <c r="I192" s="16" t="str">
        <f t="shared" si="12"/>
        <v/>
      </c>
      <c r="J192" s="17" t="str">
        <f t="shared" si="13"/>
        <v/>
      </c>
      <c r="K192" s="18"/>
      <c r="L192" s="19" t="str">
        <f t="shared" si="11"/>
        <v/>
      </c>
      <c r="M192" s="19" t="str">
        <f t="shared" si="11"/>
        <v/>
      </c>
      <c r="N192" s="20"/>
      <c r="P192" s="26" t="str">
        <f>IF(_xlfn.MINIFS($C:$C,$B:$B,P183,$C:$C,"&gt;"&amp;MAX(P184:P191),$F:$F,"&lt;&gt;"&amp;"")&gt;0,_xlfn.MINIFS($C:$C,$B:$B,P183,$C:$C,"&gt;"&amp;MAX(P184:P191),$F:$F,"&lt;&gt;"&amp;""),"")</f>
        <v/>
      </c>
      <c r="Q192" s="27" t="str">
        <f>IFERROR(VLOOKUP($P192,$C:$J,6,FALSE),"")</f>
        <v/>
      </c>
      <c r="R192" s="27" t="str">
        <f>IFERROR(VLOOKUP($P192,$C:$J,4,FALSE),"")</f>
        <v/>
      </c>
      <c r="S192" s="28" t="str">
        <f>IFERROR(VLOOKUP($P192,$C:$J,8,FALSE),"")</f>
        <v/>
      </c>
    </row>
    <row r="193" spans="1:20" hidden="1" x14ac:dyDescent="0.25">
      <c r="A193" s="10" t="str">
        <f t="shared" si="14"/>
        <v/>
      </c>
      <c r="B193" s="11" t="str">
        <f t="shared" si="10"/>
        <v/>
      </c>
      <c r="C193" s="12"/>
      <c r="D193" s="13"/>
      <c r="E193" s="13"/>
      <c r="F193" s="14"/>
      <c r="G193" s="15"/>
      <c r="H193" s="16" t="s">
        <v>16</v>
      </c>
      <c r="I193" s="16" t="str">
        <f t="shared" si="12"/>
        <v/>
      </c>
      <c r="J193" s="17" t="str">
        <f t="shared" si="13"/>
        <v/>
      </c>
      <c r="K193" s="18"/>
      <c r="L193" s="19" t="str">
        <f t="shared" si="11"/>
        <v/>
      </c>
      <c r="M193" s="19" t="str">
        <f t="shared" si="11"/>
        <v/>
      </c>
      <c r="N193" s="20"/>
      <c r="P193" s="26" t="str">
        <f>IF(_xlfn.MINIFS($C:$C,$B:$B,P183,$C:$C,"&gt;"&amp;MAX(P184:P192),$F:$F,"&lt;&gt;"&amp;"")&gt;0,_xlfn.MINIFS($C:$C,$B:$B,P183,$C:$C,"&gt;"&amp;MAX(P184:P192),$F:$F,"&lt;&gt;"&amp;""),"")</f>
        <v/>
      </c>
      <c r="Q193" s="27" t="str">
        <f>IFERROR(VLOOKUP($P193,$C:$J,6,FALSE),"")</f>
        <v/>
      </c>
      <c r="R193" s="27" t="str">
        <f>IFERROR(VLOOKUP($P193,$C:$J,4,FALSE),"")</f>
        <v/>
      </c>
      <c r="S193" s="28" t="str">
        <f>IFERROR(VLOOKUP($P193,$C:$J,8,FALSE),"")</f>
        <v/>
      </c>
    </row>
    <row r="194" spans="1:20" hidden="1" x14ac:dyDescent="0.25">
      <c r="A194" s="10" t="str">
        <f t="shared" si="14"/>
        <v/>
      </c>
      <c r="B194" s="11" t="str">
        <f t="shared" si="10"/>
        <v/>
      </c>
      <c r="C194" s="12"/>
      <c r="D194" s="13"/>
      <c r="E194" s="13"/>
      <c r="F194" s="14"/>
      <c r="G194" s="15"/>
      <c r="H194" s="16" t="s">
        <v>16</v>
      </c>
      <c r="I194" s="16" t="str">
        <f t="shared" si="12"/>
        <v/>
      </c>
      <c r="J194" s="17" t="str">
        <f t="shared" si="13"/>
        <v/>
      </c>
      <c r="K194" s="18"/>
      <c r="L194" s="19" t="str">
        <f t="shared" si="11"/>
        <v/>
      </c>
      <c r="M194" s="19" t="str">
        <f t="shared" si="11"/>
        <v/>
      </c>
      <c r="N194" s="20"/>
      <c r="P194" s="26" t="str">
        <f>IF(_xlfn.MINIFS($C:$C,$B:$B,P183,$C:$C,"&gt;"&amp;MAX(P184:P193),$F:$F,"&lt;&gt;"&amp;"")&gt;0,_xlfn.MINIFS($C:$C,$B:$B,P183,$C:$C,"&gt;"&amp;MAX(P184:P193),$F:$F,"&lt;&gt;"&amp;""),"")</f>
        <v/>
      </c>
      <c r="Q194" s="27" t="str">
        <f>IFERROR(VLOOKUP($P194,$C:$J,6,FALSE),"")</f>
        <v/>
      </c>
      <c r="R194" s="27" t="str">
        <f>IFERROR(VLOOKUP($P194,$C:$J,4,FALSE),"")</f>
        <v/>
      </c>
      <c r="S194" s="28" t="str">
        <f>IFERROR(VLOOKUP($P194,$C:$J,8,FALSE),"")</f>
        <v/>
      </c>
      <c r="T194" s="35"/>
    </row>
    <row r="195" spans="1:20" hidden="1" x14ac:dyDescent="0.25">
      <c r="A195" s="10" t="str">
        <f t="shared" si="14"/>
        <v/>
      </c>
      <c r="B195" s="11" t="str">
        <f t="shared" ref="B195:B242" si="15">IF(ISBLANK(C195),"",YEAR(C195))</f>
        <v/>
      </c>
      <c r="C195" s="12"/>
      <c r="D195" s="13"/>
      <c r="E195" s="13"/>
      <c r="F195" s="14"/>
      <c r="G195" s="15"/>
      <c r="H195" s="16" t="s">
        <v>16</v>
      </c>
      <c r="I195" s="16" t="str">
        <f t="shared" si="12"/>
        <v/>
      </c>
      <c r="J195" s="17" t="str">
        <f t="shared" si="13"/>
        <v/>
      </c>
      <c r="K195" s="18"/>
      <c r="L195" s="19" t="str">
        <f t="shared" ref="L195:M242" si="16">IF(AND(E195&gt;0,F195&gt;0),E195/F195*(irradiation_solaire/12)/J195,"")</f>
        <v/>
      </c>
      <c r="M195" s="19" t="str">
        <f t="shared" si="16"/>
        <v/>
      </c>
      <c r="N195" s="20"/>
      <c r="P195" s="29" t="str">
        <f>IF(_xlfn.MINIFS($C:$C,$B:$B,P183,$C:$C,"&gt;"&amp;MAX(P184:P194),$F:$F,"&lt;&gt;"&amp;"")&gt;0,_xlfn.MINIFS($C:$C,$B:$B,P183,$C:$C,"&gt;"&amp;MAX(P184:P194),$F:$F,"&lt;&gt;"&amp;""),"")</f>
        <v/>
      </c>
      <c r="Q195" s="30" t="str">
        <f>IFERROR(VLOOKUP($P195,$C:$J,6,FALSE),"")</f>
        <v/>
      </c>
      <c r="R195" s="30" t="str">
        <f>IFERROR(VLOOKUP($P195,$C:$J,4,FALSE),"")</f>
        <v/>
      </c>
      <c r="S195" s="31" t="str">
        <f>IFERROR(VLOOKUP($P195,$C:$J,8,FALSE),"")</f>
        <v/>
      </c>
      <c r="T195" s="35"/>
    </row>
    <row r="196" spans="1:20" hidden="1" x14ac:dyDescent="0.25">
      <c r="A196" s="10" t="str">
        <f t="shared" si="14"/>
        <v/>
      </c>
      <c r="B196" s="11" t="str">
        <f t="shared" si="15"/>
        <v/>
      </c>
      <c r="C196" s="12"/>
      <c r="D196" s="13"/>
      <c r="E196" s="13"/>
      <c r="F196" s="14"/>
      <c r="G196" s="15"/>
      <c r="H196" s="16" t="s">
        <v>16</v>
      </c>
      <c r="I196" s="16" t="str">
        <f t="shared" ref="I196:I242" si="17">IF(AND(F196&gt;0,H196&gt;0),H196-F196,"")</f>
        <v/>
      </c>
      <c r="J196" s="17" t="str">
        <f t="shared" ref="J196:J242" si="18">IFERROR(F196/H196,"")</f>
        <v/>
      </c>
      <c r="K196" s="18"/>
      <c r="L196" s="19" t="str">
        <f t="shared" si="16"/>
        <v/>
      </c>
      <c r="M196" s="19" t="str">
        <f t="shared" si="16"/>
        <v/>
      </c>
      <c r="N196" s="20"/>
      <c r="P196" s="32" t="str">
        <f>"TOTAL "&amp;$P183</f>
        <v>TOTAL 0</v>
      </c>
      <c r="Q196" s="33">
        <f>SUM(Q184:Q195)</f>
        <v>0</v>
      </c>
      <c r="R196" s="33">
        <f>SUM(R184:R195)</f>
        <v>0</v>
      </c>
      <c r="S196" s="34" t="str">
        <f>IFERROR(R196/Q196,"")</f>
        <v/>
      </c>
    </row>
    <row r="197" spans="1:20" hidden="1" x14ac:dyDescent="0.25">
      <c r="A197" s="10" t="str">
        <f t="shared" ref="A197:A242" si="19">IF(C197&lt;&gt;"",A196+1,"")</f>
        <v/>
      </c>
      <c r="B197" s="11" t="str">
        <f t="shared" si="15"/>
        <v/>
      </c>
      <c r="C197" s="12"/>
      <c r="D197" s="13"/>
      <c r="E197" s="13"/>
      <c r="F197" s="14"/>
      <c r="G197" s="15"/>
      <c r="H197" s="16" t="s">
        <v>16</v>
      </c>
      <c r="I197" s="16" t="str">
        <f t="shared" si="17"/>
        <v/>
      </c>
      <c r="J197" s="17" t="str">
        <f t="shared" si="18"/>
        <v/>
      </c>
      <c r="K197" s="18"/>
      <c r="L197" s="19" t="str">
        <f t="shared" si="16"/>
        <v/>
      </c>
      <c r="M197" s="19" t="str">
        <f t="shared" si="16"/>
        <v/>
      </c>
      <c r="N197" s="20"/>
    </row>
    <row r="198" spans="1:20" hidden="1" x14ac:dyDescent="0.25">
      <c r="A198" s="10" t="str">
        <f t="shared" si="19"/>
        <v/>
      </c>
      <c r="B198" s="11" t="str">
        <f t="shared" si="15"/>
        <v/>
      </c>
      <c r="C198" s="12"/>
      <c r="D198" s="13"/>
      <c r="E198" s="13"/>
      <c r="F198" s="14"/>
      <c r="G198" s="15"/>
      <c r="H198" s="16" t="s">
        <v>16</v>
      </c>
      <c r="I198" s="16" t="str">
        <f t="shared" si="17"/>
        <v/>
      </c>
      <c r="J198" s="17" t="str">
        <f t="shared" si="18"/>
        <v/>
      </c>
      <c r="K198" s="18"/>
      <c r="L198" s="19" t="str">
        <f t="shared" si="16"/>
        <v/>
      </c>
      <c r="M198" s="19" t="str">
        <f t="shared" si="16"/>
        <v/>
      </c>
      <c r="N198" s="20"/>
      <c r="P198" s="21">
        <f>_xlfn.MINIFS($B:$B,$B:$B,"&gt;"&amp;MAX($P$3,$P$18,$P$33,P$48,P$63,P$78,P$93,P$108,P$123,P$138,P$153,P$168,P$183))</f>
        <v>0</v>
      </c>
      <c r="Q198" s="22" t="s">
        <v>13</v>
      </c>
      <c r="R198" s="22" t="s">
        <v>14</v>
      </c>
      <c r="S198" s="22" t="s">
        <v>15</v>
      </c>
    </row>
    <row r="199" spans="1:20" hidden="1" x14ac:dyDescent="0.25">
      <c r="A199" s="10" t="str">
        <f t="shared" si="19"/>
        <v/>
      </c>
      <c r="B199" s="11" t="str">
        <f t="shared" si="15"/>
        <v/>
      </c>
      <c r="C199" s="12"/>
      <c r="D199" s="13"/>
      <c r="E199" s="13"/>
      <c r="F199" s="14"/>
      <c r="G199" s="15"/>
      <c r="H199" s="16" t="s">
        <v>16</v>
      </c>
      <c r="I199" s="16" t="str">
        <f t="shared" si="17"/>
        <v/>
      </c>
      <c r="J199" s="17" t="str">
        <f t="shared" si="18"/>
        <v/>
      </c>
      <c r="K199" s="18"/>
      <c r="L199" s="19" t="str">
        <f t="shared" si="16"/>
        <v/>
      </c>
      <c r="M199" s="19" t="str">
        <f t="shared" si="16"/>
        <v/>
      </c>
      <c r="N199" s="20"/>
      <c r="P199" s="23">
        <f>_xlfn.MINIFS(C:C,B:B,P198,F:F,"&gt;"&amp;0)</f>
        <v>0</v>
      </c>
      <c r="Q199" s="24" t="str">
        <f>IFERROR(VLOOKUP($P199,$C:$J,6,FALSE),"")</f>
        <v/>
      </c>
      <c r="R199" s="24" t="str">
        <f>IFERROR(VLOOKUP($P199,$C:$J,4,FALSE),"")</f>
        <v/>
      </c>
      <c r="S199" s="25" t="str">
        <f>IFERROR(VLOOKUP($P199,$C:$J,8,FALSE),"")</f>
        <v/>
      </c>
    </row>
    <row r="200" spans="1:20" hidden="1" x14ac:dyDescent="0.25">
      <c r="A200" s="10" t="str">
        <f t="shared" si="19"/>
        <v/>
      </c>
      <c r="B200" s="11" t="str">
        <f t="shared" si="15"/>
        <v/>
      </c>
      <c r="C200" s="12"/>
      <c r="D200" s="13"/>
      <c r="E200" s="13"/>
      <c r="F200" s="14"/>
      <c r="G200" s="15"/>
      <c r="H200" s="16" t="s">
        <v>16</v>
      </c>
      <c r="I200" s="16" t="str">
        <f t="shared" si="17"/>
        <v/>
      </c>
      <c r="J200" s="17" t="str">
        <f t="shared" si="18"/>
        <v/>
      </c>
      <c r="K200" s="18"/>
      <c r="L200" s="19" t="str">
        <f t="shared" si="16"/>
        <v/>
      </c>
      <c r="M200" s="19" t="str">
        <f t="shared" si="16"/>
        <v/>
      </c>
      <c r="N200" s="20"/>
      <c r="P200" s="26" t="str">
        <f>IF(_xlfn.MINIFS($C:$C,$B:$B,P198,$C:$C,"&gt;"&amp;MAX(P199:P199),$F:$F,"&lt;&gt;"&amp;"")&gt;0,_xlfn.MINIFS($C:$C,$B:$B,P198,$C:$C,"&gt;"&amp;MAX(P199:P199),$F:$F,"&lt;&gt;"&amp;""),"")</f>
        <v/>
      </c>
      <c r="Q200" s="27" t="str">
        <f>IFERROR(VLOOKUP($P200,$C:$J,6,FALSE),"")</f>
        <v/>
      </c>
      <c r="R200" s="27" t="str">
        <f>IFERROR(VLOOKUP($P200,$C:$J,4,FALSE),"")</f>
        <v/>
      </c>
      <c r="S200" s="28" t="str">
        <f>IFERROR(VLOOKUP($P200,$C:$J,8,FALSE),"")</f>
        <v/>
      </c>
    </row>
    <row r="201" spans="1:20" hidden="1" x14ac:dyDescent="0.25">
      <c r="A201" s="10" t="str">
        <f t="shared" si="19"/>
        <v/>
      </c>
      <c r="B201" s="11" t="str">
        <f t="shared" si="15"/>
        <v/>
      </c>
      <c r="C201" s="12"/>
      <c r="D201" s="13"/>
      <c r="E201" s="13"/>
      <c r="F201" s="14"/>
      <c r="G201" s="15"/>
      <c r="H201" s="16" t="s">
        <v>16</v>
      </c>
      <c r="I201" s="16" t="str">
        <f t="shared" si="17"/>
        <v/>
      </c>
      <c r="J201" s="17" t="str">
        <f t="shared" si="18"/>
        <v/>
      </c>
      <c r="K201" s="18"/>
      <c r="L201" s="19" t="str">
        <f t="shared" si="16"/>
        <v/>
      </c>
      <c r="M201" s="19" t="str">
        <f t="shared" si="16"/>
        <v/>
      </c>
      <c r="N201" s="20"/>
      <c r="P201" s="26" t="str">
        <f>IF(_xlfn.MINIFS($C:$C,$B:$B,P198,$C:$C,"&gt;"&amp;MAX(P199:P200),$F:$F,"&lt;&gt;"&amp;"")&gt;0,_xlfn.MINIFS($C:$C,$B:$B,P198,$C:$C,"&gt;"&amp;MAX(P199:P200),$F:$F,"&lt;&gt;"&amp;""),"")</f>
        <v/>
      </c>
      <c r="Q201" s="27" t="str">
        <f>IFERROR(VLOOKUP($P201,$C:$J,6,FALSE),"")</f>
        <v/>
      </c>
      <c r="R201" s="27" t="str">
        <f>IFERROR(VLOOKUP($P201,$C:$J,4,FALSE),"")</f>
        <v/>
      </c>
      <c r="S201" s="28" t="str">
        <f>IFERROR(VLOOKUP($P201,$C:$J,8,FALSE),"")</f>
        <v/>
      </c>
    </row>
    <row r="202" spans="1:20" hidden="1" x14ac:dyDescent="0.25">
      <c r="A202" s="10" t="str">
        <f t="shared" si="19"/>
        <v/>
      </c>
      <c r="B202" s="11" t="str">
        <f t="shared" si="15"/>
        <v/>
      </c>
      <c r="C202" s="12"/>
      <c r="D202" s="13"/>
      <c r="E202" s="13"/>
      <c r="F202" s="14"/>
      <c r="G202" s="15"/>
      <c r="H202" s="16" t="s">
        <v>16</v>
      </c>
      <c r="I202" s="16" t="str">
        <f t="shared" si="17"/>
        <v/>
      </c>
      <c r="J202" s="17" t="str">
        <f t="shared" si="18"/>
        <v/>
      </c>
      <c r="K202" s="18"/>
      <c r="L202" s="19" t="str">
        <f t="shared" si="16"/>
        <v/>
      </c>
      <c r="M202" s="19" t="str">
        <f t="shared" si="16"/>
        <v/>
      </c>
      <c r="N202" s="20"/>
      <c r="P202" s="26" t="str">
        <f>IF(_xlfn.MINIFS($C:$C,$B:$B,P198,$C:$C,"&gt;"&amp;MAX(P199:P201),$F:$F,"&lt;&gt;"&amp;"")&gt;0,_xlfn.MINIFS($C:$C,$B:$B,P198,$C:$C,"&gt;"&amp;MAX(P199:P201),$F:$F,"&lt;&gt;"&amp;""),"")</f>
        <v/>
      </c>
      <c r="Q202" s="27" t="str">
        <f>IFERROR(VLOOKUP($P202,$C:$J,6,FALSE),"")</f>
        <v/>
      </c>
      <c r="R202" s="27" t="str">
        <f>IFERROR(VLOOKUP($P202,$C:$J,4,FALSE),"")</f>
        <v/>
      </c>
      <c r="S202" s="28" t="str">
        <f>IFERROR(VLOOKUP($P202,$C:$J,8,FALSE),"")</f>
        <v/>
      </c>
    </row>
    <row r="203" spans="1:20" hidden="1" x14ac:dyDescent="0.25">
      <c r="A203" s="10" t="str">
        <f t="shared" si="19"/>
        <v/>
      </c>
      <c r="B203" s="11" t="str">
        <f t="shared" si="15"/>
        <v/>
      </c>
      <c r="C203" s="12"/>
      <c r="D203" s="13"/>
      <c r="E203" s="13"/>
      <c r="F203" s="14"/>
      <c r="G203" s="15"/>
      <c r="H203" s="16" t="s">
        <v>16</v>
      </c>
      <c r="I203" s="16" t="str">
        <f t="shared" si="17"/>
        <v/>
      </c>
      <c r="J203" s="17" t="str">
        <f t="shared" si="18"/>
        <v/>
      </c>
      <c r="K203" s="18"/>
      <c r="L203" s="19" t="str">
        <f t="shared" si="16"/>
        <v/>
      </c>
      <c r="M203" s="19" t="str">
        <f t="shared" si="16"/>
        <v/>
      </c>
      <c r="N203" s="20"/>
      <c r="P203" s="26" t="str">
        <f>IF(_xlfn.MINIFS($C:$C,$B:$B,P198,$C:$C,"&gt;"&amp;MAX(P199:P202),$F:$F,"&lt;&gt;"&amp;"")&gt;0,_xlfn.MINIFS($C:$C,$B:$B,P198,$C:$C,"&gt;"&amp;MAX(P199:P202),$F:$F,"&lt;&gt;"&amp;""),"")</f>
        <v/>
      </c>
      <c r="Q203" s="27" t="str">
        <f>IFERROR(VLOOKUP($P203,$C:$J,6,FALSE),"")</f>
        <v/>
      </c>
      <c r="R203" s="27" t="str">
        <f>IFERROR(VLOOKUP($P203,$C:$J,4,FALSE),"")</f>
        <v/>
      </c>
      <c r="S203" s="28" t="str">
        <f>IFERROR(VLOOKUP($P203,$C:$J,8,FALSE),"")</f>
        <v/>
      </c>
    </row>
    <row r="204" spans="1:20" hidden="1" x14ac:dyDescent="0.25">
      <c r="A204" s="10" t="str">
        <f t="shared" si="19"/>
        <v/>
      </c>
      <c r="B204" s="11" t="str">
        <f t="shared" si="15"/>
        <v/>
      </c>
      <c r="C204" s="12"/>
      <c r="D204" s="13"/>
      <c r="E204" s="13"/>
      <c r="F204" s="14"/>
      <c r="G204" s="15"/>
      <c r="H204" s="16" t="s">
        <v>16</v>
      </c>
      <c r="I204" s="16" t="str">
        <f t="shared" si="17"/>
        <v/>
      </c>
      <c r="J204" s="17" t="str">
        <f t="shared" si="18"/>
        <v/>
      </c>
      <c r="K204" s="18"/>
      <c r="L204" s="19" t="str">
        <f t="shared" si="16"/>
        <v/>
      </c>
      <c r="M204" s="19" t="str">
        <f t="shared" si="16"/>
        <v/>
      </c>
      <c r="N204" s="20"/>
      <c r="P204" s="26" t="str">
        <f>IF(_xlfn.MINIFS($C:$C,$B:$B,P198,$C:$C,"&gt;"&amp;MAX(P199:P203),$F:$F,"&lt;&gt;"&amp;"")&gt;0,_xlfn.MINIFS($C:$C,$B:$B,P198,$C:$C,"&gt;"&amp;MAX(P199:P203),$F:$F,"&lt;&gt;"&amp;""),"")</f>
        <v/>
      </c>
      <c r="Q204" s="27" t="str">
        <f>IFERROR(VLOOKUP($P204,$C:$J,6,FALSE),"")</f>
        <v/>
      </c>
      <c r="R204" s="27" t="str">
        <f>IFERROR(VLOOKUP($P204,$C:$J,4,FALSE),"")</f>
        <v/>
      </c>
      <c r="S204" s="28" t="str">
        <f>IFERROR(VLOOKUP($P204,$C:$J,8,FALSE),"")</f>
        <v/>
      </c>
    </row>
    <row r="205" spans="1:20" hidden="1" x14ac:dyDescent="0.25">
      <c r="A205" s="10" t="str">
        <f t="shared" si="19"/>
        <v/>
      </c>
      <c r="B205" s="11" t="str">
        <f t="shared" si="15"/>
        <v/>
      </c>
      <c r="C205" s="12"/>
      <c r="D205" s="13"/>
      <c r="E205" s="13"/>
      <c r="F205" s="14"/>
      <c r="G205" s="15"/>
      <c r="H205" s="16" t="s">
        <v>16</v>
      </c>
      <c r="I205" s="16" t="str">
        <f t="shared" si="17"/>
        <v/>
      </c>
      <c r="J205" s="17" t="str">
        <f t="shared" si="18"/>
        <v/>
      </c>
      <c r="K205" s="18"/>
      <c r="L205" s="19" t="str">
        <f t="shared" si="16"/>
        <v/>
      </c>
      <c r="M205" s="19" t="str">
        <f t="shared" si="16"/>
        <v/>
      </c>
      <c r="N205" s="20"/>
      <c r="P205" s="26" t="str">
        <f>IF(_xlfn.MINIFS($C:$C,$B:$B,P198,$C:$C,"&gt;"&amp;MAX(P199:P204),$F:$F,"&lt;&gt;"&amp;"")&gt;0,_xlfn.MINIFS($C:$C,$B:$B,P198,$C:$C,"&gt;"&amp;MAX(P199:P204),$F:$F,"&lt;&gt;"&amp;""),"")</f>
        <v/>
      </c>
      <c r="Q205" s="27" t="str">
        <f>IFERROR(VLOOKUP($P205,$C:$J,6,FALSE),"")</f>
        <v/>
      </c>
      <c r="R205" s="27" t="str">
        <f>IFERROR(VLOOKUP($P205,$C:$J,4,FALSE),"")</f>
        <v/>
      </c>
      <c r="S205" s="28" t="str">
        <f>IFERROR(VLOOKUP($P205,$C:$J,8,FALSE),"")</f>
        <v/>
      </c>
    </row>
    <row r="206" spans="1:20" hidden="1" x14ac:dyDescent="0.25">
      <c r="A206" s="10" t="str">
        <f t="shared" si="19"/>
        <v/>
      </c>
      <c r="B206" s="11" t="str">
        <f t="shared" si="15"/>
        <v/>
      </c>
      <c r="C206" s="12"/>
      <c r="D206" s="13"/>
      <c r="E206" s="13"/>
      <c r="F206" s="14"/>
      <c r="G206" s="15"/>
      <c r="H206" s="16" t="s">
        <v>16</v>
      </c>
      <c r="I206" s="16" t="str">
        <f t="shared" si="17"/>
        <v/>
      </c>
      <c r="J206" s="17" t="str">
        <f t="shared" si="18"/>
        <v/>
      </c>
      <c r="K206" s="18"/>
      <c r="L206" s="19" t="str">
        <f t="shared" si="16"/>
        <v/>
      </c>
      <c r="M206" s="19" t="str">
        <f t="shared" si="16"/>
        <v/>
      </c>
      <c r="N206" s="20"/>
      <c r="P206" s="26" t="str">
        <f>IF(_xlfn.MINIFS($C:$C,$B:$B,P198,$C:$C,"&gt;"&amp;MAX(P199:P205),$F:$F,"&lt;&gt;"&amp;"")&gt;0,_xlfn.MINIFS($C:$C,$B:$B,P198,$C:$C,"&gt;"&amp;MAX(P199:P205),$F:$F,"&lt;&gt;"&amp;""),"")</f>
        <v/>
      </c>
      <c r="Q206" s="27" t="str">
        <f>IFERROR(VLOOKUP($P206,$C:$J,6,FALSE),"")</f>
        <v/>
      </c>
      <c r="R206" s="27" t="str">
        <f>IFERROR(VLOOKUP($P206,$C:$J,4,FALSE),"")</f>
        <v/>
      </c>
      <c r="S206" s="28" t="str">
        <f>IFERROR(VLOOKUP($P206,$C:$J,8,FALSE),"")</f>
        <v/>
      </c>
    </row>
    <row r="207" spans="1:20" hidden="1" x14ac:dyDescent="0.25">
      <c r="A207" s="10" t="str">
        <f t="shared" si="19"/>
        <v/>
      </c>
      <c r="B207" s="11" t="str">
        <f t="shared" si="15"/>
        <v/>
      </c>
      <c r="C207" s="12"/>
      <c r="D207" s="13"/>
      <c r="E207" s="13"/>
      <c r="F207" s="14"/>
      <c r="G207" s="15"/>
      <c r="H207" s="16" t="s">
        <v>16</v>
      </c>
      <c r="I207" s="16" t="str">
        <f t="shared" si="17"/>
        <v/>
      </c>
      <c r="J207" s="17" t="str">
        <f t="shared" si="18"/>
        <v/>
      </c>
      <c r="K207" s="18"/>
      <c r="L207" s="19" t="str">
        <f t="shared" si="16"/>
        <v/>
      </c>
      <c r="M207" s="19" t="str">
        <f t="shared" si="16"/>
        <v/>
      </c>
      <c r="N207" s="20"/>
      <c r="P207" s="26" t="str">
        <f>IF(_xlfn.MINIFS($C:$C,$B:$B,P198,$C:$C,"&gt;"&amp;MAX(P199:P206),$F:$F,"&lt;&gt;"&amp;"")&gt;0,_xlfn.MINIFS($C:$C,$B:$B,P198,$C:$C,"&gt;"&amp;MAX(P199:P206),$F:$F,"&lt;&gt;"&amp;""),"")</f>
        <v/>
      </c>
      <c r="Q207" s="27" t="str">
        <f>IFERROR(VLOOKUP($P207,$C:$J,6,FALSE),"")</f>
        <v/>
      </c>
      <c r="R207" s="27" t="str">
        <f>IFERROR(VLOOKUP($P207,$C:$J,4,FALSE),"")</f>
        <v/>
      </c>
      <c r="S207" s="28" t="str">
        <f>IFERROR(VLOOKUP($P207,$C:$J,8,FALSE),"")</f>
        <v/>
      </c>
    </row>
    <row r="208" spans="1:20" hidden="1" x14ac:dyDescent="0.25">
      <c r="A208" s="10" t="str">
        <f t="shared" si="19"/>
        <v/>
      </c>
      <c r="B208" s="11" t="str">
        <f t="shared" si="15"/>
        <v/>
      </c>
      <c r="C208" s="12"/>
      <c r="D208" s="13"/>
      <c r="E208" s="13"/>
      <c r="F208" s="14"/>
      <c r="G208" s="15"/>
      <c r="H208" s="16" t="s">
        <v>16</v>
      </c>
      <c r="I208" s="16" t="str">
        <f t="shared" si="17"/>
        <v/>
      </c>
      <c r="J208" s="17" t="str">
        <f t="shared" si="18"/>
        <v/>
      </c>
      <c r="K208" s="18"/>
      <c r="L208" s="19" t="str">
        <f t="shared" si="16"/>
        <v/>
      </c>
      <c r="M208" s="19" t="str">
        <f t="shared" si="16"/>
        <v/>
      </c>
      <c r="N208" s="20"/>
      <c r="P208" s="26" t="str">
        <f>IF(_xlfn.MINIFS($C:$C,$B:$B,P198,$C:$C,"&gt;"&amp;MAX(P199:P207),$F:$F,"&lt;&gt;"&amp;"")&gt;0,_xlfn.MINIFS($C:$C,$B:$B,P198,$C:$C,"&gt;"&amp;MAX(P199:P207),$F:$F,"&lt;&gt;"&amp;""),"")</f>
        <v/>
      </c>
      <c r="Q208" s="27" t="str">
        <f>IFERROR(VLOOKUP($P208,$C:$J,6,FALSE),"")</f>
        <v/>
      </c>
      <c r="R208" s="27" t="str">
        <f>IFERROR(VLOOKUP($P208,$C:$J,4,FALSE),"")</f>
        <v/>
      </c>
      <c r="S208" s="28" t="str">
        <f>IFERROR(VLOOKUP($P208,$C:$J,8,FALSE),"")</f>
        <v/>
      </c>
    </row>
    <row r="209" spans="1:20" hidden="1" x14ac:dyDescent="0.25">
      <c r="A209" s="10" t="str">
        <f t="shared" si="19"/>
        <v/>
      </c>
      <c r="B209" s="11" t="str">
        <f t="shared" si="15"/>
        <v/>
      </c>
      <c r="C209" s="12"/>
      <c r="D209" s="13"/>
      <c r="E209" s="13"/>
      <c r="F209" s="14"/>
      <c r="G209" s="15"/>
      <c r="H209" s="16" t="s">
        <v>16</v>
      </c>
      <c r="I209" s="16" t="str">
        <f t="shared" si="17"/>
        <v/>
      </c>
      <c r="J209" s="17" t="str">
        <f t="shared" si="18"/>
        <v/>
      </c>
      <c r="K209" s="18"/>
      <c r="L209" s="19" t="str">
        <f t="shared" si="16"/>
        <v/>
      </c>
      <c r="M209" s="19" t="str">
        <f t="shared" si="16"/>
        <v/>
      </c>
      <c r="N209" s="20"/>
      <c r="P209" s="26" t="str">
        <f>IF(_xlfn.MINIFS($C:$C,$B:$B,P198,$C:$C,"&gt;"&amp;MAX(P199:P208),$F:$F,"&lt;&gt;"&amp;"")&gt;0,_xlfn.MINIFS($C:$C,$B:$B,P198,$C:$C,"&gt;"&amp;MAX(P199:P208),$F:$F,"&lt;&gt;"&amp;""),"")</f>
        <v/>
      </c>
      <c r="Q209" s="27" t="str">
        <f>IFERROR(VLOOKUP($P209,$C:$J,6,FALSE),"")</f>
        <v/>
      </c>
      <c r="R209" s="27" t="str">
        <f>IFERROR(VLOOKUP($P209,$C:$J,4,FALSE),"")</f>
        <v/>
      </c>
      <c r="S209" s="28" t="str">
        <f>IFERROR(VLOOKUP($P209,$C:$J,8,FALSE),"")</f>
        <v/>
      </c>
      <c r="T209" s="35"/>
    </row>
    <row r="210" spans="1:20" hidden="1" x14ac:dyDescent="0.25">
      <c r="A210" s="10" t="str">
        <f t="shared" si="19"/>
        <v/>
      </c>
      <c r="B210" s="11" t="str">
        <f t="shared" si="15"/>
        <v/>
      </c>
      <c r="C210" s="12"/>
      <c r="D210" s="13"/>
      <c r="E210" s="13"/>
      <c r="F210" s="14"/>
      <c r="G210" s="15"/>
      <c r="H210" s="16" t="s">
        <v>16</v>
      </c>
      <c r="I210" s="16" t="str">
        <f t="shared" si="17"/>
        <v/>
      </c>
      <c r="J210" s="17" t="str">
        <f t="shared" si="18"/>
        <v/>
      </c>
      <c r="K210" s="18"/>
      <c r="L210" s="19" t="str">
        <f t="shared" si="16"/>
        <v/>
      </c>
      <c r="M210" s="19" t="str">
        <f t="shared" si="16"/>
        <v/>
      </c>
      <c r="N210" s="20"/>
      <c r="P210" s="29" t="str">
        <f>IF(_xlfn.MINIFS($C:$C,$B:$B,P198,$C:$C,"&gt;"&amp;MAX(P199:P209),$F:$F,"&lt;&gt;"&amp;"")&gt;0,_xlfn.MINIFS($C:$C,$B:$B,P198,$C:$C,"&gt;"&amp;MAX(P199:P209),$F:$F,"&lt;&gt;"&amp;""),"")</f>
        <v/>
      </c>
      <c r="Q210" s="30" t="str">
        <f>IFERROR(VLOOKUP($P210,$C:$J,6,FALSE),"")</f>
        <v/>
      </c>
      <c r="R210" s="30" t="str">
        <f>IFERROR(VLOOKUP($P210,$C:$J,4,FALSE),"")</f>
        <v/>
      </c>
      <c r="S210" s="31" t="str">
        <f>IFERROR(VLOOKUP($P210,$C:$J,8,FALSE),"")</f>
        <v/>
      </c>
      <c r="T210" s="35"/>
    </row>
    <row r="211" spans="1:20" hidden="1" x14ac:dyDescent="0.25">
      <c r="A211" s="10" t="str">
        <f t="shared" si="19"/>
        <v/>
      </c>
      <c r="B211" s="11" t="str">
        <f t="shared" si="15"/>
        <v/>
      </c>
      <c r="C211" s="12"/>
      <c r="D211" s="13"/>
      <c r="E211" s="13"/>
      <c r="F211" s="14"/>
      <c r="G211" s="15"/>
      <c r="H211" s="16" t="s">
        <v>16</v>
      </c>
      <c r="I211" s="16" t="str">
        <f t="shared" si="17"/>
        <v/>
      </c>
      <c r="J211" s="17" t="str">
        <f t="shared" si="18"/>
        <v/>
      </c>
      <c r="K211" s="18"/>
      <c r="L211" s="19" t="str">
        <f t="shared" si="16"/>
        <v/>
      </c>
      <c r="M211" s="19" t="str">
        <f t="shared" si="16"/>
        <v/>
      </c>
      <c r="N211" s="20"/>
      <c r="P211" s="32" t="str">
        <f>"TOTAL "&amp;$P198</f>
        <v>TOTAL 0</v>
      </c>
      <c r="Q211" s="33">
        <f>SUM(Q199:Q210)</f>
        <v>0</v>
      </c>
      <c r="R211" s="33">
        <f>SUM(R199:R210)</f>
        <v>0</v>
      </c>
      <c r="S211" s="34" t="str">
        <f>IFERROR(R211/Q211,"")</f>
        <v/>
      </c>
    </row>
    <row r="212" spans="1:20" hidden="1" x14ac:dyDescent="0.25">
      <c r="A212" s="10" t="str">
        <f t="shared" si="19"/>
        <v/>
      </c>
      <c r="B212" s="11" t="str">
        <f t="shared" si="15"/>
        <v/>
      </c>
      <c r="C212" s="12"/>
      <c r="D212" s="13"/>
      <c r="E212" s="13"/>
      <c r="F212" s="14"/>
      <c r="G212" s="15"/>
      <c r="H212" s="16" t="s">
        <v>16</v>
      </c>
      <c r="I212" s="16" t="str">
        <f t="shared" si="17"/>
        <v/>
      </c>
      <c r="J212" s="17" t="str">
        <f t="shared" si="18"/>
        <v/>
      </c>
      <c r="K212" s="18"/>
      <c r="L212" s="19" t="str">
        <f t="shared" si="16"/>
        <v/>
      </c>
      <c r="M212" s="19" t="str">
        <f t="shared" si="16"/>
        <v/>
      </c>
      <c r="N212" s="20"/>
    </row>
    <row r="213" spans="1:20" hidden="1" x14ac:dyDescent="0.25">
      <c r="A213" s="10" t="str">
        <f t="shared" si="19"/>
        <v/>
      </c>
      <c r="B213" s="11" t="str">
        <f t="shared" si="15"/>
        <v/>
      </c>
      <c r="C213" s="12"/>
      <c r="D213" s="13"/>
      <c r="E213" s="13"/>
      <c r="F213" s="14"/>
      <c r="G213" s="15"/>
      <c r="H213" s="16" t="s">
        <v>16</v>
      </c>
      <c r="I213" s="16" t="str">
        <f t="shared" si="17"/>
        <v/>
      </c>
      <c r="J213" s="17" t="str">
        <f t="shared" si="18"/>
        <v/>
      </c>
      <c r="K213" s="18"/>
      <c r="L213" s="19" t="str">
        <f t="shared" si="16"/>
        <v/>
      </c>
      <c r="M213" s="19" t="str">
        <f t="shared" si="16"/>
        <v/>
      </c>
      <c r="N213" s="20"/>
      <c r="P213" s="21">
        <f>_xlfn.MINIFS($B:$B,$B:$B,"&gt;"&amp;MAX($P$3,$P$18,$P$33,P$48,P$63,P$78,P$93,P$108,P$123,P$138,P$153,P$168,P$183,P$198))</f>
        <v>0</v>
      </c>
      <c r="Q213" s="22" t="s">
        <v>13</v>
      </c>
      <c r="R213" s="22" t="s">
        <v>14</v>
      </c>
      <c r="S213" s="22" t="s">
        <v>15</v>
      </c>
    </row>
    <row r="214" spans="1:20" hidden="1" x14ac:dyDescent="0.25">
      <c r="A214" s="10" t="str">
        <f t="shared" si="19"/>
        <v/>
      </c>
      <c r="B214" s="11" t="str">
        <f t="shared" si="15"/>
        <v/>
      </c>
      <c r="C214" s="12"/>
      <c r="D214" s="13"/>
      <c r="E214" s="13"/>
      <c r="F214" s="14"/>
      <c r="G214" s="15"/>
      <c r="H214" s="16" t="s">
        <v>16</v>
      </c>
      <c r="I214" s="16" t="str">
        <f t="shared" si="17"/>
        <v/>
      </c>
      <c r="J214" s="17" t="str">
        <f t="shared" si="18"/>
        <v/>
      </c>
      <c r="K214" s="18"/>
      <c r="L214" s="19" t="str">
        <f t="shared" si="16"/>
        <v/>
      </c>
      <c r="M214" s="19" t="str">
        <f t="shared" si="16"/>
        <v/>
      </c>
      <c r="N214" s="20"/>
      <c r="P214" s="23">
        <f>_xlfn.MINIFS(C:C,B:B,P213,F:F,"&gt;"&amp;0)</f>
        <v>0</v>
      </c>
      <c r="Q214" s="24" t="str">
        <f>IFERROR(VLOOKUP($P214,$C:$J,6,FALSE),"")</f>
        <v/>
      </c>
      <c r="R214" s="24" t="str">
        <f>IFERROR(VLOOKUP($P214,$C:$J,4,FALSE),"")</f>
        <v/>
      </c>
      <c r="S214" s="25" t="str">
        <f>IFERROR(VLOOKUP($P214,$C:$J,8,FALSE),"")</f>
        <v/>
      </c>
    </row>
    <row r="215" spans="1:20" hidden="1" x14ac:dyDescent="0.25">
      <c r="A215" s="10" t="str">
        <f t="shared" si="19"/>
        <v/>
      </c>
      <c r="B215" s="11" t="str">
        <f t="shared" si="15"/>
        <v/>
      </c>
      <c r="C215" s="12"/>
      <c r="D215" s="13"/>
      <c r="E215" s="13"/>
      <c r="F215" s="14"/>
      <c r="G215" s="15"/>
      <c r="H215" s="16" t="s">
        <v>16</v>
      </c>
      <c r="I215" s="16" t="str">
        <f t="shared" si="17"/>
        <v/>
      </c>
      <c r="J215" s="17" t="str">
        <f t="shared" si="18"/>
        <v/>
      </c>
      <c r="K215" s="18"/>
      <c r="L215" s="19" t="str">
        <f t="shared" si="16"/>
        <v/>
      </c>
      <c r="M215" s="19" t="str">
        <f t="shared" si="16"/>
        <v/>
      </c>
      <c r="N215" s="20"/>
      <c r="P215" s="26" t="str">
        <f>IF(_xlfn.MINIFS($C:$C,$B:$B,P213,$C:$C,"&gt;"&amp;MAX(P214:P214),$F:$F,"&lt;&gt;"&amp;"")&gt;0,_xlfn.MINIFS($C:$C,$B:$B,P213,$C:$C,"&gt;"&amp;MAX(P214:P214),$F:$F,"&lt;&gt;"&amp;""),"")</f>
        <v/>
      </c>
      <c r="Q215" s="27" t="str">
        <f>IFERROR(VLOOKUP($P215,$C:$J,6,FALSE),"")</f>
        <v/>
      </c>
      <c r="R215" s="27" t="str">
        <f>IFERROR(VLOOKUP($P215,$C:$J,4,FALSE),"")</f>
        <v/>
      </c>
      <c r="S215" s="28" t="str">
        <f>IFERROR(VLOOKUP($P215,$C:$J,8,FALSE),"")</f>
        <v/>
      </c>
    </row>
    <row r="216" spans="1:20" hidden="1" x14ac:dyDescent="0.25">
      <c r="A216" s="10" t="str">
        <f t="shared" si="19"/>
        <v/>
      </c>
      <c r="B216" s="11" t="str">
        <f t="shared" si="15"/>
        <v/>
      </c>
      <c r="C216" s="12"/>
      <c r="D216" s="13"/>
      <c r="E216" s="13"/>
      <c r="F216" s="14"/>
      <c r="G216" s="15"/>
      <c r="H216" s="16" t="s">
        <v>16</v>
      </c>
      <c r="I216" s="16" t="str">
        <f t="shared" si="17"/>
        <v/>
      </c>
      <c r="J216" s="17" t="str">
        <f t="shared" si="18"/>
        <v/>
      </c>
      <c r="K216" s="18"/>
      <c r="L216" s="19" t="str">
        <f t="shared" si="16"/>
        <v/>
      </c>
      <c r="M216" s="19" t="str">
        <f t="shared" si="16"/>
        <v/>
      </c>
      <c r="N216" s="20"/>
      <c r="P216" s="26" t="str">
        <f>IF(_xlfn.MINIFS($C:$C,$B:$B,P213,$C:$C,"&gt;"&amp;MAX(P214:P215),$F:$F,"&lt;&gt;"&amp;"")&gt;0,_xlfn.MINIFS($C:$C,$B:$B,P213,$C:$C,"&gt;"&amp;MAX(P214:P215),$F:$F,"&lt;&gt;"&amp;""),"")</f>
        <v/>
      </c>
      <c r="Q216" s="27" t="str">
        <f>IFERROR(VLOOKUP($P216,$C:$J,6,FALSE),"")</f>
        <v/>
      </c>
      <c r="R216" s="27" t="str">
        <f>IFERROR(VLOOKUP($P216,$C:$J,4,FALSE),"")</f>
        <v/>
      </c>
      <c r="S216" s="28" t="str">
        <f>IFERROR(VLOOKUP($P216,$C:$J,8,FALSE),"")</f>
        <v/>
      </c>
    </row>
    <row r="217" spans="1:20" hidden="1" x14ac:dyDescent="0.25">
      <c r="A217" s="10" t="str">
        <f t="shared" si="19"/>
        <v/>
      </c>
      <c r="B217" s="11" t="str">
        <f t="shared" si="15"/>
        <v/>
      </c>
      <c r="C217" s="12"/>
      <c r="D217" s="13"/>
      <c r="E217" s="13"/>
      <c r="F217" s="14"/>
      <c r="G217" s="15"/>
      <c r="H217" s="16" t="s">
        <v>16</v>
      </c>
      <c r="I217" s="16" t="str">
        <f t="shared" si="17"/>
        <v/>
      </c>
      <c r="J217" s="17" t="str">
        <f t="shared" si="18"/>
        <v/>
      </c>
      <c r="K217" s="18"/>
      <c r="L217" s="19" t="str">
        <f t="shared" si="16"/>
        <v/>
      </c>
      <c r="M217" s="19" t="str">
        <f t="shared" si="16"/>
        <v/>
      </c>
      <c r="N217" s="20"/>
      <c r="P217" s="26" t="str">
        <f>IF(_xlfn.MINIFS($C:$C,$B:$B,P213,$C:$C,"&gt;"&amp;MAX(P214:P216),$F:$F,"&lt;&gt;"&amp;"")&gt;0,_xlfn.MINIFS($C:$C,$B:$B,P213,$C:$C,"&gt;"&amp;MAX(P214:P216),$F:$F,"&lt;&gt;"&amp;""),"")</f>
        <v/>
      </c>
      <c r="Q217" s="27" t="str">
        <f>IFERROR(VLOOKUP($P217,$C:$J,6,FALSE),"")</f>
        <v/>
      </c>
      <c r="R217" s="27" t="str">
        <f>IFERROR(VLOOKUP($P217,$C:$J,4,FALSE),"")</f>
        <v/>
      </c>
      <c r="S217" s="28" t="str">
        <f>IFERROR(VLOOKUP($P217,$C:$J,8,FALSE),"")</f>
        <v/>
      </c>
    </row>
    <row r="218" spans="1:20" hidden="1" x14ac:dyDescent="0.25">
      <c r="A218" s="10" t="str">
        <f t="shared" si="19"/>
        <v/>
      </c>
      <c r="B218" s="11" t="str">
        <f t="shared" si="15"/>
        <v/>
      </c>
      <c r="C218" s="12"/>
      <c r="D218" s="13"/>
      <c r="E218" s="13"/>
      <c r="F218" s="14"/>
      <c r="G218" s="15"/>
      <c r="H218" s="16" t="s">
        <v>16</v>
      </c>
      <c r="I218" s="16" t="str">
        <f t="shared" si="17"/>
        <v/>
      </c>
      <c r="J218" s="17" t="str">
        <f t="shared" si="18"/>
        <v/>
      </c>
      <c r="K218" s="18"/>
      <c r="L218" s="19" t="str">
        <f t="shared" si="16"/>
        <v/>
      </c>
      <c r="M218" s="19" t="str">
        <f t="shared" si="16"/>
        <v/>
      </c>
      <c r="N218" s="20"/>
      <c r="P218" s="26" t="str">
        <f>IF(_xlfn.MINIFS($C:$C,$B:$B,P213,$C:$C,"&gt;"&amp;MAX(P214:P217),$F:$F,"&lt;&gt;"&amp;"")&gt;0,_xlfn.MINIFS($C:$C,$B:$B,P213,$C:$C,"&gt;"&amp;MAX(P214:P217),$F:$F,"&lt;&gt;"&amp;""),"")</f>
        <v/>
      </c>
      <c r="Q218" s="27" t="str">
        <f>IFERROR(VLOOKUP($P218,$C:$J,6,FALSE),"")</f>
        <v/>
      </c>
      <c r="R218" s="27" t="str">
        <f>IFERROR(VLOOKUP($P218,$C:$J,4,FALSE),"")</f>
        <v/>
      </c>
      <c r="S218" s="28" t="str">
        <f>IFERROR(VLOOKUP($P218,$C:$J,8,FALSE),"")</f>
        <v/>
      </c>
    </row>
    <row r="219" spans="1:20" hidden="1" x14ac:dyDescent="0.25">
      <c r="A219" s="10" t="str">
        <f t="shared" si="19"/>
        <v/>
      </c>
      <c r="B219" s="11" t="str">
        <f t="shared" si="15"/>
        <v/>
      </c>
      <c r="C219" s="12"/>
      <c r="D219" s="13"/>
      <c r="E219" s="13"/>
      <c r="F219" s="14"/>
      <c r="G219" s="15"/>
      <c r="H219" s="16" t="s">
        <v>16</v>
      </c>
      <c r="I219" s="16" t="str">
        <f t="shared" si="17"/>
        <v/>
      </c>
      <c r="J219" s="17" t="str">
        <f t="shared" si="18"/>
        <v/>
      </c>
      <c r="K219" s="18"/>
      <c r="L219" s="19" t="str">
        <f t="shared" si="16"/>
        <v/>
      </c>
      <c r="M219" s="19" t="str">
        <f t="shared" si="16"/>
        <v/>
      </c>
      <c r="N219" s="20"/>
      <c r="P219" s="26" t="str">
        <f>IF(_xlfn.MINIFS($C:$C,$B:$B,P213,$C:$C,"&gt;"&amp;MAX(P214:P218),$F:$F,"&lt;&gt;"&amp;"")&gt;0,_xlfn.MINIFS($C:$C,$B:$B,P213,$C:$C,"&gt;"&amp;MAX(P214:P218),$F:$F,"&lt;&gt;"&amp;""),"")</f>
        <v/>
      </c>
      <c r="Q219" s="27" t="str">
        <f>IFERROR(VLOOKUP($P219,$C:$J,6,FALSE),"")</f>
        <v/>
      </c>
      <c r="R219" s="27" t="str">
        <f>IFERROR(VLOOKUP($P219,$C:$J,4,FALSE),"")</f>
        <v/>
      </c>
      <c r="S219" s="28" t="str">
        <f>IFERROR(VLOOKUP($P219,$C:$J,8,FALSE),"")</f>
        <v/>
      </c>
    </row>
    <row r="220" spans="1:20" hidden="1" x14ac:dyDescent="0.25">
      <c r="A220" s="10" t="str">
        <f t="shared" si="19"/>
        <v/>
      </c>
      <c r="B220" s="11" t="str">
        <f t="shared" si="15"/>
        <v/>
      </c>
      <c r="C220" s="12"/>
      <c r="D220" s="13"/>
      <c r="E220" s="13"/>
      <c r="F220" s="14"/>
      <c r="G220" s="15"/>
      <c r="H220" s="16" t="s">
        <v>16</v>
      </c>
      <c r="I220" s="16" t="str">
        <f t="shared" si="17"/>
        <v/>
      </c>
      <c r="J220" s="17" t="str">
        <f t="shared" si="18"/>
        <v/>
      </c>
      <c r="K220" s="18"/>
      <c r="L220" s="19" t="str">
        <f t="shared" si="16"/>
        <v/>
      </c>
      <c r="M220" s="19" t="str">
        <f t="shared" si="16"/>
        <v/>
      </c>
      <c r="N220" s="20"/>
      <c r="P220" s="26" t="str">
        <f>IF(_xlfn.MINIFS($C:$C,$B:$B,P213,$C:$C,"&gt;"&amp;MAX(P214:P219),$F:$F,"&lt;&gt;"&amp;"")&gt;0,_xlfn.MINIFS($C:$C,$B:$B,P213,$C:$C,"&gt;"&amp;MAX(P214:P219),$F:$F,"&lt;&gt;"&amp;""),"")</f>
        <v/>
      </c>
      <c r="Q220" s="27" t="str">
        <f>IFERROR(VLOOKUP($P220,$C:$J,6,FALSE),"")</f>
        <v/>
      </c>
      <c r="R220" s="27" t="str">
        <f>IFERROR(VLOOKUP($P220,$C:$J,4,FALSE),"")</f>
        <v/>
      </c>
      <c r="S220" s="28" t="str">
        <f>IFERROR(VLOOKUP($P220,$C:$J,8,FALSE),"")</f>
        <v/>
      </c>
    </row>
    <row r="221" spans="1:20" hidden="1" x14ac:dyDescent="0.25">
      <c r="A221" s="10" t="str">
        <f t="shared" si="19"/>
        <v/>
      </c>
      <c r="B221" s="11" t="str">
        <f t="shared" si="15"/>
        <v/>
      </c>
      <c r="C221" s="12"/>
      <c r="D221" s="13"/>
      <c r="E221" s="13"/>
      <c r="F221" s="14"/>
      <c r="G221" s="15"/>
      <c r="H221" s="16" t="s">
        <v>16</v>
      </c>
      <c r="I221" s="16" t="str">
        <f t="shared" si="17"/>
        <v/>
      </c>
      <c r="J221" s="17" t="str">
        <f t="shared" si="18"/>
        <v/>
      </c>
      <c r="K221" s="18"/>
      <c r="L221" s="19" t="str">
        <f t="shared" si="16"/>
        <v/>
      </c>
      <c r="M221" s="19" t="str">
        <f t="shared" si="16"/>
        <v/>
      </c>
      <c r="N221" s="20"/>
      <c r="P221" s="26" t="str">
        <f>IF(_xlfn.MINIFS($C:$C,$B:$B,P213,$C:$C,"&gt;"&amp;MAX(P214:P220),$F:$F,"&lt;&gt;"&amp;"")&gt;0,_xlfn.MINIFS($C:$C,$B:$B,P213,$C:$C,"&gt;"&amp;MAX(P214:P220),$F:$F,"&lt;&gt;"&amp;""),"")</f>
        <v/>
      </c>
      <c r="Q221" s="27" t="str">
        <f>IFERROR(VLOOKUP($P221,$C:$J,6,FALSE),"")</f>
        <v/>
      </c>
      <c r="R221" s="27" t="str">
        <f>IFERROR(VLOOKUP($P221,$C:$J,4,FALSE),"")</f>
        <v/>
      </c>
      <c r="S221" s="28" t="str">
        <f>IFERROR(VLOOKUP($P221,$C:$J,8,FALSE),"")</f>
        <v/>
      </c>
    </row>
    <row r="222" spans="1:20" hidden="1" x14ac:dyDescent="0.25">
      <c r="A222" s="10" t="str">
        <f t="shared" si="19"/>
        <v/>
      </c>
      <c r="B222" s="11" t="str">
        <f t="shared" si="15"/>
        <v/>
      </c>
      <c r="C222" s="12"/>
      <c r="D222" s="13"/>
      <c r="E222" s="13"/>
      <c r="F222" s="14"/>
      <c r="G222" s="15"/>
      <c r="H222" s="16" t="s">
        <v>16</v>
      </c>
      <c r="I222" s="16" t="str">
        <f t="shared" si="17"/>
        <v/>
      </c>
      <c r="J222" s="17" t="str">
        <f t="shared" si="18"/>
        <v/>
      </c>
      <c r="K222" s="18"/>
      <c r="L222" s="19" t="str">
        <f t="shared" si="16"/>
        <v/>
      </c>
      <c r="M222" s="19" t="str">
        <f t="shared" si="16"/>
        <v/>
      </c>
      <c r="N222" s="20"/>
      <c r="P222" s="26" t="str">
        <f>IF(_xlfn.MINIFS($C:$C,$B:$B,P213,$C:$C,"&gt;"&amp;MAX(P214:P221),$F:$F,"&lt;&gt;"&amp;"")&gt;0,_xlfn.MINIFS($C:$C,$B:$B,P213,$C:$C,"&gt;"&amp;MAX(P214:P221),$F:$F,"&lt;&gt;"&amp;""),"")</f>
        <v/>
      </c>
      <c r="Q222" s="27" t="str">
        <f>IFERROR(VLOOKUP($P222,$C:$J,6,FALSE),"")</f>
        <v/>
      </c>
      <c r="R222" s="27" t="str">
        <f>IFERROR(VLOOKUP($P222,$C:$J,4,FALSE),"")</f>
        <v/>
      </c>
      <c r="S222" s="28" t="str">
        <f>IFERROR(VLOOKUP($P222,$C:$J,8,FALSE),"")</f>
        <v/>
      </c>
    </row>
    <row r="223" spans="1:20" hidden="1" x14ac:dyDescent="0.25">
      <c r="A223" s="10" t="str">
        <f t="shared" si="19"/>
        <v/>
      </c>
      <c r="B223" s="11" t="str">
        <f t="shared" si="15"/>
        <v/>
      </c>
      <c r="C223" s="12"/>
      <c r="D223" s="13"/>
      <c r="E223" s="13"/>
      <c r="F223" s="14"/>
      <c r="G223" s="15"/>
      <c r="H223" s="16" t="s">
        <v>16</v>
      </c>
      <c r="I223" s="16" t="str">
        <f t="shared" si="17"/>
        <v/>
      </c>
      <c r="J223" s="17" t="str">
        <f t="shared" si="18"/>
        <v/>
      </c>
      <c r="K223" s="18"/>
      <c r="L223" s="19" t="str">
        <f t="shared" si="16"/>
        <v/>
      </c>
      <c r="M223" s="19" t="str">
        <f t="shared" si="16"/>
        <v/>
      </c>
      <c r="N223" s="20"/>
      <c r="P223" s="26" t="str">
        <f>IF(_xlfn.MINIFS($C:$C,$B:$B,P213,$C:$C,"&gt;"&amp;MAX(P214:P222),$F:$F,"&lt;&gt;"&amp;"")&gt;0,_xlfn.MINIFS($C:$C,$B:$B,P213,$C:$C,"&gt;"&amp;MAX(P214:P222),$F:$F,"&lt;&gt;"&amp;""),"")</f>
        <v/>
      </c>
      <c r="Q223" s="27" t="str">
        <f>IFERROR(VLOOKUP($P223,$C:$J,6,FALSE),"")</f>
        <v/>
      </c>
      <c r="R223" s="27" t="str">
        <f>IFERROR(VLOOKUP($P223,$C:$J,4,FALSE),"")</f>
        <v/>
      </c>
      <c r="S223" s="28" t="str">
        <f>IFERROR(VLOOKUP($P223,$C:$J,8,FALSE),"")</f>
        <v/>
      </c>
    </row>
    <row r="224" spans="1:20" hidden="1" x14ac:dyDescent="0.25">
      <c r="A224" s="10" t="str">
        <f t="shared" si="19"/>
        <v/>
      </c>
      <c r="B224" s="11" t="str">
        <f t="shared" si="15"/>
        <v/>
      </c>
      <c r="C224" s="12"/>
      <c r="D224" s="13"/>
      <c r="E224" s="13"/>
      <c r="F224" s="14"/>
      <c r="G224" s="15"/>
      <c r="H224" s="16" t="s">
        <v>16</v>
      </c>
      <c r="I224" s="16" t="str">
        <f t="shared" si="17"/>
        <v/>
      </c>
      <c r="J224" s="17" t="str">
        <f t="shared" si="18"/>
        <v/>
      </c>
      <c r="K224" s="18"/>
      <c r="L224" s="19" t="str">
        <f t="shared" si="16"/>
        <v/>
      </c>
      <c r="M224" s="19" t="str">
        <f t="shared" si="16"/>
        <v/>
      </c>
      <c r="N224" s="20"/>
      <c r="P224" s="26" t="str">
        <f>IF(_xlfn.MINIFS($C:$C,$B:$B,P213,$C:$C,"&gt;"&amp;MAX(P214:P223),$F:$F,"&lt;&gt;"&amp;"")&gt;0,_xlfn.MINIFS($C:$C,$B:$B,P213,$C:$C,"&gt;"&amp;MAX(P214:P223),$F:$F,"&lt;&gt;"&amp;""),"")</f>
        <v/>
      </c>
      <c r="Q224" s="27" t="str">
        <f>IFERROR(VLOOKUP($P224,$C:$J,6,FALSE),"")</f>
        <v/>
      </c>
      <c r="R224" s="27" t="str">
        <f>IFERROR(VLOOKUP($P224,$C:$J,4,FALSE),"")</f>
        <v/>
      </c>
      <c r="S224" s="28" t="str">
        <f>IFERROR(VLOOKUP($P224,$C:$J,8,FALSE),"")</f>
        <v/>
      </c>
      <c r="T224" s="35"/>
    </row>
    <row r="225" spans="1:20" hidden="1" x14ac:dyDescent="0.25">
      <c r="A225" s="10" t="str">
        <f t="shared" si="19"/>
        <v/>
      </c>
      <c r="B225" s="11" t="str">
        <f t="shared" si="15"/>
        <v/>
      </c>
      <c r="C225" s="12"/>
      <c r="D225" s="13"/>
      <c r="E225" s="13"/>
      <c r="F225" s="14"/>
      <c r="G225" s="15"/>
      <c r="H225" s="16" t="s">
        <v>16</v>
      </c>
      <c r="I225" s="16" t="str">
        <f t="shared" si="17"/>
        <v/>
      </c>
      <c r="J225" s="17" t="str">
        <f t="shared" si="18"/>
        <v/>
      </c>
      <c r="K225" s="18"/>
      <c r="L225" s="19" t="str">
        <f t="shared" si="16"/>
        <v/>
      </c>
      <c r="M225" s="19" t="str">
        <f t="shared" si="16"/>
        <v/>
      </c>
      <c r="N225" s="20"/>
      <c r="P225" s="29" t="str">
        <f>IF(_xlfn.MINIFS($C:$C,$B:$B,P213,$C:$C,"&gt;"&amp;MAX(P214:P224),$F:$F,"&lt;&gt;"&amp;"")&gt;0,_xlfn.MINIFS($C:$C,$B:$B,P213,$C:$C,"&gt;"&amp;MAX(P214:P224),$F:$F,"&lt;&gt;"&amp;""),"")</f>
        <v/>
      </c>
      <c r="Q225" s="30" t="str">
        <f>IFERROR(VLOOKUP($P225,$C:$J,6,FALSE),"")</f>
        <v/>
      </c>
      <c r="R225" s="30" t="str">
        <f>IFERROR(VLOOKUP($P225,$C:$J,4,FALSE),"")</f>
        <v/>
      </c>
      <c r="S225" s="31" t="str">
        <f>IFERROR(VLOOKUP($P225,$C:$J,8,FALSE),"")</f>
        <v/>
      </c>
      <c r="T225" s="35"/>
    </row>
    <row r="226" spans="1:20" hidden="1" x14ac:dyDescent="0.25">
      <c r="A226" s="10" t="str">
        <f t="shared" si="19"/>
        <v/>
      </c>
      <c r="B226" s="11" t="str">
        <f t="shared" si="15"/>
        <v/>
      </c>
      <c r="C226" s="12"/>
      <c r="D226" s="13"/>
      <c r="E226" s="13"/>
      <c r="F226" s="14"/>
      <c r="G226" s="15"/>
      <c r="H226" s="16" t="s">
        <v>16</v>
      </c>
      <c r="I226" s="16" t="str">
        <f t="shared" si="17"/>
        <v/>
      </c>
      <c r="J226" s="17" t="str">
        <f t="shared" si="18"/>
        <v/>
      </c>
      <c r="K226" s="18"/>
      <c r="L226" s="19" t="str">
        <f t="shared" si="16"/>
        <v/>
      </c>
      <c r="M226" s="19" t="str">
        <f t="shared" si="16"/>
        <v/>
      </c>
      <c r="N226" s="20"/>
      <c r="P226" s="32" t="str">
        <f>"TOTAL "&amp;$P213</f>
        <v>TOTAL 0</v>
      </c>
      <c r="Q226" s="33">
        <f>SUM(Q214:Q225)</f>
        <v>0</v>
      </c>
      <c r="R226" s="33">
        <f>SUM(R214:R225)</f>
        <v>0</v>
      </c>
      <c r="S226" s="34" t="str">
        <f>IFERROR(R226/Q226,"")</f>
        <v/>
      </c>
    </row>
    <row r="227" spans="1:20" hidden="1" x14ac:dyDescent="0.25">
      <c r="A227" s="10" t="str">
        <f t="shared" si="19"/>
        <v/>
      </c>
      <c r="B227" s="11" t="str">
        <f t="shared" si="15"/>
        <v/>
      </c>
      <c r="C227" s="12"/>
      <c r="D227" s="13"/>
      <c r="E227" s="13"/>
      <c r="F227" s="14"/>
      <c r="G227" s="15"/>
      <c r="H227" s="16" t="s">
        <v>16</v>
      </c>
      <c r="I227" s="16" t="str">
        <f t="shared" si="17"/>
        <v/>
      </c>
      <c r="J227" s="17" t="str">
        <f t="shared" si="18"/>
        <v/>
      </c>
      <c r="K227" s="18"/>
      <c r="L227" s="19" t="str">
        <f t="shared" si="16"/>
        <v/>
      </c>
      <c r="M227" s="19" t="str">
        <f t="shared" si="16"/>
        <v/>
      </c>
      <c r="N227" s="20"/>
    </row>
    <row r="228" spans="1:20" hidden="1" x14ac:dyDescent="0.25">
      <c r="A228" s="10" t="str">
        <f t="shared" si="19"/>
        <v/>
      </c>
      <c r="B228" s="11" t="str">
        <f t="shared" si="15"/>
        <v/>
      </c>
      <c r="C228" s="12"/>
      <c r="D228" s="13"/>
      <c r="E228" s="13"/>
      <c r="F228" s="14"/>
      <c r="G228" s="15"/>
      <c r="H228" s="16" t="s">
        <v>16</v>
      </c>
      <c r="I228" s="16" t="str">
        <f t="shared" si="17"/>
        <v/>
      </c>
      <c r="J228" s="17" t="str">
        <f t="shared" si="18"/>
        <v/>
      </c>
      <c r="K228" s="18"/>
      <c r="L228" s="19" t="str">
        <f t="shared" si="16"/>
        <v/>
      </c>
      <c r="M228" s="19" t="str">
        <f t="shared" si="16"/>
        <v/>
      </c>
      <c r="N228" s="20"/>
      <c r="P228" s="21">
        <f>_xlfn.MINIFS($B:$B,$B:$B,"&gt;"&amp;MAX($P$3,$P$18,$P$33,P$48,P$63,P$78,P$93,P$108,P$123,P$138,P$153,P$168,P$183,P$198,P$213))</f>
        <v>0</v>
      </c>
      <c r="Q228" s="22" t="s">
        <v>13</v>
      </c>
      <c r="R228" s="22" t="s">
        <v>14</v>
      </c>
      <c r="S228" s="22" t="s">
        <v>15</v>
      </c>
    </row>
    <row r="229" spans="1:20" hidden="1" x14ac:dyDescent="0.25">
      <c r="A229" s="10" t="str">
        <f t="shared" si="19"/>
        <v/>
      </c>
      <c r="B229" s="11" t="str">
        <f t="shared" si="15"/>
        <v/>
      </c>
      <c r="C229" s="12"/>
      <c r="D229" s="13"/>
      <c r="E229" s="13"/>
      <c r="F229" s="14"/>
      <c r="G229" s="15"/>
      <c r="H229" s="16" t="s">
        <v>16</v>
      </c>
      <c r="I229" s="16" t="str">
        <f t="shared" si="17"/>
        <v/>
      </c>
      <c r="J229" s="17" t="str">
        <f t="shared" si="18"/>
        <v/>
      </c>
      <c r="K229" s="18"/>
      <c r="L229" s="19" t="str">
        <f t="shared" si="16"/>
        <v/>
      </c>
      <c r="M229" s="19" t="str">
        <f t="shared" si="16"/>
        <v/>
      </c>
      <c r="N229" s="20"/>
      <c r="P229" s="23">
        <f>_xlfn.MINIFS(C:C,B:B,P228,F:F,"&gt;"&amp;0)</f>
        <v>0</v>
      </c>
      <c r="Q229" s="24" t="str">
        <f>IFERROR(VLOOKUP($P229,$C:$J,6,FALSE),"")</f>
        <v/>
      </c>
      <c r="R229" s="24" t="str">
        <f>IFERROR(VLOOKUP($P229,$C:$J,4,FALSE),"")</f>
        <v/>
      </c>
      <c r="S229" s="25" t="str">
        <f>IFERROR(VLOOKUP($P229,$C:$J,8,FALSE),"")</f>
        <v/>
      </c>
    </row>
    <row r="230" spans="1:20" hidden="1" x14ac:dyDescent="0.25">
      <c r="A230" s="10" t="str">
        <f t="shared" si="19"/>
        <v/>
      </c>
      <c r="B230" s="11" t="str">
        <f t="shared" si="15"/>
        <v/>
      </c>
      <c r="C230" s="12"/>
      <c r="D230" s="13"/>
      <c r="E230" s="13"/>
      <c r="F230" s="14"/>
      <c r="G230" s="15"/>
      <c r="H230" s="16" t="s">
        <v>16</v>
      </c>
      <c r="I230" s="16" t="str">
        <f t="shared" si="17"/>
        <v/>
      </c>
      <c r="J230" s="17" t="str">
        <f t="shared" si="18"/>
        <v/>
      </c>
      <c r="K230" s="18"/>
      <c r="L230" s="19" t="str">
        <f t="shared" si="16"/>
        <v/>
      </c>
      <c r="M230" s="19" t="str">
        <f t="shared" si="16"/>
        <v/>
      </c>
      <c r="N230" s="20"/>
      <c r="P230" s="26" t="str">
        <f>IF(_xlfn.MINIFS($C:$C,$B:$B,P228,$C:$C,"&gt;"&amp;MAX(P229:P229),$F:$F,"&lt;&gt;"&amp;"")&gt;0,_xlfn.MINIFS($C:$C,$B:$B,P228,$C:$C,"&gt;"&amp;MAX(P229:P229),$F:$F,"&lt;&gt;"&amp;""),"")</f>
        <v/>
      </c>
      <c r="Q230" s="27" t="str">
        <f>IFERROR(VLOOKUP($P230,$C:$J,6,FALSE),"")</f>
        <v/>
      </c>
      <c r="R230" s="27" t="str">
        <f>IFERROR(VLOOKUP($P230,$C:$J,4,FALSE),"")</f>
        <v/>
      </c>
      <c r="S230" s="28" t="str">
        <f>IFERROR(VLOOKUP($P230,$C:$J,8,FALSE),"")</f>
        <v/>
      </c>
    </row>
    <row r="231" spans="1:20" hidden="1" x14ac:dyDescent="0.25">
      <c r="A231" s="10" t="str">
        <f t="shared" si="19"/>
        <v/>
      </c>
      <c r="B231" s="11" t="str">
        <f t="shared" si="15"/>
        <v/>
      </c>
      <c r="C231" s="12"/>
      <c r="D231" s="13"/>
      <c r="E231" s="13"/>
      <c r="F231" s="14"/>
      <c r="G231" s="15"/>
      <c r="H231" s="16" t="s">
        <v>16</v>
      </c>
      <c r="I231" s="16" t="str">
        <f t="shared" si="17"/>
        <v/>
      </c>
      <c r="J231" s="17" t="str">
        <f t="shared" si="18"/>
        <v/>
      </c>
      <c r="K231" s="18"/>
      <c r="L231" s="19" t="str">
        <f t="shared" si="16"/>
        <v/>
      </c>
      <c r="M231" s="19" t="str">
        <f t="shared" si="16"/>
        <v/>
      </c>
      <c r="N231" s="20"/>
      <c r="P231" s="26" t="str">
        <f>IF(_xlfn.MINIFS($C:$C,$B:$B,P228,$C:$C,"&gt;"&amp;MAX(P229:P230),$F:$F,"&lt;&gt;"&amp;"")&gt;0,_xlfn.MINIFS($C:$C,$B:$B,P228,$C:$C,"&gt;"&amp;MAX(P229:P230),$F:$F,"&lt;&gt;"&amp;""),"")</f>
        <v/>
      </c>
      <c r="Q231" s="27" t="str">
        <f>IFERROR(VLOOKUP($P231,$C:$J,6,FALSE),"")</f>
        <v/>
      </c>
      <c r="R231" s="27" t="str">
        <f>IFERROR(VLOOKUP($P231,$C:$J,4,FALSE),"")</f>
        <v/>
      </c>
      <c r="S231" s="28" t="str">
        <f>IFERROR(VLOOKUP($P231,$C:$J,8,FALSE),"")</f>
        <v/>
      </c>
    </row>
    <row r="232" spans="1:20" hidden="1" x14ac:dyDescent="0.25">
      <c r="A232" s="10" t="str">
        <f t="shared" si="19"/>
        <v/>
      </c>
      <c r="B232" s="11" t="str">
        <f t="shared" si="15"/>
        <v/>
      </c>
      <c r="C232" s="12"/>
      <c r="D232" s="13"/>
      <c r="E232" s="13"/>
      <c r="F232" s="14"/>
      <c r="G232" s="15"/>
      <c r="H232" s="16" t="s">
        <v>16</v>
      </c>
      <c r="I232" s="16" t="str">
        <f t="shared" si="17"/>
        <v/>
      </c>
      <c r="J232" s="17" t="str">
        <f t="shared" si="18"/>
        <v/>
      </c>
      <c r="K232" s="18"/>
      <c r="L232" s="19" t="str">
        <f t="shared" si="16"/>
        <v/>
      </c>
      <c r="M232" s="19" t="str">
        <f t="shared" si="16"/>
        <v/>
      </c>
      <c r="N232" s="20"/>
      <c r="P232" s="26" t="str">
        <f>IF(_xlfn.MINIFS($C:$C,$B:$B,P228,$C:$C,"&gt;"&amp;MAX(P229:P231),$F:$F,"&lt;&gt;"&amp;"")&gt;0,_xlfn.MINIFS($C:$C,$B:$B,P228,$C:$C,"&gt;"&amp;MAX(P229:P231),$F:$F,"&lt;&gt;"&amp;""),"")</f>
        <v/>
      </c>
      <c r="Q232" s="27" t="str">
        <f>IFERROR(VLOOKUP($P232,$C:$J,6,FALSE),"")</f>
        <v/>
      </c>
      <c r="R232" s="27" t="str">
        <f>IFERROR(VLOOKUP($P232,$C:$J,4,FALSE),"")</f>
        <v/>
      </c>
      <c r="S232" s="28" t="str">
        <f>IFERROR(VLOOKUP($P232,$C:$J,8,FALSE),"")</f>
        <v/>
      </c>
    </row>
    <row r="233" spans="1:20" hidden="1" x14ac:dyDescent="0.25">
      <c r="A233" s="10" t="str">
        <f t="shared" si="19"/>
        <v/>
      </c>
      <c r="B233" s="11" t="str">
        <f t="shared" si="15"/>
        <v/>
      </c>
      <c r="C233" s="12"/>
      <c r="D233" s="13"/>
      <c r="E233" s="13"/>
      <c r="F233" s="14"/>
      <c r="G233" s="15"/>
      <c r="H233" s="16" t="s">
        <v>16</v>
      </c>
      <c r="I233" s="16" t="str">
        <f t="shared" si="17"/>
        <v/>
      </c>
      <c r="J233" s="17" t="str">
        <f t="shared" si="18"/>
        <v/>
      </c>
      <c r="K233" s="18"/>
      <c r="L233" s="19" t="str">
        <f t="shared" si="16"/>
        <v/>
      </c>
      <c r="M233" s="19" t="str">
        <f t="shared" si="16"/>
        <v/>
      </c>
      <c r="N233" s="20"/>
      <c r="P233" s="26" t="str">
        <f>IF(_xlfn.MINIFS($C:$C,$B:$B,P228,$C:$C,"&gt;"&amp;MAX(P229:P232),$F:$F,"&lt;&gt;"&amp;"")&gt;0,_xlfn.MINIFS($C:$C,$B:$B,P228,$C:$C,"&gt;"&amp;MAX(P229:P232),$F:$F,"&lt;&gt;"&amp;""),"")</f>
        <v/>
      </c>
      <c r="Q233" s="27" t="str">
        <f>IFERROR(VLOOKUP($P233,$C:$J,6,FALSE),"")</f>
        <v/>
      </c>
      <c r="R233" s="27" t="str">
        <f>IFERROR(VLOOKUP($P233,$C:$J,4,FALSE),"")</f>
        <v/>
      </c>
      <c r="S233" s="28" t="str">
        <f>IFERROR(VLOOKUP($P233,$C:$J,8,FALSE),"")</f>
        <v/>
      </c>
    </row>
    <row r="234" spans="1:20" hidden="1" x14ac:dyDescent="0.25">
      <c r="A234" s="10" t="str">
        <f t="shared" si="19"/>
        <v/>
      </c>
      <c r="B234" s="11" t="str">
        <f t="shared" si="15"/>
        <v/>
      </c>
      <c r="C234" s="12"/>
      <c r="D234" s="13"/>
      <c r="E234" s="13"/>
      <c r="F234" s="14"/>
      <c r="G234" s="15"/>
      <c r="H234" s="16" t="s">
        <v>16</v>
      </c>
      <c r="I234" s="16" t="str">
        <f t="shared" si="17"/>
        <v/>
      </c>
      <c r="J234" s="17" t="str">
        <f t="shared" si="18"/>
        <v/>
      </c>
      <c r="K234" s="18"/>
      <c r="L234" s="19" t="str">
        <f t="shared" si="16"/>
        <v/>
      </c>
      <c r="M234" s="19" t="str">
        <f t="shared" si="16"/>
        <v/>
      </c>
      <c r="N234" s="20"/>
      <c r="P234" s="26" t="str">
        <f>IF(_xlfn.MINIFS($C:$C,$B:$B,P228,$C:$C,"&gt;"&amp;MAX(P229:P233),$F:$F,"&lt;&gt;"&amp;"")&gt;0,_xlfn.MINIFS($C:$C,$B:$B,P228,$C:$C,"&gt;"&amp;MAX(P229:P233),$F:$F,"&lt;&gt;"&amp;""),"")</f>
        <v/>
      </c>
      <c r="Q234" s="27" t="str">
        <f>IFERROR(VLOOKUP($P234,$C:$J,6,FALSE),"")</f>
        <v/>
      </c>
      <c r="R234" s="27" t="str">
        <f>IFERROR(VLOOKUP($P234,$C:$J,4,FALSE),"")</f>
        <v/>
      </c>
      <c r="S234" s="28" t="str">
        <f>IFERROR(VLOOKUP($P234,$C:$J,8,FALSE),"")</f>
        <v/>
      </c>
    </row>
    <row r="235" spans="1:20" hidden="1" x14ac:dyDescent="0.25">
      <c r="A235" s="10" t="str">
        <f t="shared" si="19"/>
        <v/>
      </c>
      <c r="B235" s="11" t="str">
        <f t="shared" si="15"/>
        <v/>
      </c>
      <c r="C235" s="12"/>
      <c r="D235" s="13"/>
      <c r="E235" s="13"/>
      <c r="F235" s="14"/>
      <c r="G235" s="15"/>
      <c r="H235" s="16" t="s">
        <v>16</v>
      </c>
      <c r="I235" s="16" t="str">
        <f t="shared" si="17"/>
        <v/>
      </c>
      <c r="J235" s="17" t="str">
        <f t="shared" si="18"/>
        <v/>
      </c>
      <c r="K235" s="18"/>
      <c r="L235" s="19" t="str">
        <f t="shared" si="16"/>
        <v/>
      </c>
      <c r="M235" s="19" t="str">
        <f t="shared" si="16"/>
        <v/>
      </c>
      <c r="N235" s="20"/>
      <c r="P235" s="26" t="str">
        <f>IF(_xlfn.MINIFS($C:$C,$B:$B,P228,$C:$C,"&gt;"&amp;MAX(P229:P234),$F:$F,"&lt;&gt;"&amp;"")&gt;0,_xlfn.MINIFS($C:$C,$B:$B,P228,$C:$C,"&gt;"&amp;MAX(P229:P234),$F:$F,"&lt;&gt;"&amp;""),"")</f>
        <v/>
      </c>
      <c r="Q235" s="27" t="str">
        <f>IFERROR(VLOOKUP($P235,$C:$J,6,FALSE),"")</f>
        <v/>
      </c>
      <c r="R235" s="27" t="str">
        <f>IFERROR(VLOOKUP($P235,$C:$J,4,FALSE),"")</f>
        <v/>
      </c>
      <c r="S235" s="28" t="str">
        <f>IFERROR(VLOOKUP($P235,$C:$J,8,FALSE),"")</f>
        <v/>
      </c>
    </row>
    <row r="236" spans="1:20" hidden="1" x14ac:dyDescent="0.25">
      <c r="A236" s="10" t="str">
        <f t="shared" si="19"/>
        <v/>
      </c>
      <c r="B236" s="11" t="str">
        <f t="shared" si="15"/>
        <v/>
      </c>
      <c r="C236" s="12"/>
      <c r="D236" s="13"/>
      <c r="E236" s="13"/>
      <c r="F236" s="14"/>
      <c r="G236" s="15"/>
      <c r="H236" s="16" t="s">
        <v>16</v>
      </c>
      <c r="I236" s="16" t="str">
        <f t="shared" si="17"/>
        <v/>
      </c>
      <c r="J236" s="17" t="str">
        <f t="shared" si="18"/>
        <v/>
      </c>
      <c r="K236" s="18"/>
      <c r="L236" s="19" t="str">
        <f t="shared" si="16"/>
        <v/>
      </c>
      <c r="M236" s="19" t="str">
        <f t="shared" si="16"/>
        <v/>
      </c>
      <c r="N236" s="20"/>
      <c r="P236" s="26" t="str">
        <f>IF(_xlfn.MINIFS($C:$C,$B:$B,P228,$C:$C,"&gt;"&amp;MAX(P229:P235),$F:$F,"&lt;&gt;"&amp;"")&gt;0,_xlfn.MINIFS($C:$C,$B:$B,P228,$C:$C,"&gt;"&amp;MAX(P229:P235),$F:$F,"&lt;&gt;"&amp;""),"")</f>
        <v/>
      </c>
      <c r="Q236" s="27" t="str">
        <f>IFERROR(VLOOKUP($P236,$C:$J,6,FALSE),"")</f>
        <v/>
      </c>
      <c r="R236" s="27" t="str">
        <f>IFERROR(VLOOKUP($P236,$C:$J,4,FALSE),"")</f>
        <v/>
      </c>
      <c r="S236" s="28" t="str">
        <f>IFERROR(VLOOKUP($P236,$C:$J,8,FALSE),"")</f>
        <v/>
      </c>
    </row>
    <row r="237" spans="1:20" hidden="1" x14ac:dyDescent="0.25">
      <c r="A237" s="10" t="str">
        <f t="shared" si="19"/>
        <v/>
      </c>
      <c r="B237" s="11" t="str">
        <f t="shared" si="15"/>
        <v/>
      </c>
      <c r="C237" s="12"/>
      <c r="D237" s="13"/>
      <c r="E237" s="13"/>
      <c r="F237" s="14"/>
      <c r="G237" s="15"/>
      <c r="H237" s="16" t="s">
        <v>16</v>
      </c>
      <c r="I237" s="16" t="str">
        <f t="shared" si="17"/>
        <v/>
      </c>
      <c r="J237" s="17" t="str">
        <f t="shared" si="18"/>
        <v/>
      </c>
      <c r="K237" s="18"/>
      <c r="L237" s="19" t="str">
        <f t="shared" si="16"/>
        <v/>
      </c>
      <c r="M237" s="19" t="str">
        <f t="shared" si="16"/>
        <v/>
      </c>
      <c r="N237" s="20"/>
      <c r="P237" s="26" t="str">
        <f>IF(_xlfn.MINIFS($C:$C,$B:$B,P228,$C:$C,"&gt;"&amp;MAX(P229:P236),$F:$F,"&lt;&gt;"&amp;"")&gt;0,_xlfn.MINIFS($C:$C,$B:$B,P228,$C:$C,"&gt;"&amp;MAX(P229:P236),$F:$F,"&lt;&gt;"&amp;""),"")</f>
        <v/>
      </c>
      <c r="Q237" s="27" t="str">
        <f>IFERROR(VLOOKUP($P237,$C:$J,6,FALSE),"")</f>
        <v/>
      </c>
      <c r="R237" s="27" t="str">
        <f>IFERROR(VLOOKUP($P237,$C:$J,4,FALSE),"")</f>
        <v/>
      </c>
      <c r="S237" s="28" t="str">
        <f>IFERROR(VLOOKUP($P237,$C:$J,8,FALSE),"")</f>
        <v/>
      </c>
    </row>
    <row r="238" spans="1:20" hidden="1" x14ac:dyDescent="0.25">
      <c r="A238" s="10" t="str">
        <f t="shared" si="19"/>
        <v/>
      </c>
      <c r="B238" s="11" t="str">
        <f t="shared" si="15"/>
        <v/>
      </c>
      <c r="C238" s="12"/>
      <c r="D238" s="13"/>
      <c r="E238" s="13"/>
      <c r="F238" s="14"/>
      <c r="G238" s="15"/>
      <c r="H238" s="16" t="s">
        <v>16</v>
      </c>
      <c r="I238" s="16" t="str">
        <f t="shared" si="17"/>
        <v/>
      </c>
      <c r="J238" s="17" t="str">
        <f t="shared" si="18"/>
        <v/>
      </c>
      <c r="K238" s="18"/>
      <c r="L238" s="19" t="str">
        <f t="shared" si="16"/>
        <v/>
      </c>
      <c r="M238" s="19" t="str">
        <f t="shared" si="16"/>
        <v/>
      </c>
      <c r="N238" s="20"/>
      <c r="P238" s="26" t="str">
        <f>IF(_xlfn.MINIFS($C:$C,$B:$B,P228,$C:$C,"&gt;"&amp;MAX(P229:P237),$F:$F,"&lt;&gt;"&amp;"")&gt;0,_xlfn.MINIFS($C:$C,$B:$B,P228,$C:$C,"&gt;"&amp;MAX(P229:P237),$F:$F,"&lt;&gt;"&amp;""),"")</f>
        <v/>
      </c>
      <c r="Q238" s="27" t="str">
        <f>IFERROR(VLOOKUP($P238,$C:$J,6,FALSE),"")</f>
        <v/>
      </c>
      <c r="R238" s="27" t="str">
        <f>IFERROR(VLOOKUP($P238,$C:$J,4,FALSE),"")</f>
        <v/>
      </c>
      <c r="S238" s="28" t="str">
        <f>IFERROR(VLOOKUP($P238,$C:$J,8,FALSE),"")</f>
        <v/>
      </c>
    </row>
    <row r="239" spans="1:20" hidden="1" x14ac:dyDescent="0.25">
      <c r="A239" s="10" t="str">
        <f t="shared" si="19"/>
        <v/>
      </c>
      <c r="B239" s="11" t="str">
        <f t="shared" si="15"/>
        <v/>
      </c>
      <c r="C239" s="12"/>
      <c r="D239" s="13"/>
      <c r="E239" s="13"/>
      <c r="F239" s="14"/>
      <c r="G239" s="15"/>
      <c r="H239" s="16" t="s">
        <v>16</v>
      </c>
      <c r="I239" s="16" t="str">
        <f t="shared" si="17"/>
        <v/>
      </c>
      <c r="J239" s="17" t="str">
        <f t="shared" si="18"/>
        <v/>
      </c>
      <c r="K239" s="18"/>
      <c r="L239" s="19" t="str">
        <f t="shared" si="16"/>
        <v/>
      </c>
      <c r="M239" s="19" t="str">
        <f t="shared" si="16"/>
        <v/>
      </c>
      <c r="N239" s="20"/>
      <c r="P239" s="26" t="str">
        <f>IF(_xlfn.MINIFS($C:$C,$B:$B,P228,$C:$C,"&gt;"&amp;MAX(P229:P238),$F:$F,"&lt;&gt;"&amp;"")&gt;0,_xlfn.MINIFS($C:$C,$B:$B,P228,$C:$C,"&gt;"&amp;MAX(P229:P238),$F:$F,"&lt;&gt;"&amp;""),"")</f>
        <v/>
      </c>
      <c r="Q239" s="27" t="str">
        <f>IFERROR(VLOOKUP($P239,$C:$J,6,FALSE),"")</f>
        <v/>
      </c>
      <c r="R239" s="27" t="str">
        <f>IFERROR(VLOOKUP($P239,$C:$J,4,FALSE),"")</f>
        <v/>
      </c>
      <c r="S239" s="28" t="str">
        <f>IFERROR(VLOOKUP($P239,$C:$J,8,FALSE),"")</f>
        <v/>
      </c>
      <c r="T239" s="35"/>
    </row>
    <row r="240" spans="1:20" hidden="1" x14ac:dyDescent="0.25">
      <c r="A240" s="10" t="str">
        <f t="shared" si="19"/>
        <v/>
      </c>
      <c r="B240" s="11" t="str">
        <f t="shared" si="15"/>
        <v/>
      </c>
      <c r="C240" s="12"/>
      <c r="D240" s="13"/>
      <c r="E240" s="13"/>
      <c r="F240" s="14"/>
      <c r="G240" s="15"/>
      <c r="H240" s="16" t="s">
        <v>16</v>
      </c>
      <c r="I240" s="16" t="str">
        <f t="shared" si="17"/>
        <v/>
      </c>
      <c r="J240" s="17" t="str">
        <f t="shared" si="18"/>
        <v/>
      </c>
      <c r="K240" s="18"/>
      <c r="L240" s="19" t="str">
        <f t="shared" si="16"/>
        <v/>
      </c>
      <c r="M240" s="19" t="str">
        <f t="shared" si="16"/>
        <v/>
      </c>
      <c r="N240" s="20"/>
      <c r="P240" s="29" t="str">
        <f>IF(_xlfn.MINIFS($C:$C,$B:$B,P228,$C:$C,"&gt;"&amp;MAX(P229:P239),$F:$F,"&lt;&gt;"&amp;"")&gt;0,_xlfn.MINIFS($C:$C,$B:$B,P228,$C:$C,"&gt;"&amp;MAX(P229:P239),$F:$F,"&lt;&gt;"&amp;""),"")</f>
        <v/>
      </c>
      <c r="Q240" s="30" t="str">
        <f>IFERROR(VLOOKUP($P240,$C:$J,6,FALSE),"")</f>
        <v/>
      </c>
      <c r="R240" s="30" t="str">
        <f>IFERROR(VLOOKUP($P240,$C:$J,4,FALSE),"")</f>
        <v/>
      </c>
      <c r="S240" s="31" t="str">
        <f>IFERROR(VLOOKUP($P240,$C:$J,8,FALSE),"")</f>
        <v/>
      </c>
      <c r="T240" s="35"/>
    </row>
    <row r="241" spans="1:20" hidden="1" x14ac:dyDescent="0.25">
      <c r="A241" s="10" t="str">
        <f t="shared" si="19"/>
        <v/>
      </c>
      <c r="B241" s="11" t="str">
        <f t="shared" si="15"/>
        <v/>
      </c>
      <c r="C241" s="12"/>
      <c r="D241" s="13"/>
      <c r="E241" s="13"/>
      <c r="F241" s="14"/>
      <c r="G241" s="15"/>
      <c r="H241" s="16" t="s">
        <v>16</v>
      </c>
      <c r="I241" s="16" t="str">
        <f t="shared" si="17"/>
        <v/>
      </c>
      <c r="J241" s="17" t="str">
        <f t="shared" si="18"/>
        <v/>
      </c>
      <c r="K241" s="18"/>
      <c r="L241" s="19" t="str">
        <f t="shared" si="16"/>
        <v/>
      </c>
      <c r="M241" s="19" t="str">
        <f t="shared" si="16"/>
        <v/>
      </c>
      <c r="N241" s="20"/>
      <c r="P241" s="32" t="str">
        <f>"TOTAL "&amp;$P228</f>
        <v>TOTAL 0</v>
      </c>
      <c r="Q241" s="33">
        <f>SUM(Q229:Q240)</f>
        <v>0</v>
      </c>
      <c r="R241" s="33">
        <f>SUM(R229:R240)</f>
        <v>0</v>
      </c>
      <c r="S241" s="34" t="str">
        <f>IFERROR(R241/Q241,"")</f>
        <v/>
      </c>
    </row>
    <row r="242" spans="1:20" hidden="1" x14ac:dyDescent="0.25">
      <c r="A242" s="37" t="str">
        <f t="shared" si="19"/>
        <v/>
      </c>
      <c r="B242" s="38" t="str">
        <f t="shared" si="15"/>
        <v/>
      </c>
      <c r="C242" s="39"/>
      <c r="D242" s="40"/>
      <c r="E242" s="40"/>
      <c r="F242" s="41"/>
      <c r="G242" s="42"/>
      <c r="H242" s="43" t="s">
        <v>16</v>
      </c>
      <c r="I242" s="43" t="str">
        <f t="shared" si="17"/>
        <v/>
      </c>
      <c r="J242" s="44" t="str">
        <f t="shared" si="18"/>
        <v/>
      </c>
      <c r="K242" s="45"/>
      <c r="L242" s="46" t="str">
        <f t="shared" si="16"/>
        <v/>
      </c>
      <c r="M242" s="46" t="str">
        <f t="shared" si="16"/>
        <v/>
      </c>
      <c r="N242" s="47"/>
    </row>
    <row r="243" spans="1:20" x14ac:dyDescent="0.25">
      <c r="P243" s="21">
        <f>_xlfn.MINIFS($B:$B,$B:$B,"&gt;"&amp;MAX($P$3,$P$18,$P$33,P$48,P$63,P$78,P$93,P$108,P$123,P$138,P$153,P$168,P$183,P$198,P$213,P$228))</f>
        <v>0</v>
      </c>
      <c r="Q243" s="22" t="s">
        <v>13</v>
      </c>
      <c r="R243" s="22" t="s">
        <v>14</v>
      </c>
      <c r="S243" s="22" t="s">
        <v>15</v>
      </c>
    </row>
    <row r="244" spans="1:20" x14ac:dyDescent="0.25">
      <c r="P244" s="23">
        <f>_xlfn.MINIFS(C:C,B:B,P243,F:F,"&gt;"&amp;0)</f>
        <v>0</v>
      </c>
      <c r="Q244" s="24" t="str">
        <f>IFERROR(VLOOKUP($P244,$C:$J,6,FALSE),"")</f>
        <v/>
      </c>
      <c r="R244" s="24" t="str">
        <f>IFERROR(VLOOKUP($P244,$C:$J,4,FALSE),"")</f>
        <v/>
      </c>
      <c r="S244" s="25" t="str">
        <f>IFERROR(VLOOKUP($P244,$C:$J,8,FALSE),"")</f>
        <v/>
      </c>
    </row>
    <row r="245" spans="1:20" x14ac:dyDescent="0.25">
      <c r="P245" s="26" t="str">
        <f>IF(_xlfn.MINIFS($C:$C,$B:$B,P243,$C:$C,"&gt;"&amp;MAX(P244:P244),$F:$F,"&lt;&gt;"&amp;"")&gt;0,_xlfn.MINIFS($C:$C,$B:$B,P243,$C:$C,"&gt;"&amp;MAX(P244:P244),$F:$F,"&lt;&gt;"&amp;""),"")</f>
        <v/>
      </c>
      <c r="Q245" s="27" t="str">
        <f>IFERROR(VLOOKUP($P245,$C:$J,6,FALSE),"")</f>
        <v/>
      </c>
      <c r="R245" s="27" t="str">
        <f>IFERROR(VLOOKUP($P245,$C:$J,4,FALSE),"")</f>
        <v/>
      </c>
      <c r="S245" s="28" t="str">
        <f>IFERROR(VLOOKUP($P245,$C:$J,8,FALSE),"")</f>
        <v/>
      </c>
    </row>
    <row r="246" spans="1:20" x14ac:dyDescent="0.25">
      <c r="P246" s="26" t="str">
        <f>IF(_xlfn.MINIFS($C:$C,$B:$B,P243,$C:$C,"&gt;"&amp;MAX(P244:P245),$F:$F,"&lt;&gt;"&amp;"")&gt;0,_xlfn.MINIFS($C:$C,$B:$B,P243,$C:$C,"&gt;"&amp;MAX(P244:P245),$F:$F,"&lt;&gt;"&amp;""),"")</f>
        <v/>
      </c>
      <c r="Q246" s="27" t="str">
        <f>IFERROR(VLOOKUP($P246,$C:$J,6,FALSE),"")</f>
        <v/>
      </c>
      <c r="R246" s="27" t="str">
        <f>IFERROR(VLOOKUP($P246,$C:$J,4,FALSE),"")</f>
        <v/>
      </c>
      <c r="S246" s="28" t="str">
        <f>IFERROR(VLOOKUP($P246,$C:$J,8,FALSE),"")</f>
        <v/>
      </c>
    </row>
    <row r="247" spans="1:20" x14ac:dyDescent="0.25">
      <c r="P247" s="26" t="str">
        <f>IF(_xlfn.MINIFS($C:$C,$B:$B,P243,$C:$C,"&gt;"&amp;MAX(P244:P246),$F:$F,"&lt;&gt;"&amp;"")&gt;0,_xlfn.MINIFS($C:$C,$B:$B,P243,$C:$C,"&gt;"&amp;MAX(P244:P246),$F:$F,"&lt;&gt;"&amp;""),"")</f>
        <v/>
      </c>
      <c r="Q247" s="27" t="str">
        <f>IFERROR(VLOOKUP($P247,$C:$J,6,FALSE),"")</f>
        <v/>
      </c>
      <c r="R247" s="27" t="str">
        <f>IFERROR(VLOOKUP($P247,$C:$J,4,FALSE),"")</f>
        <v/>
      </c>
      <c r="S247" s="28" t="str">
        <f>IFERROR(VLOOKUP($P247,$C:$J,8,FALSE),"")</f>
        <v/>
      </c>
    </row>
    <row r="248" spans="1:20" x14ac:dyDescent="0.25">
      <c r="P248" s="26" t="str">
        <f>IF(_xlfn.MINIFS($C:$C,$B:$B,P243,$C:$C,"&gt;"&amp;MAX(P244:P247),$F:$F,"&lt;&gt;"&amp;"")&gt;0,_xlfn.MINIFS($C:$C,$B:$B,P243,$C:$C,"&gt;"&amp;MAX(P244:P247),$F:$F,"&lt;&gt;"&amp;""),"")</f>
        <v/>
      </c>
      <c r="Q248" s="27" t="str">
        <f>IFERROR(VLOOKUP($P248,$C:$J,6,FALSE),"")</f>
        <v/>
      </c>
      <c r="R248" s="27" t="str">
        <f>IFERROR(VLOOKUP($P248,$C:$J,4,FALSE),"")</f>
        <v/>
      </c>
      <c r="S248" s="28" t="str">
        <f>IFERROR(VLOOKUP($P248,$C:$J,8,FALSE),"")</f>
        <v/>
      </c>
    </row>
    <row r="249" spans="1:20" x14ac:dyDescent="0.25">
      <c r="P249" s="26" t="str">
        <f>IF(_xlfn.MINIFS($C:$C,$B:$B,P243,$C:$C,"&gt;"&amp;MAX(P244:P248),$F:$F,"&lt;&gt;"&amp;"")&gt;0,_xlfn.MINIFS($C:$C,$B:$B,P243,$C:$C,"&gt;"&amp;MAX(P244:P248),$F:$F,"&lt;&gt;"&amp;""),"")</f>
        <v/>
      </c>
      <c r="Q249" s="27" t="str">
        <f>IFERROR(VLOOKUP($P249,$C:$J,6,FALSE),"")</f>
        <v/>
      </c>
      <c r="R249" s="27" t="str">
        <f>IFERROR(VLOOKUP($P249,$C:$J,4,FALSE),"")</f>
        <v/>
      </c>
      <c r="S249" s="28" t="str">
        <f>IFERROR(VLOOKUP($P249,$C:$J,8,FALSE),"")</f>
        <v/>
      </c>
    </row>
    <row r="250" spans="1:20" x14ac:dyDescent="0.25">
      <c r="P250" s="26" t="str">
        <f>IF(_xlfn.MINIFS($C:$C,$B:$B,P243,$C:$C,"&gt;"&amp;MAX(P244:P249),$F:$F,"&lt;&gt;"&amp;"")&gt;0,_xlfn.MINIFS($C:$C,$B:$B,P243,$C:$C,"&gt;"&amp;MAX(P244:P249),$F:$F,"&lt;&gt;"&amp;""),"")</f>
        <v/>
      </c>
      <c r="Q250" s="27" t="str">
        <f>IFERROR(VLOOKUP($P250,$C:$J,6,FALSE),"")</f>
        <v/>
      </c>
      <c r="R250" s="27" t="str">
        <f>IFERROR(VLOOKUP($P250,$C:$J,4,FALSE),"")</f>
        <v/>
      </c>
      <c r="S250" s="28" t="str">
        <f>IFERROR(VLOOKUP($P250,$C:$J,8,FALSE),"")</f>
        <v/>
      </c>
    </row>
    <row r="251" spans="1:20" x14ac:dyDescent="0.25">
      <c r="P251" s="26" t="str">
        <f>IF(_xlfn.MINIFS($C:$C,$B:$B,P243,$C:$C,"&gt;"&amp;MAX(P244:P250),$F:$F,"&lt;&gt;"&amp;"")&gt;0,_xlfn.MINIFS($C:$C,$B:$B,P243,$C:$C,"&gt;"&amp;MAX(P244:P250),$F:$F,"&lt;&gt;"&amp;""),"")</f>
        <v/>
      </c>
      <c r="Q251" s="27" t="str">
        <f>IFERROR(VLOOKUP($P251,$C:$J,6,FALSE),"")</f>
        <v/>
      </c>
      <c r="R251" s="27" t="str">
        <f>IFERROR(VLOOKUP($P251,$C:$J,4,FALSE),"")</f>
        <v/>
      </c>
      <c r="S251" s="28" t="str">
        <f>IFERROR(VLOOKUP($P251,$C:$J,8,FALSE),"")</f>
        <v/>
      </c>
    </row>
    <row r="252" spans="1:20" x14ac:dyDescent="0.25">
      <c r="P252" s="26" t="str">
        <f>IF(_xlfn.MINIFS($C:$C,$B:$B,P243,$C:$C,"&gt;"&amp;MAX(P244:P251),$F:$F,"&lt;&gt;"&amp;"")&gt;0,_xlfn.MINIFS($C:$C,$B:$B,P243,$C:$C,"&gt;"&amp;MAX(P244:P251),$F:$F,"&lt;&gt;"&amp;""),"")</f>
        <v/>
      </c>
      <c r="Q252" s="27" t="str">
        <f>IFERROR(VLOOKUP($P252,$C:$J,6,FALSE),"")</f>
        <v/>
      </c>
      <c r="R252" s="27" t="str">
        <f>IFERROR(VLOOKUP($P252,$C:$J,4,FALSE),"")</f>
        <v/>
      </c>
      <c r="S252" s="28" t="str">
        <f>IFERROR(VLOOKUP($P252,$C:$J,8,FALSE),"")</f>
        <v/>
      </c>
    </row>
    <row r="253" spans="1:20" x14ac:dyDescent="0.25">
      <c r="P253" s="26" t="str">
        <f>IF(_xlfn.MINIFS($C:$C,$B:$B,P243,$C:$C,"&gt;"&amp;MAX(P244:P252),$F:$F,"&lt;&gt;"&amp;"")&gt;0,_xlfn.MINIFS($C:$C,$B:$B,P243,$C:$C,"&gt;"&amp;MAX(P244:P252),$F:$F,"&lt;&gt;"&amp;""),"")</f>
        <v/>
      </c>
      <c r="Q253" s="27" t="str">
        <f>IFERROR(VLOOKUP($P253,$C:$J,6,FALSE),"")</f>
        <v/>
      </c>
      <c r="R253" s="27" t="str">
        <f>IFERROR(VLOOKUP($P253,$C:$J,4,FALSE),"")</f>
        <v/>
      </c>
      <c r="S253" s="28" t="str">
        <f>IFERROR(VLOOKUP($P253,$C:$J,8,FALSE),"")</f>
        <v/>
      </c>
    </row>
    <row r="254" spans="1:20" x14ac:dyDescent="0.25">
      <c r="P254" s="26" t="str">
        <f>IF(_xlfn.MINIFS($C:$C,$B:$B,P243,$C:$C,"&gt;"&amp;MAX(P244:P253),$F:$F,"&lt;&gt;"&amp;"")&gt;0,_xlfn.MINIFS($C:$C,$B:$B,P243,$C:$C,"&gt;"&amp;MAX(P244:P253),$F:$F,"&lt;&gt;"&amp;""),"")</f>
        <v/>
      </c>
      <c r="Q254" s="27" t="str">
        <f>IFERROR(VLOOKUP($P254,$C:$J,6,FALSE),"")</f>
        <v/>
      </c>
      <c r="R254" s="27" t="str">
        <f>IFERROR(VLOOKUP($P254,$C:$J,4,FALSE),"")</f>
        <v/>
      </c>
      <c r="S254" s="28" t="str">
        <f>IFERROR(VLOOKUP($P254,$C:$J,8,FALSE),"")</f>
        <v/>
      </c>
      <c r="T254" s="35"/>
    </row>
    <row r="255" spans="1:20" x14ac:dyDescent="0.25">
      <c r="P255" s="29" t="str">
        <f>IF(_xlfn.MINIFS($C:$C,$B:$B,P243,$C:$C,"&gt;"&amp;MAX(P244:P254),$F:$F,"&lt;&gt;"&amp;"")&gt;0,_xlfn.MINIFS($C:$C,$B:$B,P243,$C:$C,"&gt;"&amp;MAX(P244:P254),$F:$F,"&lt;&gt;"&amp;""),"")</f>
        <v/>
      </c>
      <c r="Q255" s="30" t="str">
        <f>IFERROR(VLOOKUP($P255,$C:$J,6,FALSE),"")</f>
        <v/>
      </c>
      <c r="R255" s="30" t="str">
        <f>IFERROR(VLOOKUP($P255,$C:$J,4,FALSE),"")</f>
        <v/>
      </c>
      <c r="S255" s="31" t="str">
        <f>IFERROR(VLOOKUP($P255,$C:$J,8,FALSE),"")</f>
        <v/>
      </c>
      <c r="T255" s="35"/>
    </row>
    <row r="256" spans="1:20" x14ac:dyDescent="0.25">
      <c r="P256" s="32" t="str">
        <f>"TOTAL "&amp;$P243</f>
        <v>TOTAL 0</v>
      </c>
      <c r="Q256" s="33">
        <f>SUM(Q244:Q255)</f>
        <v>0</v>
      </c>
      <c r="R256" s="33">
        <f>SUM(R244:R255)</f>
        <v>0</v>
      </c>
      <c r="S256" s="34" t="str">
        <f>IFERROR(R256/Q256,"")</f>
        <v/>
      </c>
    </row>
    <row r="258" spans="16:20" x14ac:dyDescent="0.25">
      <c r="P258" s="21">
        <f>_xlfn.MINIFS($B:$B,$B:$B,"&gt;"&amp;MAX($P$3,$P$18,$P$33,P$48,P$63,P$78,P$93,P$108,P$123,P$138,P$153,P$168,P$183,P$198,P$213,P$228,P$243))</f>
        <v>0</v>
      </c>
      <c r="Q258" s="22" t="s">
        <v>13</v>
      </c>
      <c r="R258" s="22" t="s">
        <v>14</v>
      </c>
      <c r="S258" s="22" t="s">
        <v>15</v>
      </c>
    </row>
    <row r="259" spans="16:20" x14ac:dyDescent="0.25">
      <c r="P259" s="23">
        <f>_xlfn.MINIFS(C:C,B:B,P258,F:F,"&gt;"&amp;0)</f>
        <v>0</v>
      </c>
      <c r="Q259" s="24" t="str">
        <f>IFERROR(VLOOKUP($P259,$C:$J,6,FALSE),"")</f>
        <v/>
      </c>
      <c r="R259" s="24" t="str">
        <f>IFERROR(VLOOKUP($P259,$C:$J,4,FALSE),"")</f>
        <v/>
      </c>
      <c r="S259" s="25" t="str">
        <f>IFERROR(VLOOKUP($P259,$C:$J,8,FALSE),"")</f>
        <v/>
      </c>
    </row>
    <row r="260" spans="16:20" x14ac:dyDescent="0.25">
      <c r="P260" s="26" t="str">
        <f>IF(_xlfn.MINIFS($C:$C,$B:$B,P258,$C:$C,"&gt;"&amp;MAX(P259:P259),$F:$F,"&lt;&gt;"&amp;"")&gt;0,_xlfn.MINIFS($C:$C,$B:$B,P258,$C:$C,"&gt;"&amp;MAX(P259:P259),$F:$F,"&lt;&gt;"&amp;""),"")</f>
        <v/>
      </c>
      <c r="Q260" s="27" t="str">
        <f>IFERROR(VLOOKUP($P260,$C:$J,6,FALSE),"")</f>
        <v/>
      </c>
      <c r="R260" s="27" t="str">
        <f>IFERROR(VLOOKUP($P260,$C:$J,4,FALSE),"")</f>
        <v/>
      </c>
      <c r="S260" s="28" t="str">
        <f>IFERROR(VLOOKUP($P260,$C:$J,8,FALSE),"")</f>
        <v/>
      </c>
    </row>
    <row r="261" spans="16:20" x14ac:dyDescent="0.25">
      <c r="P261" s="26" t="str">
        <f>IF(_xlfn.MINIFS($C:$C,$B:$B,P258,$C:$C,"&gt;"&amp;MAX(P259:P260),$F:$F,"&lt;&gt;"&amp;"")&gt;0,_xlfn.MINIFS($C:$C,$B:$B,P258,$C:$C,"&gt;"&amp;MAX(P259:P260),$F:$F,"&lt;&gt;"&amp;""),"")</f>
        <v/>
      </c>
      <c r="Q261" s="27" t="str">
        <f>IFERROR(VLOOKUP($P261,$C:$J,6,FALSE),"")</f>
        <v/>
      </c>
      <c r="R261" s="27" t="str">
        <f>IFERROR(VLOOKUP($P261,$C:$J,4,FALSE),"")</f>
        <v/>
      </c>
      <c r="S261" s="28" t="str">
        <f>IFERROR(VLOOKUP($P261,$C:$J,8,FALSE),"")</f>
        <v/>
      </c>
    </row>
    <row r="262" spans="16:20" x14ac:dyDescent="0.25">
      <c r="P262" s="26" t="str">
        <f>IF(_xlfn.MINIFS($C:$C,$B:$B,P258,$C:$C,"&gt;"&amp;MAX(P259:P261),$F:$F,"&lt;&gt;"&amp;"")&gt;0,_xlfn.MINIFS($C:$C,$B:$B,P258,$C:$C,"&gt;"&amp;MAX(P259:P261),$F:$F,"&lt;&gt;"&amp;""),"")</f>
        <v/>
      </c>
      <c r="Q262" s="27" t="str">
        <f>IFERROR(VLOOKUP($P262,$C:$J,6,FALSE),"")</f>
        <v/>
      </c>
      <c r="R262" s="27" t="str">
        <f>IFERROR(VLOOKUP($P262,$C:$J,4,FALSE),"")</f>
        <v/>
      </c>
      <c r="S262" s="28" t="str">
        <f>IFERROR(VLOOKUP($P262,$C:$J,8,FALSE),"")</f>
        <v/>
      </c>
    </row>
    <row r="263" spans="16:20" x14ac:dyDescent="0.25">
      <c r="P263" s="26" t="str">
        <f>IF(_xlfn.MINIFS($C:$C,$B:$B,P258,$C:$C,"&gt;"&amp;MAX(P259:P262),$F:$F,"&lt;&gt;"&amp;"")&gt;0,_xlfn.MINIFS($C:$C,$B:$B,P258,$C:$C,"&gt;"&amp;MAX(P259:P262),$F:$F,"&lt;&gt;"&amp;""),"")</f>
        <v/>
      </c>
      <c r="Q263" s="27" t="str">
        <f>IFERROR(VLOOKUP($P263,$C:$J,6,FALSE),"")</f>
        <v/>
      </c>
      <c r="R263" s="27" t="str">
        <f>IFERROR(VLOOKUP($P263,$C:$J,4,FALSE),"")</f>
        <v/>
      </c>
      <c r="S263" s="28" t="str">
        <f>IFERROR(VLOOKUP($P263,$C:$J,8,FALSE),"")</f>
        <v/>
      </c>
    </row>
    <row r="264" spans="16:20" x14ac:dyDescent="0.25">
      <c r="P264" s="26" t="str">
        <f>IF(_xlfn.MINIFS($C:$C,$B:$B,P258,$C:$C,"&gt;"&amp;MAX(P259:P263),$F:$F,"&lt;&gt;"&amp;"")&gt;0,_xlfn.MINIFS($C:$C,$B:$B,P258,$C:$C,"&gt;"&amp;MAX(P259:P263),$F:$F,"&lt;&gt;"&amp;""),"")</f>
        <v/>
      </c>
      <c r="Q264" s="27" t="str">
        <f>IFERROR(VLOOKUP($P264,$C:$J,6,FALSE),"")</f>
        <v/>
      </c>
      <c r="R264" s="27" t="str">
        <f>IFERROR(VLOOKUP($P264,$C:$J,4,FALSE),"")</f>
        <v/>
      </c>
      <c r="S264" s="28" t="str">
        <f>IFERROR(VLOOKUP($P264,$C:$J,8,FALSE),"")</f>
        <v/>
      </c>
    </row>
    <row r="265" spans="16:20" x14ac:dyDescent="0.25">
      <c r="P265" s="26" t="str">
        <f>IF(_xlfn.MINIFS($C:$C,$B:$B,P258,$C:$C,"&gt;"&amp;MAX(P259:P264),$F:$F,"&lt;&gt;"&amp;"")&gt;0,_xlfn.MINIFS($C:$C,$B:$B,P258,$C:$C,"&gt;"&amp;MAX(P259:P264),$F:$F,"&lt;&gt;"&amp;""),"")</f>
        <v/>
      </c>
      <c r="Q265" s="27" t="str">
        <f>IFERROR(VLOOKUP($P265,$C:$J,6,FALSE),"")</f>
        <v/>
      </c>
      <c r="R265" s="27" t="str">
        <f>IFERROR(VLOOKUP($P265,$C:$J,4,FALSE),"")</f>
        <v/>
      </c>
      <c r="S265" s="28" t="str">
        <f>IFERROR(VLOOKUP($P265,$C:$J,8,FALSE),"")</f>
        <v/>
      </c>
    </row>
    <row r="266" spans="16:20" x14ac:dyDescent="0.25">
      <c r="P266" s="26" t="str">
        <f>IF(_xlfn.MINIFS($C:$C,$B:$B,P258,$C:$C,"&gt;"&amp;MAX(P259:P265),$F:$F,"&lt;&gt;"&amp;"")&gt;0,_xlfn.MINIFS($C:$C,$B:$B,P258,$C:$C,"&gt;"&amp;MAX(P259:P265),$F:$F,"&lt;&gt;"&amp;""),"")</f>
        <v/>
      </c>
      <c r="Q266" s="27" t="str">
        <f>IFERROR(VLOOKUP($P266,$C:$J,6,FALSE),"")</f>
        <v/>
      </c>
      <c r="R266" s="27" t="str">
        <f>IFERROR(VLOOKUP($P266,$C:$J,4,FALSE),"")</f>
        <v/>
      </c>
      <c r="S266" s="28" t="str">
        <f>IFERROR(VLOOKUP($P266,$C:$J,8,FALSE),"")</f>
        <v/>
      </c>
    </row>
    <row r="267" spans="16:20" x14ac:dyDescent="0.25">
      <c r="P267" s="26" t="str">
        <f>IF(_xlfn.MINIFS($C:$C,$B:$B,P258,$C:$C,"&gt;"&amp;MAX(P259:P266),$F:$F,"&lt;&gt;"&amp;"")&gt;0,_xlfn.MINIFS($C:$C,$B:$B,P258,$C:$C,"&gt;"&amp;MAX(P259:P266),$F:$F,"&lt;&gt;"&amp;""),"")</f>
        <v/>
      </c>
      <c r="Q267" s="27" t="str">
        <f>IFERROR(VLOOKUP($P267,$C:$J,6,FALSE),"")</f>
        <v/>
      </c>
      <c r="R267" s="27" t="str">
        <f>IFERROR(VLOOKUP($P267,$C:$J,4,FALSE),"")</f>
        <v/>
      </c>
      <c r="S267" s="28" t="str">
        <f>IFERROR(VLOOKUP($P267,$C:$J,8,FALSE),"")</f>
        <v/>
      </c>
    </row>
    <row r="268" spans="16:20" x14ac:dyDescent="0.25">
      <c r="P268" s="26" t="str">
        <f>IF(_xlfn.MINIFS($C:$C,$B:$B,P258,$C:$C,"&gt;"&amp;MAX(P259:P267),$F:$F,"&lt;&gt;"&amp;"")&gt;0,_xlfn.MINIFS($C:$C,$B:$B,P258,$C:$C,"&gt;"&amp;MAX(P259:P267),$F:$F,"&lt;&gt;"&amp;""),"")</f>
        <v/>
      </c>
      <c r="Q268" s="27" t="str">
        <f>IFERROR(VLOOKUP($P268,$C:$J,6,FALSE),"")</f>
        <v/>
      </c>
      <c r="R268" s="27" t="str">
        <f>IFERROR(VLOOKUP($P268,$C:$J,4,FALSE),"")</f>
        <v/>
      </c>
      <c r="S268" s="28" t="str">
        <f>IFERROR(VLOOKUP($P268,$C:$J,8,FALSE),"")</f>
        <v/>
      </c>
    </row>
    <row r="269" spans="16:20" x14ac:dyDescent="0.25">
      <c r="P269" s="26" t="str">
        <f>IF(_xlfn.MINIFS($C:$C,$B:$B,P258,$C:$C,"&gt;"&amp;MAX(P259:P268),$F:$F,"&lt;&gt;"&amp;"")&gt;0,_xlfn.MINIFS($C:$C,$B:$B,P258,$C:$C,"&gt;"&amp;MAX(P259:P268),$F:$F,"&lt;&gt;"&amp;""),"")</f>
        <v/>
      </c>
      <c r="Q269" s="27" t="str">
        <f>IFERROR(VLOOKUP($P269,$C:$J,6,FALSE),"")</f>
        <v/>
      </c>
      <c r="R269" s="27" t="str">
        <f>IFERROR(VLOOKUP($P269,$C:$J,4,FALSE),"")</f>
        <v/>
      </c>
      <c r="S269" s="28" t="str">
        <f>IFERROR(VLOOKUP($P269,$C:$J,8,FALSE),"")</f>
        <v/>
      </c>
      <c r="T269" s="35"/>
    </row>
    <row r="270" spans="16:20" x14ac:dyDescent="0.25">
      <c r="P270" s="29" t="str">
        <f>IF(_xlfn.MINIFS($C:$C,$B:$B,P258,$C:$C,"&gt;"&amp;MAX(P259:P269),$F:$F,"&lt;&gt;"&amp;"")&gt;0,_xlfn.MINIFS($C:$C,$B:$B,P258,$C:$C,"&gt;"&amp;MAX(P259:P269),$F:$F,"&lt;&gt;"&amp;""),"")</f>
        <v/>
      </c>
      <c r="Q270" s="30" t="str">
        <f>IFERROR(VLOOKUP($P270,$C:$J,6,FALSE),"")</f>
        <v/>
      </c>
      <c r="R270" s="30" t="str">
        <f>IFERROR(VLOOKUP($P270,$C:$J,4,FALSE),"")</f>
        <v/>
      </c>
      <c r="S270" s="31" t="str">
        <f>IFERROR(VLOOKUP($P270,$C:$J,8,FALSE),"")</f>
        <v/>
      </c>
      <c r="T270" s="35"/>
    </row>
    <row r="271" spans="16:20" x14ac:dyDescent="0.25">
      <c r="P271" s="32" t="str">
        <f>"TOTAL "&amp;$P258</f>
        <v>TOTAL 0</v>
      </c>
      <c r="Q271" s="33">
        <f>SUM(Q259:Q270)</f>
        <v>0</v>
      </c>
      <c r="R271" s="33">
        <f>SUM(R259:R270)</f>
        <v>0</v>
      </c>
      <c r="S271" s="34" t="str">
        <f>IFERROR(R271/Q271,"")</f>
        <v/>
      </c>
    </row>
  </sheetData>
  <conditionalFormatting sqref="J3:J2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:K242 C3:G242">
    <cfRule type="cellIs" dxfId="19" priority="1" operator="equal">
      <formula>""</formula>
    </cfRule>
  </conditionalFormatting>
  <dataValidations count="1">
    <dataValidation type="decimal" allowBlank="1" showInputMessage="1" showErrorMessage="1" sqref="D3:E242" xr:uid="{D147147E-1CC6-41FE-885C-801F31F1F9CB}">
      <formula1>0</formula1>
      <formula2>1</formula2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BERTHON</dc:creator>
  <cp:lastModifiedBy>trea</cp:lastModifiedBy>
  <dcterms:created xsi:type="dcterms:W3CDTF">2018-11-05T08:46:51Z</dcterms:created>
  <dcterms:modified xsi:type="dcterms:W3CDTF">2018-11-05T09:22:18Z</dcterms:modified>
</cp:coreProperties>
</file>