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ea\Desktop\"/>
    </mc:Choice>
  </mc:AlternateContent>
  <xr:revisionPtr revIDLastSave="0" documentId="13_ncr:1_{D45EC5AA-B3E3-4D94-BE11-D9E4958EF54F}" xr6:coauthVersionLast="36" xr6:coauthVersionMax="36" xr10:uidLastSave="{00000000-0000-0000-0000-000000000000}"/>
  <bookViews>
    <workbookView xWindow="945" yWindow="0" windowWidth="27855" windowHeight="12810" activeTab="3" xr2:uid="{74A8C2F8-A34E-4AA5-BE8D-92F20677D947}"/>
  </bookViews>
  <sheets>
    <sheet name="Clients" sheetId="1" r:id="rId1"/>
    <sheet name="Saisie" sheetId="2" r:id="rId2"/>
    <sheet name="Impression" sheetId="3" r:id="rId3"/>
    <sheet name="Vue de synthèse" sheetId="4" r:id="rId4"/>
  </sheets>
  <definedNames>
    <definedName name="N°_Facture">Impression!$B$9</definedName>
  </definedNames>
  <calcPr calcId="191029"/>
  <pivotCaches>
    <pivotCache cacheId="18" r:id="rId5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Q2" i="2" l="1"/>
  <c r="Q3" i="2"/>
  <c r="Q4" i="2"/>
  <c r="Q5" i="2"/>
  <c r="Q6" i="2"/>
  <c r="Q7" i="2"/>
  <c r="P2" i="2"/>
  <c r="P3" i="2"/>
  <c r="P4" i="2"/>
  <c r="P5" i="2"/>
  <c r="P6" i="2"/>
  <c r="P7" i="2"/>
  <c r="F31" i="3"/>
  <c r="B11" i="3" l="1"/>
  <c r="B10" i="3"/>
  <c r="G14" i="3"/>
  <c r="G15" i="3"/>
  <c r="G16" i="3"/>
  <c r="G17" i="3"/>
  <c r="G18" i="3"/>
  <c r="G19" i="3"/>
  <c r="G20" i="3"/>
  <c r="G21" i="3"/>
  <c r="G22" i="3"/>
  <c r="G23" i="3"/>
  <c r="G24" i="3"/>
  <c r="G25" i="3"/>
  <c r="G26" i="3"/>
  <c r="G27" i="3"/>
  <c r="C27" i="3" s="1"/>
  <c r="G28" i="3"/>
  <c r="C2" i="2"/>
  <c r="C3" i="2"/>
  <c r="C4" i="2"/>
  <c r="C5" i="2"/>
  <c r="C6" i="2"/>
  <c r="C7" i="2"/>
  <c r="O2" i="2"/>
  <c r="O3" i="2"/>
  <c r="O4" i="2"/>
  <c r="O5" i="2"/>
  <c r="O6" i="2"/>
  <c r="O7" i="2"/>
  <c r="N2" i="2"/>
  <c r="N3" i="2"/>
  <c r="N4" i="2"/>
  <c r="E6" i="3" s="1"/>
  <c r="N5" i="2"/>
  <c r="N6" i="2"/>
  <c r="N7" i="2"/>
  <c r="M2" i="2"/>
  <c r="M3" i="2"/>
  <c r="M4" i="2"/>
  <c r="M5" i="2"/>
  <c r="M6" i="2"/>
  <c r="M7" i="2"/>
  <c r="L2" i="2"/>
  <c r="L3" i="2"/>
  <c r="L4" i="2"/>
  <c r="E4" i="3" s="1"/>
  <c r="L5" i="2"/>
  <c r="L6" i="2"/>
  <c r="L7" i="2"/>
  <c r="E5" i="3" l="1"/>
  <c r="F6" i="3"/>
  <c r="B28" i="3"/>
  <c r="B20" i="3"/>
  <c r="B26" i="3"/>
  <c r="B18" i="3"/>
  <c r="C25" i="3"/>
  <c r="C17" i="3"/>
  <c r="D24" i="3"/>
  <c r="F24" i="3" s="1"/>
  <c r="D16" i="3"/>
  <c r="E23" i="3"/>
  <c r="E15" i="3"/>
  <c r="E22" i="3"/>
  <c r="E14" i="3"/>
  <c r="B21" i="3"/>
  <c r="C19" i="3"/>
  <c r="C16" i="3"/>
  <c r="C15" i="3"/>
  <c r="C14" i="3"/>
  <c r="D21" i="3"/>
  <c r="F21" i="3" s="1"/>
  <c r="B23" i="3"/>
  <c r="E21" i="3"/>
  <c r="B19" i="3"/>
  <c r="B16" i="3"/>
  <c r="D23" i="3"/>
  <c r="F23" i="3" s="1"/>
  <c r="B17" i="3"/>
  <c r="B15" i="3"/>
  <c r="D22" i="3"/>
  <c r="F22" i="3" s="1"/>
  <c r="C24" i="3"/>
  <c r="B27" i="3"/>
  <c r="C23" i="3"/>
  <c r="D15" i="3"/>
  <c r="B24" i="3"/>
  <c r="C22" i="3"/>
  <c r="D14" i="3"/>
  <c r="B25" i="3"/>
  <c r="E20" i="3"/>
  <c r="B22" i="3"/>
  <c r="B14" i="3"/>
  <c r="C21" i="3"/>
  <c r="D28" i="3"/>
  <c r="F28" i="3" s="1"/>
  <c r="D20" i="3"/>
  <c r="F20" i="3" s="1"/>
  <c r="E27" i="3"/>
  <c r="E19" i="3"/>
  <c r="C28" i="3"/>
  <c r="C20" i="3"/>
  <c r="D27" i="3"/>
  <c r="F27" i="3" s="1"/>
  <c r="D19" i="3"/>
  <c r="F19" i="3" s="1"/>
  <c r="E26" i="3"/>
  <c r="E18" i="3"/>
  <c r="E28" i="3"/>
  <c r="D26" i="3"/>
  <c r="F26" i="3" s="1"/>
  <c r="D18" i="3"/>
  <c r="F18" i="3" s="1"/>
  <c r="E25" i="3"/>
  <c r="E17" i="3"/>
  <c r="C26" i="3"/>
  <c r="C18" i="3"/>
  <c r="D25" i="3"/>
  <c r="F25" i="3" s="1"/>
  <c r="D17" i="3"/>
  <c r="F17" i="3" s="1"/>
  <c r="E24" i="3"/>
  <c r="E16" i="3"/>
  <c r="F14" i="3" l="1"/>
  <c r="F16" i="3"/>
  <c r="F15" i="3"/>
  <c r="F30" i="3" l="1"/>
  <c r="F32" i="3" s="1"/>
  <c r="F33" i="3" s="1"/>
</calcChain>
</file>

<file path=xl/sharedStrings.xml><?xml version="1.0" encoding="utf-8"?>
<sst xmlns="http://schemas.openxmlformats.org/spreadsheetml/2006/main" count="92" uniqueCount="69">
  <si>
    <t>ID_client</t>
  </si>
  <si>
    <t>Nom</t>
  </si>
  <si>
    <t>Ville</t>
  </si>
  <si>
    <t>CP</t>
  </si>
  <si>
    <t>Pays</t>
  </si>
  <si>
    <t>Adresse2</t>
  </si>
  <si>
    <t>Adresse1</t>
  </si>
  <si>
    <t>TOT</t>
  </si>
  <si>
    <t>TOTO22</t>
  </si>
  <si>
    <t>5 rue Villa</t>
  </si>
  <si>
    <t>PARIS</t>
  </si>
  <si>
    <t>ULT</t>
  </si>
  <si>
    <t>ULTRABLANC</t>
  </si>
  <si>
    <t>547 ZI du Parc</t>
  </si>
  <si>
    <t>LYON</t>
  </si>
  <si>
    <t>N° facture</t>
  </si>
  <si>
    <t>ID_Client</t>
  </si>
  <si>
    <t>Date</t>
  </si>
  <si>
    <t>Code_article</t>
  </si>
  <si>
    <t>Désignation</t>
  </si>
  <si>
    <t>Quantité</t>
  </si>
  <si>
    <t>PU</t>
  </si>
  <si>
    <t>Échéance</t>
  </si>
  <si>
    <t>ytu</t>
  </si>
  <si>
    <t>kj:kjbg:kjb:kjb</t>
  </si>
  <si>
    <t>iuygty</t>
  </si>
  <si>
    <t>iujhiuh</t>
  </si>
  <si>
    <t>MA SOCIETE</t>
  </si>
  <si>
    <t>Rue machin</t>
  </si>
  <si>
    <t>58745 VILLETRUC</t>
  </si>
  <si>
    <t>Facture n°</t>
  </si>
  <si>
    <t>NomClient</t>
  </si>
  <si>
    <t>Code</t>
  </si>
  <si>
    <t>Total</t>
  </si>
  <si>
    <t>Saisir un n° de facture en celllule jaune.</t>
  </si>
  <si>
    <t>Les cellules grises sont automatiques</t>
  </si>
  <si>
    <t>N°_Ligne</t>
  </si>
  <si>
    <t>N°Fac-N°Lign</t>
  </si>
  <si>
    <t>N° ligne</t>
  </si>
  <si>
    <t>N°Fac_N°Lign</t>
  </si>
  <si>
    <t>TVA taux</t>
  </si>
  <si>
    <t>TVA montant</t>
  </si>
  <si>
    <t>Total TTC</t>
  </si>
  <si>
    <t>Total H.T.</t>
  </si>
  <si>
    <t>Veiller à l'unicité de ID</t>
  </si>
  <si>
    <t>Cellules grises automatiques</t>
  </si>
  <si>
    <t>Saisir ici les lignes des factures</t>
  </si>
  <si>
    <t>Ne pas toucher aux n° de lignes en colonne A.</t>
  </si>
  <si>
    <t>tél 01 22 22 22 22</t>
  </si>
  <si>
    <t>info@masociete.fr</t>
  </si>
  <si>
    <t>www.masociete.fr</t>
  </si>
  <si>
    <t>Les cellules bleues sont autmatiques et ne devront pas être visibles à l'impression (par exemple les mettre en caractères blancs sur fond blanc)</t>
  </si>
  <si>
    <t>bien remplir la 1ère colonne (la facture 114 este constituée de 3 lignes)</t>
  </si>
  <si>
    <r>
      <t xml:space="preserve">bien remplir la colonne </t>
    </r>
    <r>
      <rPr>
        <b/>
        <i/>
        <sz val="12"/>
        <color theme="1"/>
        <rFont val="Calibri"/>
        <family val="2"/>
        <scheme val="minor"/>
      </rPr>
      <t xml:space="preserve">Identifiant Client </t>
    </r>
    <r>
      <rPr>
        <b/>
        <sz val="12"/>
        <color theme="1"/>
        <rFont val="Calibri"/>
        <family val="2"/>
        <scheme val="minor"/>
      </rPr>
      <t xml:space="preserve">aussi </t>
    </r>
  </si>
  <si>
    <t>TVA</t>
  </si>
  <si>
    <t>Total général</t>
  </si>
  <si>
    <t>Montant HT</t>
  </si>
  <si>
    <t>Montant TTC</t>
  </si>
  <si>
    <t>Somme de Montant HT</t>
  </si>
  <si>
    <t>Somme de Montant TTC</t>
  </si>
  <si>
    <t>Total TOTO22</t>
  </si>
  <si>
    <t>Total ULTRABLANC</t>
  </si>
  <si>
    <t>Total 114</t>
  </si>
  <si>
    <t>Total 111</t>
  </si>
  <si>
    <t>Total 143</t>
  </si>
  <si>
    <t>Mois</t>
  </si>
  <si>
    <t>avr</t>
  </si>
  <si>
    <t>mars</t>
  </si>
  <si>
    <t>mai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</si>
</sst>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\ _€_-;\-* #,##0.00\ _€_-;_-* &quot;-&quot;??\ _€_-;_-@_-"/>
    <numFmt numFmtId="164" formatCode="#,##0.00\ &quot;€&quot;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0" tint="-0.499984740745262"/>
      <name val="Calibri"/>
      <family val="2"/>
      <scheme val="minor"/>
    </font>
    <font>
      <b/>
      <i/>
      <sz val="12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59999389629810485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14" fontId="0" fillId="0" borderId="0" xfId="0" applyNumberFormat="1"/>
    <xf numFmtId="0" fontId="0" fillId="2" borderId="0" xfId="0" applyFill="1"/>
    <xf numFmtId="14" fontId="0" fillId="3" borderId="0" xfId="0" applyNumberFormat="1" applyFill="1"/>
    <xf numFmtId="14" fontId="0" fillId="4" borderId="0" xfId="0" applyNumberFormat="1" applyFill="1"/>
    <xf numFmtId="0" fontId="0" fillId="3" borderId="0" xfId="0" applyFill="1"/>
    <xf numFmtId="0" fontId="0" fillId="5" borderId="0" xfId="0" applyFill="1"/>
    <xf numFmtId="43" fontId="0" fillId="3" borderId="0" xfId="1" applyFont="1" applyFill="1"/>
    <xf numFmtId="43" fontId="0" fillId="3" borderId="0" xfId="1" applyNumberFormat="1" applyFont="1" applyFill="1"/>
    <xf numFmtId="0" fontId="2" fillId="5" borderId="0" xfId="0" applyFont="1" applyFill="1"/>
    <xf numFmtId="0" fontId="0" fillId="0" borderId="0" xfId="0" applyAlignment="1">
      <alignment horizontal="center"/>
    </xf>
    <xf numFmtId="43" fontId="0" fillId="0" borderId="0" xfId="1" applyFont="1"/>
    <xf numFmtId="0" fontId="3" fillId="0" borderId="0" xfId="2"/>
    <xf numFmtId="0" fontId="4" fillId="6" borderId="0" xfId="0" applyFont="1" applyFill="1"/>
    <xf numFmtId="9" fontId="0" fillId="0" borderId="0" xfId="1" applyNumberFormat="1" applyFont="1"/>
    <xf numFmtId="9" fontId="0" fillId="3" borderId="0" xfId="0" applyNumberFormat="1" applyFill="1"/>
    <xf numFmtId="0" fontId="0" fillId="0" borderId="0" xfId="0" pivotButton="1"/>
    <xf numFmtId="0" fontId="0" fillId="3" borderId="0" xfId="0" applyNumberFormat="1" applyFill="1"/>
    <xf numFmtId="164" fontId="0" fillId="0" borderId="0" xfId="0" applyNumberFormat="1"/>
  </cellXfs>
  <cellStyles count="3">
    <cellStyle name="Lien hypertexte" xfId="2" builtinId="8"/>
    <cellStyle name="Milliers" xfId="1" builtinId="3"/>
    <cellStyle name="Normal" xfId="0" builtinId="0"/>
  </cellStyles>
  <dxfs count="21">
    <dxf>
      <numFmt numFmtId="0" formatCode="General"/>
      <fill>
        <patternFill patternType="solid">
          <fgColor indexed="64"/>
          <bgColor theme="0" tint="-0.249977111117893"/>
        </patternFill>
      </fill>
    </dxf>
    <dxf>
      <numFmt numFmtId="0" formatCode="General"/>
      <fill>
        <patternFill patternType="solid">
          <fgColor indexed="64"/>
          <bgColor theme="0" tint="-0.249977111117893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1"/>
        <color theme="0" tint="-0.499984740745262"/>
        <name val="Calibri"/>
        <family val="2"/>
        <scheme val="minor"/>
      </font>
      <numFmt numFmtId="0" formatCode="General"/>
      <fill>
        <patternFill patternType="solid">
          <fgColor indexed="64"/>
          <bgColor theme="4" tint="0.59999389629810485"/>
        </patternFill>
      </fill>
    </dxf>
    <dxf>
      <fill>
        <patternFill patternType="solid">
          <fgColor indexed="64"/>
          <bgColor theme="0" tint="-0.249977111117893"/>
        </patternFill>
      </fill>
    </dxf>
    <dxf>
      <fill>
        <patternFill patternType="solid">
          <fgColor indexed="64"/>
          <bgColor theme="0" tint="-0.249977111117893"/>
        </patternFill>
      </fill>
    </dxf>
    <dxf>
      <fill>
        <patternFill patternType="solid">
          <fgColor indexed="64"/>
          <bgColor theme="0" tint="-0.249977111117893"/>
        </patternFill>
      </fill>
    </dxf>
    <dxf>
      <numFmt numFmtId="0" formatCode="General"/>
      <fill>
        <patternFill patternType="solid">
          <fgColor indexed="64"/>
          <bgColor theme="0" tint="-0.249977111117893"/>
        </patternFill>
      </fill>
    </dxf>
    <dxf>
      <numFmt numFmtId="0" formatCode="General"/>
      <fill>
        <patternFill patternType="solid">
          <fgColor indexed="64"/>
          <bgColor theme="0" tint="-0.249977111117893"/>
        </patternFill>
      </fill>
    </dxf>
    <dxf>
      <fill>
        <patternFill patternType="solid">
          <fgColor indexed="64"/>
          <bgColor theme="0" tint="-0.249977111117893"/>
        </patternFill>
      </fill>
    </dxf>
    <dxf>
      <numFmt numFmtId="0" formatCode="General"/>
      <fill>
        <patternFill patternType="solid">
          <fgColor indexed="64"/>
          <bgColor theme="0" tint="-0.249977111117893"/>
        </patternFill>
      </fill>
    </dxf>
    <dxf>
      <numFmt numFmtId="0" formatCode="General"/>
      <fill>
        <patternFill patternType="solid">
          <fgColor indexed="64"/>
          <bgColor theme="0" tint="-0.249977111117893"/>
        </patternFill>
      </fill>
    </dxf>
    <dxf>
      <numFmt numFmtId="0" formatCode="General"/>
      <fill>
        <patternFill patternType="solid">
          <fgColor indexed="64"/>
          <bgColor theme="0" tint="-0.249977111117893"/>
        </patternFill>
      </fill>
    </dxf>
    <dxf>
      <numFmt numFmtId="0" formatCode="General"/>
      <fill>
        <patternFill patternType="solid">
          <fgColor indexed="64"/>
          <bgColor theme="0" tint="-0.249977111117893"/>
        </patternFill>
      </fill>
    </dxf>
    <dxf>
      <numFmt numFmtId="19" formatCode="dd/mm/yyyy"/>
    </dxf>
    <dxf>
      <numFmt numFmtId="19" formatCode="dd/mm/yyyy"/>
    </dxf>
    <dxf>
      <alignment horizontal="center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0" tint="-0.249977111117893"/>
        </patternFill>
      </fill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trea" refreshedDate="43563.434936574071" createdVersion="6" refreshedVersion="6" minRefreshableVersion="3" recordCount="6" xr:uid="{6B0E2455-27D1-4A21-9B94-6B79D04496E3}">
  <cacheSource type="worksheet">
    <worksheetSource name="Tableau3"/>
  </cacheSource>
  <cacheFields count="18">
    <cacheField name="N° facture" numFmtId="0">
      <sharedItems containsSemiMixedTypes="0" containsString="0" containsNumber="1" containsInteger="1" minValue="111" maxValue="143" count="3">
        <n v="111"/>
        <n v="114"/>
        <n v="143"/>
      </sharedItems>
    </cacheField>
    <cacheField name="N°_Ligne" numFmtId="0">
      <sharedItems containsSemiMixedTypes="0" containsString="0" containsNumber="1" containsInteger="1" minValue="1" maxValue="3"/>
    </cacheField>
    <cacheField name="N°Fac-N°Lign" numFmtId="0">
      <sharedItems/>
    </cacheField>
    <cacheField name="ID_Client" numFmtId="0">
      <sharedItems/>
    </cacheField>
    <cacheField name="Date" numFmtId="14">
      <sharedItems containsSemiMixedTypes="0" containsNonDate="0" containsDate="1" containsString="0" minDate="2018-02-01T00:00:00" maxDate="2018-03-16T00:00:00"/>
    </cacheField>
    <cacheField name="Échéance" numFmtId="14">
      <sharedItems containsSemiMixedTypes="0" containsNonDate="0" containsDate="1" containsString="0" minDate="2018-03-31T00:00:00" maxDate="2018-06-01T00:00:00" count="3">
        <d v="2018-03-31T00:00:00"/>
        <d v="2018-04-30T00:00:00"/>
        <d v="2018-05-31T00:00:00"/>
      </sharedItems>
      <fieldGroup par="17" base="5">
        <rangePr groupBy="days" startDate="2018-03-31T00:00:00" endDate="2018-06-01T00:00:00"/>
        <groupItems count="368">
          <s v="&lt;31/03/2018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01/06/2018"/>
        </groupItems>
      </fieldGroup>
    </cacheField>
    <cacheField name="Code_article" numFmtId="0">
      <sharedItems/>
    </cacheField>
    <cacheField name="Désignation" numFmtId="0">
      <sharedItems containsMixedTypes="1" containsNumber="1" containsInteger="1" minValue="848" maxValue="984978897"/>
    </cacheField>
    <cacheField name="Quantité" numFmtId="43">
      <sharedItems containsSemiMixedTypes="0" containsString="0" containsNumber="1" containsInteger="1" minValue="3" maxValue="777"/>
    </cacheField>
    <cacheField name="PU" numFmtId="43">
      <sharedItems containsSemiMixedTypes="0" containsString="0" containsNumber="1" containsInteger="1" minValue="3" maxValue="50"/>
    </cacheField>
    <cacheField name="TVA" numFmtId="9">
      <sharedItems containsSemiMixedTypes="0" containsString="0" containsNumber="1" minValue="0.2" maxValue="0.2"/>
    </cacheField>
    <cacheField name="NomClient" numFmtId="0">
      <sharedItems count="2">
        <s v="ULTRABLANC"/>
        <s v="TOTO22"/>
      </sharedItems>
    </cacheField>
    <cacheField name="Adresse1" numFmtId="0">
      <sharedItems/>
    </cacheField>
    <cacheField name="CP" numFmtId="0">
      <sharedItems containsSemiMixedTypes="0" containsString="0" containsNumber="1" containsInteger="1" minValue="69000" maxValue="75000"/>
    </cacheField>
    <cacheField name="Ville" numFmtId="0">
      <sharedItems/>
    </cacheField>
    <cacheField name="Montant HT" numFmtId="0">
      <sharedItems containsSemiMixedTypes="0" containsString="0" containsNumber="1" containsInteger="1" minValue="150" maxValue="2331"/>
    </cacheField>
    <cacheField name="Montant TTC" numFmtId="0">
      <sharedItems containsSemiMixedTypes="0" containsString="0" containsNumber="1" minValue="180" maxValue="2797.2"/>
    </cacheField>
    <cacheField name="Mois" numFmtId="0" databaseField="0">
      <fieldGroup base="5">
        <rangePr groupBy="months" startDate="2018-03-31T00:00:00" endDate="2018-06-01T00:00:00"/>
        <groupItems count="14">
          <s v="&lt;31/03/2018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1/06/2018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6">
  <r>
    <x v="0"/>
    <n v="1"/>
    <s v="111-1"/>
    <s v="ULT"/>
    <d v="2018-02-01T00:00:00"/>
    <x v="0"/>
    <s v="ytu"/>
    <s v="kj:kjbg:kjb:kjb"/>
    <n v="3"/>
    <n v="50"/>
    <n v="0.2"/>
    <x v="0"/>
    <s v="547 ZI du Parc"/>
    <n v="69000"/>
    <s v="LYON"/>
    <n v="150"/>
    <n v="180"/>
  </r>
  <r>
    <x v="0"/>
    <n v="2"/>
    <s v="111-2"/>
    <s v="ULT"/>
    <d v="2018-02-01T00:00:00"/>
    <x v="0"/>
    <s v="iuygty"/>
    <n v="984978897"/>
    <n v="15"/>
    <n v="22"/>
    <n v="0.2"/>
    <x v="0"/>
    <s v="547 ZI du Parc"/>
    <n v="69000"/>
    <s v="LYON"/>
    <n v="330"/>
    <n v="396"/>
  </r>
  <r>
    <x v="1"/>
    <n v="1"/>
    <s v="114-1"/>
    <s v="TOT"/>
    <d v="2018-03-15T00:00:00"/>
    <x v="1"/>
    <s v="iujhiuh"/>
    <n v="848"/>
    <n v="777"/>
    <n v="3"/>
    <n v="0.2"/>
    <x v="1"/>
    <s v="5 rue Villa"/>
    <n v="75000"/>
    <s v="PARIS"/>
    <n v="2331"/>
    <n v="2797.2"/>
  </r>
  <r>
    <x v="1"/>
    <n v="2"/>
    <s v="114-2"/>
    <s v="TOT"/>
    <d v="2018-03-15T00:00:00"/>
    <x v="1"/>
    <s v="ytu"/>
    <s v="kj:kjbg:kjb:kjb"/>
    <n v="22"/>
    <n v="49"/>
    <n v="0.2"/>
    <x v="1"/>
    <s v="5 rue Villa"/>
    <n v="75000"/>
    <s v="PARIS"/>
    <n v="1078"/>
    <n v="1293.5999999999999"/>
  </r>
  <r>
    <x v="1"/>
    <n v="3"/>
    <s v="114-3"/>
    <s v="TOT"/>
    <d v="2018-03-15T00:00:00"/>
    <x v="1"/>
    <s v="iuygty"/>
    <n v="984978897"/>
    <n v="10"/>
    <n v="20"/>
    <n v="0.2"/>
    <x v="1"/>
    <s v="5 rue Villa"/>
    <n v="75000"/>
    <s v="PARIS"/>
    <n v="200"/>
    <n v="240"/>
  </r>
  <r>
    <x v="2"/>
    <n v="1"/>
    <s v="143-1"/>
    <s v="ULT"/>
    <d v="2018-03-02T00:00:00"/>
    <x v="2"/>
    <s v="iuygty"/>
    <n v="984978897"/>
    <n v="99"/>
    <n v="19"/>
    <n v="0.2"/>
    <x v="0"/>
    <s v="547 ZI du Parc"/>
    <n v="69000"/>
    <s v="LYON"/>
    <n v="1881"/>
    <n v="2257.199999999999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4C8986A-97D6-4C64-8568-CCB4CC9B2DD1}" name="Tableau croisé dynamique2" cacheId="18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A3:E12" firstHeaderRow="0" firstDataRow="1" firstDataCol="3"/>
  <pivotFields count="18">
    <pivotField axis="axisRow" compact="0" outline="0" showAll="0">
      <items count="4">
        <item x="0"/>
        <item x="1"/>
        <item x="2"/>
        <item t="default"/>
      </items>
    </pivotField>
    <pivotField compact="0" outline="0" showAll="0"/>
    <pivotField compact="0" outline="0" showAll="0"/>
    <pivotField compact="0" outline="0" showAll="0"/>
    <pivotField compact="0" numFmtId="14" outline="0" showAll="0"/>
    <pivotField compact="0" numFmtId="14" outline="0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compact="0" outline="0" showAll="0"/>
    <pivotField compact="0" outline="0" showAll="0"/>
    <pivotField compact="0" numFmtId="43" outline="0" showAll="0"/>
    <pivotField compact="0" numFmtId="43" outline="0" showAll="0"/>
    <pivotField compact="0" numFmtId="9" outline="0" showAll="0"/>
    <pivotField axis="axisRow" compact="0" outline="0" showAll="0">
      <items count="3">
        <item x="1"/>
        <item x="0"/>
        <item t="default"/>
      </items>
    </pivotField>
    <pivotField compact="0" outline="0" showAll="0"/>
    <pivotField compact="0" outline="0" showAll="0"/>
    <pivotField compact="0" outline="0" showAll="0"/>
    <pivotField dataField="1" compact="0" outline="0" showAll="0"/>
    <pivotField dataField="1" compact="0" outline="0" showAll="0"/>
    <pivotField axis="axisRow" compact="0" outline="0" showAll="0">
      <items count="15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t="default"/>
      </items>
    </pivotField>
  </pivotFields>
  <rowFields count="3">
    <field x="11"/>
    <field x="0"/>
    <field x="17"/>
  </rowFields>
  <rowItems count="9">
    <i>
      <x/>
      <x v="1"/>
      <x v="4"/>
    </i>
    <i t="default" r="1">
      <x v="1"/>
    </i>
    <i t="default">
      <x/>
    </i>
    <i>
      <x v="1"/>
      <x/>
      <x v="3"/>
    </i>
    <i t="default" r="1">
      <x/>
    </i>
    <i r="1">
      <x v="2"/>
      <x v="5"/>
    </i>
    <i t="default" r="1">
      <x v="2"/>
    </i>
    <i t="default">
      <x v="1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Montant HT" fld="15" baseField="0" baseItem="1" numFmtId="164"/>
    <dataField name="Somme de Montant TTC" fld="16" baseField="0" baseItem="1" numFmtId="164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77410D4-CC62-4B31-A714-4E65B4212620}" name="Tableau2" displayName="Tableau2" ref="A1:G3" totalsRowShown="0">
  <autoFilter ref="A1:G3" xr:uid="{9F0BE88F-2015-4AF9-9E96-3F7F2682E221}"/>
  <tableColumns count="7">
    <tableColumn id="1" xr3:uid="{FB00E12B-2409-4061-8793-F151815D1999}" name="ID_client"/>
    <tableColumn id="2" xr3:uid="{73273381-95E3-419C-934F-22A7551B88D3}" name="Nom"/>
    <tableColumn id="3" xr3:uid="{5F21877B-5F61-4A51-AF47-0551B570B588}" name="Adresse1"/>
    <tableColumn id="4" xr3:uid="{32D76B6C-759D-4731-8149-A5CE0ECB5D52}" name="Adresse2"/>
    <tableColumn id="5" xr3:uid="{A2901663-D9D2-4E18-9DF1-624718398EDF}" name="CP"/>
    <tableColumn id="6" xr3:uid="{CB45488D-F88F-4E05-93E4-0F6437D906FA}" name="Ville"/>
    <tableColumn id="7" xr3:uid="{DA46129D-3C51-442A-8052-0E08A15B6F13}" name="Pays"/>
  </tableColumns>
  <tableStyleInfo name="TableStyleDark6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22457A3-592B-4674-AFBE-58835EC9C344}" name="Tableau3" displayName="Tableau3" ref="A1:Q7" totalsRowShown="0" headerRowDxfId="20">
  <autoFilter ref="A1:Q7" xr:uid="{DCF118E1-FE37-4B7F-B409-13E5994D1B2B}"/>
  <tableColumns count="17">
    <tableColumn id="1" xr3:uid="{33BB9BA4-661A-4FF9-8F92-880FA59D29EB}" name="N° facture" dataDxfId="19"/>
    <tableColumn id="13" xr3:uid="{EA76AE57-B767-4BFD-9592-1509053B3B7B}" name="N°_Ligne" dataDxfId="18"/>
    <tableColumn id="14" xr3:uid="{7C7F0D01-C388-4730-AC2D-8E38F044DF7E}" name="N°Fac-N°Lign" dataDxfId="17">
      <calculatedColumnFormula>Tableau3[[#This Row],[N° facture]]&amp;"-"&amp;Tableau3[[#This Row],[N°_Ligne]]</calculatedColumnFormula>
    </tableColumn>
    <tableColumn id="2" xr3:uid="{6F424A16-8015-47DF-A29E-B01CDF902C8D}" name="ID_Client" dataDxfId="16"/>
    <tableColumn id="3" xr3:uid="{7AFFB356-631E-466B-A7B2-33215756EA9B}" name="Date" dataDxfId="15"/>
    <tableColumn id="8" xr3:uid="{E61E4445-1732-4B06-AF88-BEA3C32B0833}" name="Échéance" dataDxfId="14"/>
    <tableColumn id="4" xr3:uid="{1F5F8E4A-B1E3-4E3F-99F2-A6990E3A632B}" name="Code_article"/>
    <tableColumn id="5" xr3:uid="{130F15F4-80AE-4A8E-886C-39DD84652C45}" name="Désignation"/>
    <tableColumn id="6" xr3:uid="{4B95DB17-CEE0-42C6-B87C-F82A5F0006C8}" name="Quantité" dataCellStyle="Milliers"/>
    <tableColumn id="7" xr3:uid="{3EB75D04-CE7A-465D-A2E2-32E525EBEA56}" name="PU" dataCellStyle="Milliers"/>
    <tableColumn id="15" xr3:uid="{D405555F-3568-436B-AD1F-430FAC0DB0BE}" name="TVA" dataDxfId="2" dataCellStyle="Milliers"/>
    <tableColumn id="9" xr3:uid="{42DCDEBA-4E46-4628-BEAC-45150F4FB86C}" name="NomClient" dataDxfId="13">
      <calculatedColumnFormula>VLOOKUP(Tableau3[[#This Row],[ID_Client]],Tableau2[],2,0)</calculatedColumnFormula>
    </tableColumn>
    <tableColumn id="10" xr3:uid="{FD453CDE-DDC4-4366-9378-1F98B8F6AF7D}" name="Adresse1" dataDxfId="12">
      <calculatedColumnFormula>VLOOKUP(Tableau3[[#This Row],[ID_Client]],Tableau2[],3,0)</calculatedColumnFormula>
    </tableColumn>
    <tableColumn id="11" xr3:uid="{FFB54C6E-939F-4312-A6BC-2287DEDA68DD}" name="CP" dataDxfId="11">
      <calculatedColumnFormula>VLOOKUP(Tableau3[[#This Row],[ID_Client]],Tableau2[],5,0)</calculatedColumnFormula>
    </tableColumn>
    <tableColumn id="12" xr3:uid="{0D81114F-A8E6-4F27-95B2-2505E3CC6AD2}" name="Ville" dataDxfId="10">
      <calculatedColumnFormula>VLOOKUP(Tableau3[[#This Row],[ID_Client]],Tableau2[],6,0)</calculatedColumnFormula>
    </tableColumn>
    <tableColumn id="16" xr3:uid="{2CE9255C-D1DE-4EEB-80B9-5948DA12573B}" name="Montant HT" dataDxfId="1">
      <calculatedColumnFormula>Tableau3[[#This Row],[Quantité]]*Tableau3[[#This Row],[PU]]</calculatedColumnFormula>
    </tableColumn>
    <tableColumn id="17" xr3:uid="{BD6A9CCB-8839-4547-8C0A-CE19B9D0DDF0}" name="Montant TTC" dataDxfId="0">
      <calculatedColumnFormula>Tableau3[[#This Row],[Montant HT]]*(1+Tableau3[[#This Row],[TVA]])</calculatedColumnFormula>
    </tableColumn>
  </tableColumns>
  <tableStyleInfo name="TableStyleDark3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289A321C-1081-4F23-8EE9-C693F06782C8}" name="Tableau4" displayName="Tableau4" ref="A13:G28" totalsRowShown="0">
  <autoFilter ref="A13:G28" xr:uid="{D628EB0E-61C3-4B59-AE4C-B18EEEC6C107}"/>
  <tableColumns count="7">
    <tableColumn id="1" xr3:uid="{19974CF0-5901-448D-9EEF-0067F6636A27}" name="N° ligne" dataDxfId="9"/>
    <tableColumn id="2" xr3:uid="{3BA430F2-5001-4A72-94FA-AD0074B1C46F}" name="Code" dataDxfId="8">
      <calculatedColumnFormula>IF( ISERROR(VLOOKUP(Tableau4[[#This Row],[N°Fac_N°Lign]],Tableau3[[N°Fac-N°Lign]:[PU]],2,0)), "",VLOOKUP(Tableau4[[#This Row],[N°Fac_N°Lign]],Tableau3[[N°Fac-N°Lign]:[PU]],5,0))</calculatedColumnFormula>
    </tableColumn>
    <tableColumn id="3" xr3:uid="{FEE805A7-E82F-43B6-A03E-8F5EC69DF7CA}" name="Désignation" dataDxfId="7">
      <calculatedColumnFormula>IF( ISERROR(VLOOKUP(Tableau4[[#This Row],[N°Fac_N°Lign]],Tableau3[[N°Fac-N°Lign]:[PU]],2,0)), "",VLOOKUP(Tableau4[[#This Row],[N°Fac_N°Lign]],Tableau3[[N°Fac-N°Lign]:[PU]],6,0))</calculatedColumnFormula>
    </tableColumn>
    <tableColumn id="4" xr3:uid="{22CF5610-35DF-4DB7-9186-023ABD767526}" name="Quantité" dataDxfId="6" dataCellStyle="Milliers">
      <calculatedColumnFormula>IF( ISERROR(VLOOKUP(Tableau4[[#This Row],[N°Fac_N°Lign]],Tableau3[[N°Fac-N°Lign]:[PU]],2,0)), "",VLOOKUP(Tableau4[[#This Row],[N°Fac_N°Lign]],Tableau3[[N°Fac-N°Lign]:[PU]],7,0))</calculatedColumnFormula>
    </tableColumn>
    <tableColumn id="5" xr3:uid="{A893F7B5-6069-436A-9BF4-9A97D78362F8}" name="PU" dataDxfId="5" dataCellStyle="Milliers">
      <calculatedColumnFormula>IF( ISERROR(VLOOKUP(Tableau4[[#This Row],[N°Fac_N°Lign]],Tableau3[[N°Fac-N°Lign]:[PU]],2,0)), "",VLOOKUP(Tableau4[[#This Row],[N°Fac_N°Lign]],Tableau3[[N°Fac-N°Lign]:[PU]],8,0))</calculatedColumnFormula>
    </tableColumn>
    <tableColumn id="7" xr3:uid="{8588F92E-6CD8-4F06-A63A-ED46D2A04811}" name="Total" dataDxfId="4" dataCellStyle="Milliers">
      <calculatedColumnFormula>IF(Tableau4[[#This Row],[Quantité]]&lt;&gt;"",Tableau4[[#This Row],[Quantité]]*Tableau4[[#This Row],[PU]],"")</calculatedColumnFormula>
    </tableColumn>
    <tableColumn id="6" xr3:uid="{6F85EAE1-E8AC-49F0-85CE-331432A4B565}" name="N°Fac_N°Lign" dataDxfId="3">
      <calculatedColumnFormula>N°_Facture&amp;"-"&amp;Tableau4[[#This Row],[N° ligne]]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masociete.fr/" TargetMode="External"/><Relationship Id="rId1" Type="http://schemas.openxmlformats.org/officeDocument/2006/relationships/hyperlink" Target="mailto:info@masociete.fr" TargetMode="External"/><Relationship Id="rId4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1655DF-296C-4967-9A90-30402DFB8225}">
  <dimension ref="A1:J3"/>
  <sheetViews>
    <sheetView workbookViewId="0">
      <selection activeCell="F9" sqref="F9"/>
    </sheetView>
  </sheetViews>
  <sheetFormatPr baseColWidth="10" defaultRowHeight="15" x14ac:dyDescent="0.25"/>
  <cols>
    <col min="3" max="3" width="12.28515625" bestFit="1" customWidth="1"/>
  </cols>
  <sheetData>
    <row r="1" spans="1:10" x14ac:dyDescent="0.25">
      <c r="A1" t="s">
        <v>0</v>
      </c>
      <c r="B1" t="s">
        <v>1</v>
      </c>
      <c r="C1" t="s">
        <v>6</v>
      </c>
      <c r="D1" t="s">
        <v>5</v>
      </c>
      <c r="E1" t="s">
        <v>3</v>
      </c>
      <c r="F1" t="s">
        <v>2</v>
      </c>
      <c r="G1" t="s">
        <v>4</v>
      </c>
    </row>
    <row r="2" spans="1:10" x14ac:dyDescent="0.25">
      <c r="A2" t="s">
        <v>7</v>
      </c>
      <c r="B2" t="s">
        <v>8</v>
      </c>
      <c r="C2" t="s">
        <v>9</v>
      </c>
      <c r="E2">
        <v>75000</v>
      </c>
      <c r="F2" t="s">
        <v>10</v>
      </c>
    </row>
    <row r="3" spans="1:10" ht="15.75" x14ac:dyDescent="0.25">
      <c r="A3" t="s">
        <v>11</v>
      </c>
      <c r="B3" t="s">
        <v>12</v>
      </c>
      <c r="C3" t="s">
        <v>13</v>
      </c>
      <c r="E3">
        <v>69000</v>
      </c>
      <c r="F3" t="s">
        <v>14</v>
      </c>
      <c r="I3" s="9" t="s">
        <v>44</v>
      </c>
      <c r="J3" s="6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E1928ED-0A51-449D-A208-C3BFFBDF0D3B}">
  <dimension ref="A1:T7"/>
  <sheetViews>
    <sheetView zoomScale="79" workbookViewId="0">
      <selection activeCell="Q3" sqref="Q3"/>
    </sheetView>
  </sheetViews>
  <sheetFormatPr baseColWidth="10" defaultRowHeight="15" x14ac:dyDescent="0.25"/>
  <cols>
    <col min="1" max="2" width="11.5703125" style="10"/>
    <col min="3" max="3" width="15" customWidth="1"/>
    <col min="4" max="4" width="11.5703125" style="10"/>
    <col min="7" max="7" width="13.28515625" customWidth="1"/>
    <col min="8" max="8" width="12.42578125" customWidth="1"/>
    <col min="12" max="15" width="8.28515625" customWidth="1"/>
    <col min="16" max="16" width="14.7109375" customWidth="1"/>
    <col min="17" max="17" width="14.28515625" customWidth="1"/>
  </cols>
  <sheetData>
    <row r="1" spans="1:20" s="10" customFormat="1" x14ac:dyDescent="0.25">
      <c r="A1" s="10" t="s">
        <v>15</v>
      </c>
      <c r="B1" s="10" t="s">
        <v>36</v>
      </c>
      <c r="C1" s="10" t="s">
        <v>37</v>
      </c>
      <c r="D1" s="10" t="s">
        <v>16</v>
      </c>
      <c r="E1" s="10" t="s">
        <v>17</v>
      </c>
      <c r="F1" s="10" t="s">
        <v>22</v>
      </c>
      <c r="G1" s="10" t="s">
        <v>18</v>
      </c>
      <c r="H1" s="10" t="s">
        <v>19</v>
      </c>
      <c r="I1" s="10" t="s">
        <v>20</v>
      </c>
      <c r="J1" s="10" t="s">
        <v>21</v>
      </c>
      <c r="K1" s="10" t="s">
        <v>54</v>
      </c>
      <c r="L1" s="10" t="s">
        <v>31</v>
      </c>
      <c r="M1" s="10" t="s">
        <v>6</v>
      </c>
      <c r="N1" s="10" t="s">
        <v>3</v>
      </c>
      <c r="O1" s="10" t="s">
        <v>2</v>
      </c>
      <c r="P1" s="10" t="s">
        <v>56</v>
      </c>
      <c r="Q1" s="10" t="s">
        <v>57</v>
      </c>
    </row>
    <row r="2" spans="1:20" x14ac:dyDescent="0.25">
      <c r="A2" s="10">
        <v>111</v>
      </c>
      <c r="B2" s="10">
        <v>1</v>
      </c>
      <c r="C2" s="5" t="str">
        <f>Tableau3[[#This Row],[N° facture]]&amp;"-"&amp;Tableau3[[#This Row],[N°_Ligne]]</f>
        <v>111-1</v>
      </c>
      <c r="D2" s="10" t="s">
        <v>11</v>
      </c>
      <c r="E2" s="1">
        <v>43132</v>
      </c>
      <c r="F2" s="1">
        <v>43190</v>
      </c>
      <c r="G2" t="s">
        <v>23</v>
      </c>
      <c r="H2" t="s">
        <v>24</v>
      </c>
      <c r="I2" s="11">
        <v>3</v>
      </c>
      <c r="J2" s="11">
        <v>50</v>
      </c>
      <c r="K2" s="14">
        <v>0.2</v>
      </c>
      <c r="L2" s="5" t="str">
        <f>VLOOKUP(Tableau3[[#This Row],[ID_Client]],Tableau2[],2,0)</f>
        <v>ULTRABLANC</v>
      </c>
      <c r="M2" s="5" t="str">
        <f>VLOOKUP(Tableau3[[#This Row],[ID_Client]],Tableau2[],3,0)</f>
        <v>547 ZI du Parc</v>
      </c>
      <c r="N2" s="5">
        <f>VLOOKUP(Tableau3[[#This Row],[ID_Client]],Tableau2[],5,0)</f>
        <v>69000</v>
      </c>
      <c r="O2" s="5" t="str">
        <f>VLOOKUP(Tableau3[[#This Row],[ID_Client]],Tableau2[],6,0)</f>
        <v>LYON</v>
      </c>
      <c r="P2" s="17">
        <f>Tableau3[[#This Row],[Quantité]]*Tableau3[[#This Row],[PU]]</f>
        <v>150</v>
      </c>
      <c r="Q2" s="17">
        <f>Tableau3[[#This Row],[Montant HT]]*(1+Tableau3[[#This Row],[TVA]])</f>
        <v>180</v>
      </c>
    </row>
    <row r="3" spans="1:20" x14ac:dyDescent="0.25">
      <c r="A3" s="10">
        <v>111</v>
      </c>
      <c r="B3" s="10">
        <v>2</v>
      </c>
      <c r="C3" s="5" t="str">
        <f>Tableau3[[#This Row],[N° facture]]&amp;"-"&amp;Tableau3[[#This Row],[N°_Ligne]]</f>
        <v>111-2</v>
      </c>
      <c r="D3" s="10" t="s">
        <v>11</v>
      </c>
      <c r="E3" s="1">
        <v>43132</v>
      </c>
      <c r="F3" s="1">
        <v>43190</v>
      </c>
      <c r="G3" t="s">
        <v>25</v>
      </c>
      <c r="H3">
        <v>984978897</v>
      </c>
      <c r="I3" s="11">
        <v>15</v>
      </c>
      <c r="J3" s="11">
        <v>22</v>
      </c>
      <c r="K3" s="14">
        <v>0.2</v>
      </c>
      <c r="L3" s="5" t="str">
        <f>VLOOKUP(Tableau3[[#This Row],[ID_Client]],Tableau2[],2,0)</f>
        <v>ULTRABLANC</v>
      </c>
      <c r="M3" s="5" t="str">
        <f>VLOOKUP(Tableau3[[#This Row],[ID_Client]],Tableau2[],3,0)</f>
        <v>547 ZI du Parc</v>
      </c>
      <c r="N3" s="5">
        <f>VLOOKUP(Tableau3[[#This Row],[ID_Client]],Tableau2[],5,0)</f>
        <v>69000</v>
      </c>
      <c r="O3" s="5" t="str">
        <f>VLOOKUP(Tableau3[[#This Row],[ID_Client]],Tableau2[],6,0)</f>
        <v>LYON</v>
      </c>
      <c r="P3" s="17">
        <f>Tableau3[[#This Row],[Quantité]]*Tableau3[[#This Row],[PU]]</f>
        <v>330</v>
      </c>
      <c r="Q3" s="17">
        <f>Tableau3[[#This Row],[Montant HT]]*(1+Tableau3[[#This Row],[TVA]])</f>
        <v>396</v>
      </c>
    </row>
    <row r="4" spans="1:20" ht="15.75" x14ac:dyDescent="0.25">
      <c r="A4" s="10">
        <v>114</v>
      </c>
      <c r="B4" s="10">
        <v>1</v>
      </c>
      <c r="C4" s="5" t="str">
        <f>Tableau3[[#This Row],[N° facture]]&amp;"-"&amp;Tableau3[[#This Row],[N°_Ligne]]</f>
        <v>114-1</v>
      </c>
      <c r="D4" s="10" t="s">
        <v>7</v>
      </c>
      <c r="E4" s="1">
        <v>43174</v>
      </c>
      <c r="F4" s="1">
        <v>43220</v>
      </c>
      <c r="G4" t="s">
        <v>26</v>
      </c>
      <c r="H4">
        <v>848</v>
      </c>
      <c r="I4" s="11">
        <v>777</v>
      </c>
      <c r="J4" s="11">
        <v>3</v>
      </c>
      <c r="K4" s="14">
        <v>0.2</v>
      </c>
      <c r="L4" s="5" t="str">
        <f>VLOOKUP(Tableau3[[#This Row],[ID_Client]],Tableau2[],2,0)</f>
        <v>TOTO22</v>
      </c>
      <c r="M4" s="5" t="str">
        <f>VLOOKUP(Tableau3[[#This Row],[ID_Client]],Tableau2[],3,0)</f>
        <v>5 rue Villa</v>
      </c>
      <c r="N4" s="5">
        <f>VLOOKUP(Tableau3[[#This Row],[ID_Client]],Tableau2[],5,0)</f>
        <v>75000</v>
      </c>
      <c r="O4" s="5" t="str">
        <f>VLOOKUP(Tableau3[[#This Row],[ID_Client]],Tableau2[],6,0)</f>
        <v>PARIS</v>
      </c>
      <c r="P4" s="17">
        <f>Tableau3[[#This Row],[Quantité]]*Tableau3[[#This Row],[PU]]</f>
        <v>2331</v>
      </c>
      <c r="Q4" s="17">
        <f>Tableau3[[#This Row],[Montant HT]]*(1+Tableau3[[#This Row],[TVA]])</f>
        <v>2797.2</v>
      </c>
      <c r="R4" s="9"/>
      <c r="S4" s="9" t="s">
        <v>46</v>
      </c>
      <c r="T4" s="9"/>
    </row>
    <row r="5" spans="1:20" ht="15.75" x14ac:dyDescent="0.25">
      <c r="A5" s="10">
        <v>114</v>
      </c>
      <c r="B5" s="10">
        <v>2</v>
      </c>
      <c r="C5" s="5" t="str">
        <f>Tableau3[[#This Row],[N° facture]]&amp;"-"&amp;Tableau3[[#This Row],[N°_Ligne]]</f>
        <v>114-2</v>
      </c>
      <c r="D5" s="10" t="s">
        <v>7</v>
      </c>
      <c r="E5" s="1">
        <v>43174</v>
      </c>
      <c r="F5" s="1">
        <v>43220</v>
      </c>
      <c r="G5" t="s">
        <v>23</v>
      </c>
      <c r="H5" t="s">
        <v>24</v>
      </c>
      <c r="I5" s="11">
        <v>22</v>
      </c>
      <c r="J5" s="11">
        <v>49</v>
      </c>
      <c r="K5" s="14">
        <v>0.2</v>
      </c>
      <c r="L5" s="5" t="str">
        <f>VLOOKUP(Tableau3[[#This Row],[ID_Client]],Tableau2[],2,0)</f>
        <v>TOTO22</v>
      </c>
      <c r="M5" s="5" t="str">
        <f>VLOOKUP(Tableau3[[#This Row],[ID_Client]],Tableau2[],3,0)</f>
        <v>5 rue Villa</v>
      </c>
      <c r="N5" s="5">
        <f>VLOOKUP(Tableau3[[#This Row],[ID_Client]],Tableau2[],5,0)</f>
        <v>75000</v>
      </c>
      <c r="O5" s="5" t="str">
        <f>VLOOKUP(Tableau3[[#This Row],[ID_Client]],Tableau2[],6,0)</f>
        <v>PARIS</v>
      </c>
      <c r="P5" s="17">
        <f>Tableau3[[#This Row],[Quantité]]*Tableau3[[#This Row],[PU]]</f>
        <v>1078</v>
      </c>
      <c r="Q5" s="17">
        <f>Tableau3[[#This Row],[Montant HT]]*(1+Tableau3[[#This Row],[TVA]])</f>
        <v>1293.5999999999999</v>
      </c>
      <c r="R5" s="9"/>
      <c r="S5" s="9" t="s">
        <v>45</v>
      </c>
      <c r="T5" s="9"/>
    </row>
    <row r="6" spans="1:20" ht="15.75" x14ac:dyDescent="0.25">
      <c r="A6" s="10">
        <v>114</v>
      </c>
      <c r="B6" s="10">
        <v>3</v>
      </c>
      <c r="C6" s="5" t="str">
        <f>Tableau3[[#This Row],[N° facture]]&amp;"-"&amp;Tableau3[[#This Row],[N°_Ligne]]</f>
        <v>114-3</v>
      </c>
      <c r="D6" s="10" t="s">
        <v>7</v>
      </c>
      <c r="E6" s="1">
        <v>43174</v>
      </c>
      <c r="F6" s="1">
        <v>43220</v>
      </c>
      <c r="G6" t="s">
        <v>25</v>
      </c>
      <c r="H6">
        <v>984978897</v>
      </c>
      <c r="I6" s="11">
        <v>10</v>
      </c>
      <c r="J6" s="11">
        <v>20</v>
      </c>
      <c r="K6" s="14">
        <v>0.2</v>
      </c>
      <c r="L6" s="5" t="str">
        <f>VLOOKUP(Tableau3[[#This Row],[ID_Client]],Tableau2[],2,0)</f>
        <v>TOTO22</v>
      </c>
      <c r="M6" s="5" t="str">
        <f>VLOOKUP(Tableau3[[#This Row],[ID_Client]],Tableau2[],3,0)</f>
        <v>5 rue Villa</v>
      </c>
      <c r="N6" s="5">
        <f>VLOOKUP(Tableau3[[#This Row],[ID_Client]],Tableau2[],5,0)</f>
        <v>75000</v>
      </c>
      <c r="O6" s="5" t="str">
        <f>VLOOKUP(Tableau3[[#This Row],[ID_Client]],Tableau2[],6,0)</f>
        <v>PARIS</v>
      </c>
      <c r="P6" s="17">
        <f>Tableau3[[#This Row],[Quantité]]*Tableau3[[#This Row],[PU]]</f>
        <v>200</v>
      </c>
      <c r="Q6" s="17">
        <f>Tableau3[[#This Row],[Montant HT]]*(1+Tableau3[[#This Row],[TVA]])</f>
        <v>240</v>
      </c>
      <c r="R6" s="9"/>
      <c r="S6" s="9" t="s">
        <v>52</v>
      </c>
      <c r="T6" s="9"/>
    </row>
    <row r="7" spans="1:20" ht="15.75" x14ac:dyDescent="0.25">
      <c r="A7" s="10">
        <v>143</v>
      </c>
      <c r="B7" s="10">
        <v>1</v>
      </c>
      <c r="C7" s="5" t="str">
        <f>Tableau3[[#This Row],[N° facture]]&amp;"-"&amp;Tableau3[[#This Row],[N°_Ligne]]</f>
        <v>143-1</v>
      </c>
      <c r="D7" s="10" t="s">
        <v>11</v>
      </c>
      <c r="E7" s="1">
        <v>43161</v>
      </c>
      <c r="F7" s="1">
        <v>43251</v>
      </c>
      <c r="G7" t="s">
        <v>25</v>
      </c>
      <c r="H7">
        <v>984978897</v>
      </c>
      <c r="I7" s="11">
        <v>99</v>
      </c>
      <c r="J7" s="11">
        <v>19</v>
      </c>
      <c r="K7" s="14">
        <v>0.2</v>
      </c>
      <c r="L7" s="5" t="str">
        <f>VLOOKUP(Tableau3[[#This Row],[ID_Client]],Tableau2[],2,0)</f>
        <v>ULTRABLANC</v>
      </c>
      <c r="M7" s="5" t="str">
        <f>VLOOKUP(Tableau3[[#This Row],[ID_Client]],Tableau2[],3,0)</f>
        <v>547 ZI du Parc</v>
      </c>
      <c r="N7" s="5">
        <f>VLOOKUP(Tableau3[[#This Row],[ID_Client]],Tableau2[],5,0)</f>
        <v>69000</v>
      </c>
      <c r="O7" s="5" t="str">
        <f>VLOOKUP(Tableau3[[#This Row],[ID_Client]],Tableau2[],6,0)</f>
        <v>LYON</v>
      </c>
      <c r="P7" s="17">
        <f>Tableau3[[#This Row],[Quantité]]*Tableau3[[#This Row],[PU]]</f>
        <v>1881</v>
      </c>
      <c r="Q7" s="17">
        <f>Tableau3[[#This Row],[Montant HT]]*(1+Tableau3[[#This Row],[TVA]])</f>
        <v>2257.1999999999998</v>
      </c>
      <c r="S7" s="9" t="s">
        <v>53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F5C1D42-6860-4536-B4CE-70280774917E}">
  <dimension ref="A2:N33"/>
  <sheetViews>
    <sheetView zoomScale="78" zoomScaleNormal="78" workbookViewId="0">
      <selection activeCell="D36" sqref="D36"/>
    </sheetView>
  </sheetViews>
  <sheetFormatPr baseColWidth="10" defaultRowHeight="15" x14ac:dyDescent="0.25"/>
  <cols>
    <col min="3" max="3" width="12.5703125" customWidth="1"/>
    <col min="7" max="7" width="13.7109375" customWidth="1"/>
  </cols>
  <sheetData>
    <row r="2" spans="1:14" x14ac:dyDescent="0.25">
      <c r="A2" t="s">
        <v>27</v>
      </c>
    </row>
    <row r="3" spans="1:14" x14ac:dyDescent="0.25">
      <c r="A3" t="s">
        <v>28</v>
      </c>
    </row>
    <row r="4" spans="1:14" x14ac:dyDescent="0.25">
      <c r="A4" t="s">
        <v>29</v>
      </c>
      <c r="E4" s="3">
        <f>VLOOKUP(N°_Facture,Tableau3[],11,0)</f>
        <v>0.2</v>
      </c>
      <c r="F4" s="3"/>
    </row>
    <row r="5" spans="1:14" x14ac:dyDescent="0.25">
      <c r="A5" t="s">
        <v>48</v>
      </c>
      <c r="E5" s="5" t="str">
        <f>VLOOKUP(N°_Facture,Tableau3[],12,0)</f>
        <v>TOTO22</v>
      </c>
      <c r="F5" s="5"/>
    </row>
    <row r="6" spans="1:14" x14ac:dyDescent="0.25">
      <c r="A6" s="12" t="s">
        <v>49</v>
      </c>
      <c r="E6" s="5" t="str">
        <f>VLOOKUP(N°_Facture,Tableau3[],13,0)</f>
        <v>5 rue Villa</v>
      </c>
      <c r="F6" s="5">
        <f>VLOOKUP(N°_Facture,Tableau3[],14,0)</f>
        <v>75000</v>
      </c>
    </row>
    <row r="7" spans="1:14" x14ac:dyDescent="0.25">
      <c r="A7" s="12" t="s">
        <v>50</v>
      </c>
    </row>
    <row r="9" spans="1:14" x14ac:dyDescent="0.25">
      <c r="A9" t="s">
        <v>30</v>
      </c>
      <c r="B9" s="2">
        <v>114</v>
      </c>
      <c r="I9" s="6" t="s">
        <v>34</v>
      </c>
      <c r="J9" s="6"/>
      <c r="K9" s="6"/>
    </row>
    <row r="10" spans="1:14" x14ac:dyDescent="0.25">
      <c r="A10" t="s">
        <v>17</v>
      </c>
      <c r="B10" s="4">
        <f>VLOOKUP(N°_Facture,Tableau3[],5,0)</f>
        <v>43174</v>
      </c>
      <c r="I10" s="6" t="s">
        <v>35</v>
      </c>
      <c r="J10" s="6"/>
      <c r="K10" s="6"/>
    </row>
    <row r="11" spans="1:14" x14ac:dyDescent="0.25">
      <c r="A11" t="s">
        <v>22</v>
      </c>
      <c r="B11" s="4">
        <f>VLOOKUP(N°_Facture,Tableau3[],6,0)</f>
        <v>43220</v>
      </c>
      <c r="I11" s="6" t="s">
        <v>51</v>
      </c>
      <c r="J11" s="6"/>
      <c r="K11" s="6"/>
      <c r="L11" s="6"/>
      <c r="M11" s="6"/>
      <c r="N11" s="6"/>
    </row>
    <row r="12" spans="1:14" x14ac:dyDescent="0.25">
      <c r="I12" s="6" t="s">
        <v>47</v>
      </c>
      <c r="J12" s="6"/>
      <c r="K12" s="6"/>
      <c r="L12" s="6"/>
    </row>
    <row r="13" spans="1:14" x14ac:dyDescent="0.25">
      <c r="A13" s="5" t="s">
        <v>38</v>
      </c>
      <c r="B13" s="5" t="s">
        <v>32</v>
      </c>
      <c r="C13" s="5" t="s">
        <v>19</v>
      </c>
      <c r="D13" s="5" t="s">
        <v>20</v>
      </c>
      <c r="E13" s="5" t="s">
        <v>21</v>
      </c>
      <c r="F13" s="5" t="s">
        <v>33</v>
      </c>
      <c r="G13" s="13" t="s">
        <v>39</v>
      </c>
    </row>
    <row r="14" spans="1:14" x14ac:dyDescent="0.25">
      <c r="A14" s="5">
        <v>1</v>
      </c>
      <c r="B14" s="5" t="str">
        <f>IF( ISERROR(VLOOKUP(Tableau4[[#This Row],[N°Fac_N°Lign]],Tableau3[[N°Fac-N°Lign]:[PU]],2,0)), "",VLOOKUP(Tableau4[[#This Row],[N°Fac_N°Lign]],Tableau3[[N°Fac-N°Lign]:[PU]],5,0))</f>
        <v>iujhiuh</v>
      </c>
      <c r="C14" s="5">
        <f>IF( ISERROR(VLOOKUP(Tableau4[[#This Row],[N°Fac_N°Lign]],Tableau3[[N°Fac-N°Lign]:[PU]],2,0)), "",VLOOKUP(Tableau4[[#This Row],[N°Fac_N°Lign]],Tableau3[[N°Fac-N°Lign]:[PU]],6,0))</f>
        <v>848</v>
      </c>
      <c r="D14" s="7">
        <f>IF( ISERROR(VLOOKUP(Tableau4[[#This Row],[N°Fac_N°Lign]],Tableau3[[N°Fac-N°Lign]:[PU]],2,0)), "",VLOOKUP(Tableau4[[#This Row],[N°Fac_N°Lign]],Tableau3[[N°Fac-N°Lign]:[PU]],7,0))</f>
        <v>777</v>
      </c>
      <c r="E14" s="7">
        <f>IF( ISERROR(VLOOKUP(Tableau4[[#This Row],[N°Fac_N°Lign]],Tableau3[[N°Fac-N°Lign]:[PU]],2,0)), "",VLOOKUP(Tableau4[[#This Row],[N°Fac_N°Lign]],Tableau3[[N°Fac-N°Lign]:[PU]],8,0))</f>
        <v>3</v>
      </c>
      <c r="F14" s="7">
        <f>IF(Tableau4[[#This Row],[Quantité]]&lt;&gt;"",Tableau4[[#This Row],[Quantité]]*Tableau4[[#This Row],[PU]],"")</f>
        <v>2331</v>
      </c>
      <c r="G14" s="13" t="str">
        <f>N°_Facture&amp;"-"&amp;Tableau4[[#This Row],[N° ligne]]</f>
        <v>114-1</v>
      </c>
    </row>
    <row r="15" spans="1:14" x14ac:dyDescent="0.25">
      <c r="A15" s="5">
        <v>2</v>
      </c>
      <c r="B15" s="5" t="str">
        <f>IF( ISERROR(VLOOKUP(Tableau4[[#This Row],[N°Fac_N°Lign]],Tableau3[[N°Fac-N°Lign]:[PU]],2,0)), "",VLOOKUP(Tableau4[[#This Row],[N°Fac_N°Lign]],Tableau3[[N°Fac-N°Lign]:[PU]],5,0))</f>
        <v>ytu</v>
      </c>
      <c r="C15" s="5" t="str">
        <f>IF( ISERROR(VLOOKUP(Tableau4[[#This Row],[N°Fac_N°Lign]],Tableau3[[N°Fac-N°Lign]:[PU]],2,0)), "",VLOOKUP(Tableau4[[#This Row],[N°Fac_N°Lign]],Tableau3[[N°Fac-N°Lign]:[PU]],6,0))</f>
        <v>kj:kjbg:kjb:kjb</v>
      </c>
      <c r="D15" s="7">
        <f>IF( ISERROR(VLOOKUP(Tableau4[[#This Row],[N°Fac_N°Lign]],Tableau3[[N°Fac-N°Lign]:[PU]],2,0)), "",VLOOKUP(Tableau4[[#This Row],[N°Fac_N°Lign]],Tableau3[[N°Fac-N°Lign]:[PU]],7,0))</f>
        <v>22</v>
      </c>
      <c r="E15" s="7">
        <f>IF( ISERROR(VLOOKUP(Tableau4[[#This Row],[N°Fac_N°Lign]],Tableau3[[N°Fac-N°Lign]:[PU]],2,0)), "",VLOOKUP(Tableau4[[#This Row],[N°Fac_N°Lign]],Tableau3[[N°Fac-N°Lign]:[PU]],8,0))</f>
        <v>49</v>
      </c>
      <c r="F15" s="7">
        <f>IF(Tableau4[[#This Row],[Quantité]]&lt;&gt;"",Tableau4[[#This Row],[Quantité]]*Tableau4[[#This Row],[PU]],"")</f>
        <v>1078</v>
      </c>
      <c r="G15" s="13" t="str">
        <f>N°_Facture&amp;"-"&amp;Tableau4[[#This Row],[N° ligne]]</f>
        <v>114-2</v>
      </c>
    </row>
    <row r="16" spans="1:14" x14ac:dyDescent="0.25">
      <c r="A16" s="5">
        <v>3</v>
      </c>
      <c r="B16" s="5" t="str">
        <f>IF( ISERROR(VLOOKUP(Tableau4[[#This Row],[N°Fac_N°Lign]],Tableau3[[N°Fac-N°Lign]:[PU]],2,0)), "",VLOOKUP(Tableau4[[#This Row],[N°Fac_N°Lign]],Tableau3[[N°Fac-N°Lign]:[PU]],5,0))</f>
        <v>iuygty</v>
      </c>
      <c r="C16" s="5">
        <f>IF( ISERROR(VLOOKUP(Tableau4[[#This Row],[N°Fac_N°Lign]],Tableau3[[N°Fac-N°Lign]:[PU]],2,0)), "",VLOOKUP(Tableau4[[#This Row],[N°Fac_N°Lign]],Tableau3[[N°Fac-N°Lign]:[PU]],6,0))</f>
        <v>984978897</v>
      </c>
      <c r="D16" s="7">
        <f>IF( ISERROR(VLOOKUP(Tableau4[[#This Row],[N°Fac_N°Lign]],Tableau3[[N°Fac-N°Lign]:[PU]],2,0)), "",VLOOKUP(Tableau4[[#This Row],[N°Fac_N°Lign]],Tableau3[[N°Fac-N°Lign]:[PU]],7,0))</f>
        <v>10</v>
      </c>
      <c r="E16" s="7">
        <f>IF( ISERROR(VLOOKUP(Tableau4[[#This Row],[N°Fac_N°Lign]],Tableau3[[N°Fac-N°Lign]:[PU]],2,0)), "",VLOOKUP(Tableau4[[#This Row],[N°Fac_N°Lign]],Tableau3[[N°Fac-N°Lign]:[PU]],8,0))</f>
        <v>20</v>
      </c>
      <c r="F16" s="7">
        <f>IF(Tableau4[[#This Row],[Quantité]]&lt;&gt;"",Tableau4[[#This Row],[Quantité]]*Tableau4[[#This Row],[PU]],"")</f>
        <v>200</v>
      </c>
      <c r="G16" s="13" t="str">
        <f>N°_Facture&amp;"-"&amp;Tableau4[[#This Row],[N° ligne]]</f>
        <v>114-3</v>
      </c>
    </row>
    <row r="17" spans="1:7" x14ac:dyDescent="0.25">
      <c r="A17" s="5">
        <v>4</v>
      </c>
      <c r="B17" s="5" t="str">
        <f>IF( ISERROR(VLOOKUP(Tableau4[[#This Row],[N°Fac_N°Lign]],Tableau3[[N°Fac-N°Lign]:[PU]],2,0)), "",VLOOKUP(Tableau4[[#This Row],[N°Fac_N°Lign]],Tableau3[[N°Fac-N°Lign]:[PU]],5,0))</f>
        <v/>
      </c>
      <c r="C17" s="5" t="str">
        <f>IF( ISERROR(VLOOKUP(Tableau4[[#This Row],[N°Fac_N°Lign]],Tableau3[[N°Fac-N°Lign]:[PU]],2,0)), "",VLOOKUP(Tableau4[[#This Row],[N°Fac_N°Lign]],Tableau3[[N°Fac-N°Lign]:[PU]],6,0))</f>
        <v/>
      </c>
      <c r="D17" s="7" t="str">
        <f>IF( ISERROR(VLOOKUP(Tableau4[[#This Row],[N°Fac_N°Lign]],Tableau3[[N°Fac-N°Lign]:[PU]],2,0)), "",VLOOKUP(Tableau4[[#This Row],[N°Fac_N°Lign]],Tableau3[[N°Fac-N°Lign]:[PU]],7,0))</f>
        <v/>
      </c>
      <c r="E17" s="7" t="str">
        <f>IF( ISERROR(VLOOKUP(Tableau4[[#This Row],[N°Fac_N°Lign]],Tableau3[[N°Fac-N°Lign]:[PU]],2,0)), "",VLOOKUP(Tableau4[[#This Row],[N°Fac_N°Lign]],Tableau3[[N°Fac-N°Lign]:[PU]],8,0))</f>
        <v/>
      </c>
      <c r="F17" s="7" t="str">
        <f>IF(Tableau4[[#This Row],[Quantité]]&lt;&gt;"",Tableau4[[#This Row],[Quantité]]*Tableau4[[#This Row],[PU]],"")</f>
        <v/>
      </c>
      <c r="G17" s="13" t="str">
        <f>N°_Facture&amp;"-"&amp;Tableau4[[#This Row],[N° ligne]]</f>
        <v>114-4</v>
      </c>
    </row>
    <row r="18" spans="1:7" x14ac:dyDescent="0.25">
      <c r="A18" s="5">
        <v>5</v>
      </c>
      <c r="B18" s="5" t="str">
        <f>IF( ISERROR(VLOOKUP(Tableau4[[#This Row],[N°Fac_N°Lign]],Tableau3[[N°Fac-N°Lign]:[PU]],2,0)), "",VLOOKUP(Tableau4[[#This Row],[N°Fac_N°Lign]],Tableau3[[N°Fac-N°Lign]:[PU]],5,0))</f>
        <v/>
      </c>
      <c r="C18" s="5" t="str">
        <f>IF( ISERROR(VLOOKUP(Tableau4[[#This Row],[N°Fac_N°Lign]],Tableau3[[N°Fac-N°Lign]:[PU]],2,0)), "",VLOOKUP(Tableau4[[#This Row],[N°Fac_N°Lign]],Tableau3[[N°Fac-N°Lign]:[PU]],6,0))</f>
        <v/>
      </c>
      <c r="D18" s="7" t="str">
        <f>IF( ISERROR(VLOOKUP(Tableau4[[#This Row],[N°Fac_N°Lign]],Tableau3[[N°Fac-N°Lign]:[PU]],2,0)), "",VLOOKUP(Tableau4[[#This Row],[N°Fac_N°Lign]],Tableau3[[N°Fac-N°Lign]:[PU]],7,0))</f>
        <v/>
      </c>
      <c r="E18" s="7" t="str">
        <f>IF( ISERROR(VLOOKUP(Tableau4[[#This Row],[N°Fac_N°Lign]],Tableau3[[N°Fac-N°Lign]:[PU]],2,0)), "",VLOOKUP(Tableau4[[#This Row],[N°Fac_N°Lign]],Tableau3[[N°Fac-N°Lign]:[PU]],8,0))</f>
        <v/>
      </c>
      <c r="F18" s="7" t="str">
        <f>IF(Tableau4[[#This Row],[Quantité]]&lt;&gt;"",Tableau4[[#This Row],[Quantité]]*Tableau4[[#This Row],[PU]],"")</f>
        <v/>
      </c>
      <c r="G18" s="13" t="str">
        <f>N°_Facture&amp;"-"&amp;Tableau4[[#This Row],[N° ligne]]</f>
        <v>114-5</v>
      </c>
    </row>
    <row r="19" spans="1:7" x14ac:dyDescent="0.25">
      <c r="A19" s="5">
        <v>6</v>
      </c>
      <c r="B19" s="5" t="str">
        <f>IF( ISERROR(VLOOKUP(Tableau4[[#This Row],[N°Fac_N°Lign]],Tableau3[[N°Fac-N°Lign]:[PU]],2,0)), "",VLOOKUP(Tableau4[[#This Row],[N°Fac_N°Lign]],Tableau3[[N°Fac-N°Lign]:[PU]],5,0))</f>
        <v/>
      </c>
      <c r="C19" s="5" t="str">
        <f>IF( ISERROR(VLOOKUP(Tableau4[[#This Row],[N°Fac_N°Lign]],Tableau3[[N°Fac-N°Lign]:[PU]],2,0)), "",VLOOKUP(Tableau4[[#This Row],[N°Fac_N°Lign]],Tableau3[[N°Fac-N°Lign]:[PU]],6,0))</f>
        <v/>
      </c>
      <c r="D19" s="7" t="str">
        <f>IF( ISERROR(VLOOKUP(Tableau4[[#This Row],[N°Fac_N°Lign]],Tableau3[[N°Fac-N°Lign]:[PU]],2,0)), "",VLOOKUP(Tableau4[[#This Row],[N°Fac_N°Lign]],Tableau3[[N°Fac-N°Lign]:[PU]],7,0))</f>
        <v/>
      </c>
      <c r="E19" s="7" t="str">
        <f>IF( ISERROR(VLOOKUP(Tableau4[[#This Row],[N°Fac_N°Lign]],Tableau3[[N°Fac-N°Lign]:[PU]],2,0)), "",VLOOKUP(Tableau4[[#This Row],[N°Fac_N°Lign]],Tableau3[[N°Fac-N°Lign]:[PU]],8,0))</f>
        <v/>
      </c>
      <c r="F19" s="7" t="str">
        <f>IF(Tableau4[[#This Row],[Quantité]]&lt;&gt;"",Tableau4[[#This Row],[Quantité]]*Tableau4[[#This Row],[PU]],"")</f>
        <v/>
      </c>
      <c r="G19" s="13" t="str">
        <f>N°_Facture&amp;"-"&amp;Tableau4[[#This Row],[N° ligne]]</f>
        <v>114-6</v>
      </c>
    </row>
    <row r="20" spans="1:7" x14ac:dyDescent="0.25">
      <c r="A20" s="5">
        <v>7</v>
      </c>
      <c r="B20" s="5" t="str">
        <f>IF( ISERROR(VLOOKUP(Tableau4[[#This Row],[N°Fac_N°Lign]],Tableau3[[N°Fac-N°Lign]:[PU]],2,0)), "",VLOOKUP(Tableau4[[#This Row],[N°Fac_N°Lign]],Tableau3[[N°Fac-N°Lign]:[PU]],5,0))</f>
        <v/>
      </c>
      <c r="C20" s="5" t="str">
        <f>IF( ISERROR(VLOOKUP(Tableau4[[#This Row],[N°Fac_N°Lign]],Tableau3[[N°Fac-N°Lign]:[PU]],2,0)), "",VLOOKUP(Tableau4[[#This Row],[N°Fac_N°Lign]],Tableau3[[N°Fac-N°Lign]:[PU]],6,0))</f>
        <v/>
      </c>
      <c r="D20" s="7" t="str">
        <f>IF( ISERROR(VLOOKUP(Tableau4[[#This Row],[N°Fac_N°Lign]],Tableau3[[N°Fac-N°Lign]:[PU]],2,0)), "",VLOOKUP(Tableau4[[#This Row],[N°Fac_N°Lign]],Tableau3[[N°Fac-N°Lign]:[PU]],7,0))</f>
        <v/>
      </c>
      <c r="E20" s="7" t="str">
        <f>IF( ISERROR(VLOOKUP(Tableau4[[#This Row],[N°Fac_N°Lign]],Tableau3[[N°Fac-N°Lign]:[PU]],2,0)), "",VLOOKUP(Tableau4[[#This Row],[N°Fac_N°Lign]],Tableau3[[N°Fac-N°Lign]:[PU]],8,0))</f>
        <v/>
      </c>
      <c r="F20" s="7" t="str">
        <f>IF(Tableau4[[#This Row],[Quantité]]&lt;&gt;"",Tableau4[[#This Row],[Quantité]]*Tableau4[[#This Row],[PU]],"")</f>
        <v/>
      </c>
      <c r="G20" s="13" t="str">
        <f>N°_Facture&amp;"-"&amp;Tableau4[[#This Row],[N° ligne]]</f>
        <v>114-7</v>
      </c>
    </row>
    <row r="21" spans="1:7" x14ac:dyDescent="0.25">
      <c r="A21" s="5">
        <v>8</v>
      </c>
      <c r="B21" s="5" t="str">
        <f>IF( ISERROR(VLOOKUP(Tableau4[[#This Row],[N°Fac_N°Lign]],Tableau3[[N°Fac-N°Lign]:[PU]],2,0)), "",VLOOKUP(Tableau4[[#This Row],[N°Fac_N°Lign]],Tableau3[[N°Fac-N°Lign]:[PU]],5,0))</f>
        <v/>
      </c>
      <c r="C21" s="5" t="str">
        <f>IF( ISERROR(VLOOKUP(Tableau4[[#This Row],[N°Fac_N°Lign]],Tableau3[[N°Fac-N°Lign]:[PU]],2,0)), "",VLOOKUP(Tableau4[[#This Row],[N°Fac_N°Lign]],Tableau3[[N°Fac-N°Lign]:[PU]],6,0))</f>
        <v/>
      </c>
      <c r="D21" s="7" t="str">
        <f>IF( ISERROR(VLOOKUP(Tableau4[[#This Row],[N°Fac_N°Lign]],Tableau3[[N°Fac-N°Lign]:[PU]],2,0)), "",VLOOKUP(Tableau4[[#This Row],[N°Fac_N°Lign]],Tableau3[[N°Fac-N°Lign]:[PU]],7,0))</f>
        <v/>
      </c>
      <c r="E21" s="7" t="str">
        <f>IF( ISERROR(VLOOKUP(Tableau4[[#This Row],[N°Fac_N°Lign]],Tableau3[[N°Fac-N°Lign]:[PU]],2,0)), "",VLOOKUP(Tableau4[[#This Row],[N°Fac_N°Lign]],Tableau3[[N°Fac-N°Lign]:[PU]],8,0))</f>
        <v/>
      </c>
      <c r="F21" s="7" t="str">
        <f>IF(Tableau4[[#This Row],[Quantité]]&lt;&gt;"",Tableau4[[#This Row],[Quantité]]*Tableau4[[#This Row],[PU]],"")</f>
        <v/>
      </c>
      <c r="G21" s="13" t="str">
        <f>N°_Facture&amp;"-"&amp;Tableau4[[#This Row],[N° ligne]]</f>
        <v>114-8</v>
      </c>
    </row>
    <row r="22" spans="1:7" x14ac:dyDescent="0.25">
      <c r="A22" s="5">
        <v>9</v>
      </c>
      <c r="B22" s="5" t="str">
        <f>IF( ISERROR(VLOOKUP(Tableau4[[#This Row],[N°Fac_N°Lign]],Tableau3[[N°Fac-N°Lign]:[PU]],2,0)), "",VLOOKUP(Tableau4[[#This Row],[N°Fac_N°Lign]],Tableau3[[N°Fac-N°Lign]:[PU]],5,0))</f>
        <v/>
      </c>
      <c r="C22" s="5" t="str">
        <f>IF( ISERROR(VLOOKUP(Tableau4[[#This Row],[N°Fac_N°Lign]],Tableau3[[N°Fac-N°Lign]:[PU]],2,0)), "",VLOOKUP(Tableau4[[#This Row],[N°Fac_N°Lign]],Tableau3[[N°Fac-N°Lign]:[PU]],6,0))</f>
        <v/>
      </c>
      <c r="D22" s="7" t="str">
        <f>IF( ISERROR(VLOOKUP(Tableau4[[#This Row],[N°Fac_N°Lign]],Tableau3[[N°Fac-N°Lign]:[PU]],2,0)), "",VLOOKUP(Tableau4[[#This Row],[N°Fac_N°Lign]],Tableau3[[N°Fac-N°Lign]:[PU]],7,0))</f>
        <v/>
      </c>
      <c r="E22" s="7" t="str">
        <f>IF( ISERROR(VLOOKUP(Tableau4[[#This Row],[N°Fac_N°Lign]],Tableau3[[N°Fac-N°Lign]:[PU]],2,0)), "",VLOOKUP(Tableau4[[#This Row],[N°Fac_N°Lign]],Tableau3[[N°Fac-N°Lign]:[PU]],8,0))</f>
        <v/>
      </c>
      <c r="F22" s="7" t="str">
        <f>IF(Tableau4[[#This Row],[Quantité]]&lt;&gt;"",Tableau4[[#This Row],[Quantité]]*Tableau4[[#This Row],[PU]],"")</f>
        <v/>
      </c>
      <c r="G22" s="13" t="str">
        <f>N°_Facture&amp;"-"&amp;Tableau4[[#This Row],[N° ligne]]</f>
        <v>114-9</v>
      </c>
    </row>
    <row r="23" spans="1:7" x14ac:dyDescent="0.25">
      <c r="A23" s="5">
        <v>10</v>
      </c>
      <c r="B23" s="5" t="str">
        <f>IF( ISERROR(VLOOKUP(Tableau4[[#This Row],[N°Fac_N°Lign]],Tableau3[[N°Fac-N°Lign]:[PU]],2,0)), "",VLOOKUP(Tableau4[[#This Row],[N°Fac_N°Lign]],Tableau3[[N°Fac-N°Lign]:[PU]],5,0))</f>
        <v/>
      </c>
      <c r="C23" s="5" t="str">
        <f>IF( ISERROR(VLOOKUP(Tableau4[[#This Row],[N°Fac_N°Lign]],Tableau3[[N°Fac-N°Lign]:[PU]],2,0)), "",VLOOKUP(Tableau4[[#This Row],[N°Fac_N°Lign]],Tableau3[[N°Fac-N°Lign]:[PU]],6,0))</f>
        <v/>
      </c>
      <c r="D23" s="7" t="str">
        <f>IF( ISERROR(VLOOKUP(Tableau4[[#This Row],[N°Fac_N°Lign]],Tableau3[[N°Fac-N°Lign]:[PU]],2,0)), "",VLOOKUP(Tableau4[[#This Row],[N°Fac_N°Lign]],Tableau3[[N°Fac-N°Lign]:[PU]],7,0))</f>
        <v/>
      </c>
      <c r="E23" s="7" t="str">
        <f>IF( ISERROR(VLOOKUP(Tableau4[[#This Row],[N°Fac_N°Lign]],Tableau3[[N°Fac-N°Lign]:[PU]],2,0)), "",VLOOKUP(Tableau4[[#This Row],[N°Fac_N°Lign]],Tableau3[[N°Fac-N°Lign]:[PU]],8,0))</f>
        <v/>
      </c>
      <c r="F23" s="7" t="str">
        <f>IF(Tableau4[[#This Row],[Quantité]]&lt;&gt;"",Tableau4[[#This Row],[Quantité]]*Tableau4[[#This Row],[PU]],"")</f>
        <v/>
      </c>
      <c r="G23" s="13" t="str">
        <f>N°_Facture&amp;"-"&amp;Tableau4[[#This Row],[N° ligne]]</f>
        <v>114-10</v>
      </c>
    </row>
    <row r="24" spans="1:7" x14ac:dyDescent="0.25">
      <c r="A24" s="5">
        <v>11</v>
      </c>
      <c r="B24" s="5" t="str">
        <f>IF( ISERROR(VLOOKUP(Tableau4[[#This Row],[N°Fac_N°Lign]],Tableau3[[N°Fac-N°Lign]:[PU]],2,0)), "",VLOOKUP(Tableau4[[#This Row],[N°Fac_N°Lign]],Tableau3[[N°Fac-N°Lign]:[PU]],5,0))</f>
        <v/>
      </c>
      <c r="C24" s="5" t="str">
        <f>IF( ISERROR(VLOOKUP(Tableau4[[#This Row],[N°Fac_N°Lign]],Tableau3[[N°Fac-N°Lign]:[PU]],2,0)), "",VLOOKUP(Tableau4[[#This Row],[N°Fac_N°Lign]],Tableau3[[N°Fac-N°Lign]:[PU]],6,0))</f>
        <v/>
      </c>
      <c r="D24" s="7" t="str">
        <f>IF( ISERROR(VLOOKUP(Tableau4[[#This Row],[N°Fac_N°Lign]],Tableau3[[N°Fac-N°Lign]:[PU]],2,0)), "",VLOOKUP(Tableau4[[#This Row],[N°Fac_N°Lign]],Tableau3[[N°Fac-N°Lign]:[PU]],7,0))</f>
        <v/>
      </c>
      <c r="E24" s="7" t="str">
        <f>IF( ISERROR(VLOOKUP(Tableau4[[#This Row],[N°Fac_N°Lign]],Tableau3[[N°Fac-N°Lign]:[PU]],2,0)), "",VLOOKUP(Tableau4[[#This Row],[N°Fac_N°Lign]],Tableau3[[N°Fac-N°Lign]:[PU]],8,0))</f>
        <v/>
      </c>
      <c r="F24" s="7" t="str">
        <f>IF(Tableau4[[#This Row],[Quantité]]&lt;&gt;"",Tableau4[[#This Row],[Quantité]]*Tableau4[[#This Row],[PU]],"")</f>
        <v/>
      </c>
      <c r="G24" s="13" t="str">
        <f>N°_Facture&amp;"-"&amp;Tableau4[[#This Row],[N° ligne]]</f>
        <v>114-11</v>
      </c>
    </row>
    <row r="25" spans="1:7" x14ac:dyDescent="0.25">
      <c r="A25" s="5">
        <v>12</v>
      </c>
      <c r="B25" s="5" t="str">
        <f>IF( ISERROR(VLOOKUP(Tableau4[[#This Row],[N°Fac_N°Lign]],Tableau3[[N°Fac-N°Lign]:[PU]],2,0)), "",VLOOKUP(Tableau4[[#This Row],[N°Fac_N°Lign]],Tableau3[[N°Fac-N°Lign]:[PU]],5,0))</f>
        <v/>
      </c>
      <c r="C25" s="5" t="str">
        <f>IF( ISERROR(VLOOKUP(Tableau4[[#This Row],[N°Fac_N°Lign]],Tableau3[[N°Fac-N°Lign]:[PU]],2,0)), "",VLOOKUP(Tableau4[[#This Row],[N°Fac_N°Lign]],Tableau3[[N°Fac-N°Lign]:[PU]],6,0))</f>
        <v/>
      </c>
      <c r="D25" s="7" t="str">
        <f>IF( ISERROR(VLOOKUP(Tableau4[[#This Row],[N°Fac_N°Lign]],Tableau3[[N°Fac-N°Lign]:[PU]],2,0)), "",VLOOKUP(Tableau4[[#This Row],[N°Fac_N°Lign]],Tableau3[[N°Fac-N°Lign]:[PU]],7,0))</f>
        <v/>
      </c>
      <c r="E25" s="7" t="str">
        <f>IF( ISERROR(VLOOKUP(Tableau4[[#This Row],[N°Fac_N°Lign]],Tableau3[[N°Fac-N°Lign]:[PU]],2,0)), "",VLOOKUP(Tableau4[[#This Row],[N°Fac_N°Lign]],Tableau3[[N°Fac-N°Lign]:[PU]],8,0))</f>
        <v/>
      </c>
      <c r="F25" s="7" t="str">
        <f>IF(Tableau4[[#This Row],[Quantité]]&lt;&gt;"",Tableau4[[#This Row],[Quantité]]*Tableau4[[#This Row],[PU]],"")</f>
        <v/>
      </c>
      <c r="G25" s="13" t="str">
        <f>N°_Facture&amp;"-"&amp;Tableau4[[#This Row],[N° ligne]]</f>
        <v>114-12</v>
      </c>
    </row>
    <row r="26" spans="1:7" x14ac:dyDescent="0.25">
      <c r="A26" s="5">
        <v>13</v>
      </c>
      <c r="B26" s="5" t="str">
        <f>IF( ISERROR(VLOOKUP(Tableau4[[#This Row],[N°Fac_N°Lign]],Tableau3[[N°Fac-N°Lign]:[PU]],2,0)), "",VLOOKUP(Tableau4[[#This Row],[N°Fac_N°Lign]],Tableau3[[N°Fac-N°Lign]:[PU]],5,0))</f>
        <v/>
      </c>
      <c r="C26" s="5" t="str">
        <f>IF( ISERROR(VLOOKUP(Tableau4[[#This Row],[N°Fac_N°Lign]],Tableau3[[N°Fac-N°Lign]:[PU]],2,0)), "",VLOOKUP(Tableau4[[#This Row],[N°Fac_N°Lign]],Tableau3[[N°Fac-N°Lign]:[PU]],6,0))</f>
        <v/>
      </c>
      <c r="D26" s="7" t="str">
        <f>IF( ISERROR(VLOOKUP(Tableau4[[#This Row],[N°Fac_N°Lign]],Tableau3[[N°Fac-N°Lign]:[PU]],2,0)), "",VLOOKUP(Tableau4[[#This Row],[N°Fac_N°Lign]],Tableau3[[N°Fac-N°Lign]:[PU]],7,0))</f>
        <v/>
      </c>
      <c r="E26" s="7" t="str">
        <f>IF( ISERROR(VLOOKUP(Tableau4[[#This Row],[N°Fac_N°Lign]],Tableau3[[N°Fac-N°Lign]:[PU]],2,0)), "",VLOOKUP(Tableau4[[#This Row],[N°Fac_N°Lign]],Tableau3[[N°Fac-N°Lign]:[PU]],8,0))</f>
        <v/>
      </c>
      <c r="F26" s="7" t="str">
        <f>IF(Tableau4[[#This Row],[Quantité]]&lt;&gt;"",Tableau4[[#This Row],[Quantité]]*Tableau4[[#This Row],[PU]],"")</f>
        <v/>
      </c>
      <c r="G26" s="13" t="str">
        <f>N°_Facture&amp;"-"&amp;Tableau4[[#This Row],[N° ligne]]</f>
        <v>114-13</v>
      </c>
    </row>
    <row r="27" spans="1:7" x14ac:dyDescent="0.25">
      <c r="A27" s="5">
        <v>14</v>
      </c>
      <c r="B27" s="5" t="str">
        <f>IF( ISERROR(VLOOKUP(Tableau4[[#This Row],[N°Fac_N°Lign]],Tableau3[[N°Fac-N°Lign]:[PU]],2,0)), "",VLOOKUP(Tableau4[[#This Row],[N°Fac_N°Lign]],Tableau3[[N°Fac-N°Lign]:[PU]],5,0))</f>
        <v/>
      </c>
      <c r="C27" s="5" t="str">
        <f>IF( ISERROR(VLOOKUP(Tableau4[[#This Row],[N°Fac_N°Lign]],Tableau3[[N°Fac-N°Lign]:[PU]],2,0)), "",VLOOKUP(Tableau4[[#This Row],[N°Fac_N°Lign]],Tableau3[[N°Fac-N°Lign]:[PU]],6,0))</f>
        <v/>
      </c>
      <c r="D27" s="7" t="str">
        <f>IF( ISERROR(VLOOKUP(Tableau4[[#This Row],[N°Fac_N°Lign]],Tableau3[[N°Fac-N°Lign]:[PU]],2,0)), "",VLOOKUP(Tableau4[[#This Row],[N°Fac_N°Lign]],Tableau3[[N°Fac-N°Lign]:[PU]],7,0))</f>
        <v/>
      </c>
      <c r="E27" s="7" t="str">
        <f>IF( ISERROR(VLOOKUP(Tableau4[[#This Row],[N°Fac_N°Lign]],Tableau3[[N°Fac-N°Lign]:[PU]],2,0)), "",VLOOKUP(Tableau4[[#This Row],[N°Fac_N°Lign]],Tableau3[[N°Fac-N°Lign]:[PU]],8,0))</f>
        <v/>
      </c>
      <c r="F27" s="7" t="str">
        <f>IF(Tableau4[[#This Row],[Quantité]]&lt;&gt;"",Tableau4[[#This Row],[Quantité]]*Tableau4[[#This Row],[PU]],"")</f>
        <v/>
      </c>
      <c r="G27" s="13" t="str">
        <f>N°_Facture&amp;"-"&amp;Tableau4[[#This Row],[N° ligne]]</f>
        <v>114-14</v>
      </c>
    </row>
    <row r="28" spans="1:7" x14ac:dyDescent="0.25">
      <c r="A28" s="5">
        <v>15</v>
      </c>
      <c r="B28" s="5" t="str">
        <f>IF( ISERROR(VLOOKUP(Tableau4[[#This Row],[N°Fac_N°Lign]],Tableau3[[N°Fac-N°Lign]:[PU]],2,0)), "",VLOOKUP(Tableau4[[#This Row],[N°Fac_N°Lign]],Tableau3[[N°Fac-N°Lign]:[PU]],5,0))</f>
        <v/>
      </c>
      <c r="C28" s="5" t="str">
        <f>IF( ISERROR(VLOOKUP(Tableau4[[#This Row],[N°Fac_N°Lign]],Tableau3[[N°Fac-N°Lign]:[PU]],2,0)), "",VLOOKUP(Tableau4[[#This Row],[N°Fac_N°Lign]],Tableau3[[N°Fac-N°Lign]:[PU]],6,0))</f>
        <v/>
      </c>
      <c r="D28" s="7" t="str">
        <f>IF( ISERROR(VLOOKUP(Tableau4[[#This Row],[N°Fac_N°Lign]],Tableau3[[N°Fac-N°Lign]:[PU]],2,0)), "",VLOOKUP(Tableau4[[#This Row],[N°Fac_N°Lign]],Tableau3[[N°Fac-N°Lign]:[PU]],7,0))</f>
        <v/>
      </c>
      <c r="E28" s="7" t="str">
        <f>IF( ISERROR(VLOOKUP(Tableau4[[#This Row],[N°Fac_N°Lign]],Tableau3[[N°Fac-N°Lign]:[PU]],2,0)), "",VLOOKUP(Tableau4[[#This Row],[N°Fac_N°Lign]],Tableau3[[N°Fac-N°Lign]:[PU]],8,0))</f>
        <v/>
      </c>
      <c r="F28" s="7" t="str">
        <f>IF(Tableau4[[#This Row],[Quantité]]&lt;&gt;"",Tableau4[[#This Row],[Quantité]]*Tableau4[[#This Row],[PU]],"")</f>
        <v/>
      </c>
      <c r="G28" s="13" t="str">
        <f>N°_Facture&amp;"-"&amp;Tableau4[[#This Row],[N° ligne]]</f>
        <v>114-15</v>
      </c>
    </row>
    <row r="30" spans="1:7" x14ac:dyDescent="0.25">
      <c r="E30" t="s">
        <v>43</v>
      </c>
      <c r="F30" s="8">
        <f>SUM(Tableau4[Total])</f>
        <v>3609</v>
      </c>
    </row>
    <row r="31" spans="1:7" x14ac:dyDescent="0.25">
      <c r="E31" t="s">
        <v>40</v>
      </c>
      <c r="F31" s="15">
        <f>VLOOKUP(N°_Facture,Tableau3[],11,0)</f>
        <v>0.2</v>
      </c>
    </row>
    <row r="32" spans="1:7" x14ac:dyDescent="0.25">
      <c r="E32" t="s">
        <v>41</v>
      </c>
      <c r="F32" s="8">
        <f>F30*F31</f>
        <v>721.80000000000007</v>
      </c>
    </row>
    <row r="33" spans="5:6" x14ac:dyDescent="0.25">
      <c r="E33" t="s">
        <v>42</v>
      </c>
      <c r="F33" s="8">
        <f>F30+F32</f>
        <v>4330.8</v>
      </c>
    </row>
  </sheetData>
  <hyperlinks>
    <hyperlink ref="A6" r:id="rId1" xr:uid="{E3A412DD-8500-42ED-A709-111F4F02B18F}"/>
    <hyperlink ref="A7" r:id="rId2" xr:uid="{FA1D5933-CD59-4CDB-A4DF-C2B2FB83CE9A}"/>
  </hyperlinks>
  <pageMargins left="0.7" right="0.7" top="0.75" bottom="0.75" header="0.3" footer="0.3"/>
  <pageSetup paperSize="9" orientation="portrait" r:id="rId3"/>
  <tableParts count="1">
    <tablePart r:id="rId4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4631DA-C008-4471-8D69-AC776BDBE74D}">
  <dimension ref="A2:E12"/>
  <sheetViews>
    <sheetView tabSelected="1" workbookViewId="0">
      <selection activeCell="E35" sqref="E35"/>
    </sheetView>
  </sheetViews>
  <sheetFormatPr baseColWidth="10" defaultRowHeight="15" x14ac:dyDescent="0.25"/>
  <cols>
    <col min="1" max="1" width="21" bestFit="1" customWidth="1"/>
    <col min="2" max="2" width="12.140625" bestFit="1" customWidth="1"/>
    <col min="3" max="3" width="7.7109375" bestFit="1" customWidth="1"/>
    <col min="4" max="4" width="21.5703125" bestFit="1" customWidth="1"/>
    <col min="5" max="6" width="22.42578125" bestFit="1" customWidth="1"/>
    <col min="7" max="7" width="9.42578125" bestFit="1" customWidth="1"/>
    <col min="8" max="8" width="14" bestFit="1" customWidth="1"/>
  </cols>
  <sheetData>
    <row r="2" spans="1:5" x14ac:dyDescent="0.25">
      <c r="C2" t="s">
        <v>22</v>
      </c>
    </row>
    <row r="3" spans="1:5" x14ac:dyDescent="0.25">
      <c r="A3" s="16" t="s">
        <v>31</v>
      </c>
      <c r="B3" s="16" t="s">
        <v>15</v>
      </c>
      <c r="C3" s="16" t="s">
        <v>65</v>
      </c>
      <c r="D3" t="s">
        <v>58</v>
      </c>
      <c r="E3" t="s">
        <v>59</v>
      </c>
    </row>
    <row r="4" spans="1:5" x14ac:dyDescent="0.25">
      <c r="A4" t="s">
        <v>8</v>
      </c>
      <c r="B4">
        <v>114</v>
      </c>
      <c r="C4" t="s">
        <v>66</v>
      </c>
      <c r="D4" s="18">
        <v>3609</v>
      </c>
      <c r="E4" s="18">
        <v>4330.7999999999993</v>
      </c>
    </row>
    <row r="5" spans="1:5" x14ac:dyDescent="0.25">
      <c r="B5" t="s">
        <v>62</v>
      </c>
      <c r="D5" s="18">
        <v>3609</v>
      </c>
      <c r="E5" s="18">
        <v>4330.7999999999993</v>
      </c>
    </row>
    <row r="6" spans="1:5" x14ac:dyDescent="0.25">
      <c r="A6" t="s">
        <v>60</v>
      </c>
      <c r="D6" s="18">
        <v>3609</v>
      </c>
      <c r="E6" s="18">
        <v>4330.7999999999993</v>
      </c>
    </row>
    <row r="7" spans="1:5" x14ac:dyDescent="0.25">
      <c r="A7" t="s">
        <v>12</v>
      </c>
      <c r="B7">
        <v>111</v>
      </c>
      <c r="C7" t="s">
        <v>67</v>
      </c>
      <c r="D7" s="18">
        <v>480</v>
      </c>
      <c r="E7" s="18">
        <v>576</v>
      </c>
    </row>
    <row r="8" spans="1:5" x14ac:dyDescent="0.25">
      <c r="B8" t="s">
        <v>63</v>
      </c>
      <c r="D8" s="18">
        <v>480</v>
      </c>
      <c r="E8" s="18">
        <v>576</v>
      </c>
    </row>
    <row r="9" spans="1:5" x14ac:dyDescent="0.25">
      <c r="B9">
        <v>143</v>
      </c>
      <c r="C9" t="s">
        <v>68</v>
      </c>
      <c r="D9" s="18">
        <v>1881</v>
      </c>
      <c r="E9" s="18">
        <v>2257.1999999999998</v>
      </c>
    </row>
    <row r="10" spans="1:5" x14ac:dyDescent="0.25">
      <c r="B10" t="s">
        <v>64</v>
      </c>
      <c r="D10" s="18">
        <v>1881</v>
      </c>
      <c r="E10" s="18">
        <v>2257.1999999999998</v>
      </c>
    </row>
    <row r="11" spans="1:5" x14ac:dyDescent="0.25">
      <c r="A11" t="s">
        <v>61</v>
      </c>
      <c r="D11" s="18">
        <v>2361</v>
      </c>
      <c r="E11" s="18">
        <v>2833.2</v>
      </c>
    </row>
    <row r="12" spans="1:5" x14ac:dyDescent="0.25">
      <c r="A12" t="s">
        <v>55</v>
      </c>
      <c r="D12" s="18">
        <v>5970</v>
      </c>
      <c r="E12" s="18">
        <v>7163.9999999999991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Clients</vt:lpstr>
      <vt:lpstr>Saisie</vt:lpstr>
      <vt:lpstr>Impression</vt:lpstr>
      <vt:lpstr>Vue de synthèse</vt:lpstr>
      <vt:lpstr>N°_Facture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trea</dc:creator>
  <cp:lastModifiedBy>trea</cp:lastModifiedBy>
  <dcterms:created xsi:type="dcterms:W3CDTF">2018-09-14T07:14:17Z</dcterms:created>
  <dcterms:modified xsi:type="dcterms:W3CDTF">2019-04-08T08:29:33Z</dcterms:modified>
</cp:coreProperties>
</file>